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Thales\Downloads\"/>
    </mc:Choice>
  </mc:AlternateContent>
  <bookViews>
    <workbookView xWindow="-120" yWindow="-120" windowWidth="20730" windowHeight="11160" tabRatio="831" firstSheet="94" activeTab="98"/>
  </bookViews>
  <sheets>
    <sheet name="Ñ ABATIDOS" sheetId="7" state="hidden" r:id="rId1"/>
    <sheet name="01 04" sheetId="1" state="hidden" r:id="rId2"/>
    <sheet name="08 04" sheetId="2" state="hidden" r:id="rId3"/>
    <sheet name="15 04" sheetId="3" state="hidden" r:id="rId4"/>
    <sheet name="22 04" sheetId="4" state="hidden" r:id="rId5"/>
    <sheet name="29 04" sheetId="5" state="hidden" r:id="rId6"/>
    <sheet name="06 05" sheetId="6" state="hidden" r:id="rId7"/>
    <sheet name="13 05" sheetId="8" state="hidden" r:id="rId8"/>
    <sheet name="20.05" sheetId="9" state="hidden" r:id="rId9"/>
    <sheet name="27.05" sheetId="10" state="hidden" r:id="rId10"/>
    <sheet name="03.06" sheetId="11" state="hidden" r:id="rId11"/>
    <sheet name="10.06" sheetId="12" state="hidden" r:id="rId12"/>
    <sheet name="17.06" sheetId="13" state="hidden" r:id="rId13"/>
    <sheet name="24.06" sheetId="14" state="hidden" r:id="rId14"/>
    <sheet name="01.07" sheetId="15" state="hidden" r:id="rId15"/>
    <sheet name="08.07" sheetId="16" state="hidden" r:id="rId16"/>
    <sheet name="15.07" sheetId="17" state="hidden" r:id="rId17"/>
    <sheet name="22.07" sheetId="18" state="hidden" r:id="rId18"/>
    <sheet name="29.07" sheetId="19" state="hidden" r:id="rId19"/>
    <sheet name="05.08" sheetId="20" state="hidden" r:id="rId20"/>
    <sheet name="12.08" sheetId="21" state="hidden" r:id="rId21"/>
    <sheet name="19.08" sheetId="22" state="hidden" r:id="rId22"/>
    <sheet name="26.08" sheetId="23" state="hidden" r:id="rId23"/>
    <sheet name="02.09" sheetId="24" state="hidden" r:id="rId24"/>
    <sheet name="09.09" sheetId="25" state="hidden" r:id="rId25"/>
    <sheet name="16.09" sheetId="26" state="hidden" r:id="rId26"/>
    <sheet name="23.09" sheetId="27" state="hidden" r:id="rId27"/>
    <sheet name="30.09" sheetId="28" state="hidden" r:id="rId28"/>
    <sheet name="07.10" sheetId="29" state="hidden" r:id="rId29"/>
    <sheet name="14.10" sheetId="30" state="hidden" r:id="rId30"/>
    <sheet name="21.10" sheetId="31" state="hidden" r:id="rId31"/>
    <sheet name="28.10" sheetId="32" state="hidden" r:id="rId32"/>
    <sheet name="04.11" sheetId="33" state="hidden" r:id="rId33"/>
    <sheet name="11.11" sheetId="34" state="hidden" r:id="rId34"/>
    <sheet name="18.11" sheetId="35" state="hidden" r:id="rId35"/>
    <sheet name="25.11" sheetId="36" state="hidden" r:id="rId36"/>
    <sheet name="02.12" sheetId="37" state="hidden" r:id="rId37"/>
    <sheet name="09.12" sheetId="38" state="hidden" r:id="rId38"/>
    <sheet name="16.12" sheetId="40" state="hidden" r:id="rId39"/>
    <sheet name="23.12" sheetId="41" state="hidden" r:id="rId40"/>
    <sheet name="30.12" sheetId="43" state="hidden" r:id="rId41"/>
    <sheet name="06.01" sheetId="44" state="hidden" r:id="rId42"/>
    <sheet name="13.01" sheetId="45" state="hidden" r:id="rId43"/>
    <sheet name="20.01" sheetId="46" state="hidden" r:id="rId44"/>
    <sheet name="27.01" sheetId="47" state="hidden" r:id="rId45"/>
    <sheet name="03.02" sheetId="48" state="hidden" r:id="rId46"/>
    <sheet name="10.02" sheetId="49" state="hidden" r:id="rId47"/>
    <sheet name="17.02" sheetId="50" state="hidden" r:id="rId48"/>
    <sheet name="24.02" sheetId="51" state="hidden" r:id="rId49"/>
    <sheet name="03.03" sheetId="52" state="hidden" r:id="rId50"/>
    <sheet name="10.03" sheetId="53" state="hidden" r:id="rId51"/>
    <sheet name="17.03" sheetId="54" state="hidden" r:id="rId52"/>
    <sheet name="24.03" sheetId="55" state="hidden" r:id="rId53"/>
    <sheet name="31.03" sheetId="56" state="hidden" r:id="rId54"/>
    <sheet name="07.04" sheetId="57" state="hidden" r:id="rId55"/>
    <sheet name="14.04" sheetId="58" state="hidden" r:id="rId56"/>
    <sheet name="21.04" sheetId="59" state="hidden" r:id="rId57"/>
    <sheet name="28.04" sheetId="60" state="hidden" r:id="rId58"/>
    <sheet name="05.05" sheetId="61" state="hidden" r:id="rId59"/>
    <sheet name="12.05" sheetId="62" state="hidden" r:id="rId60"/>
    <sheet name="19.05" sheetId="63" state="hidden" r:id="rId61"/>
    <sheet name="26.05" sheetId="64" state="hidden" r:id="rId62"/>
    <sheet name="02.06" sheetId="65" state="hidden" r:id="rId63"/>
    <sheet name="09.06" sheetId="66" state="hidden" r:id="rId64"/>
    <sheet name="16.06" sheetId="67" state="hidden" r:id="rId65"/>
    <sheet name="23.06" sheetId="68" state="hidden" r:id="rId66"/>
    <sheet name="30.06" sheetId="69" state="hidden" r:id="rId67"/>
    <sheet name="07.07" sheetId="70" state="hidden" r:id="rId68"/>
    <sheet name="14.07" sheetId="71" state="hidden" r:id="rId69"/>
    <sheet name="21.07" sheetId="72" state="hidden" r:id="rId70"/>
    <sheet name="28.07" sheetId="73" state="hidden" r:id="rId71"/>
    <sheet name="04.08" sheetId="74" state="hidden" r:id="rId72"/>
    <sheet name="11.08" sheetId="75" state="hidden" r:id="rId73"/>
    <sheet name="11.08 (N)" sheetId="77" state="hidden" r:id="rId74"/>
    <sheet name="18.08" sheetId="76" state="hidden" r:id="rId75"/>
    <sheet name="25.08" sheetId="78" state="hidden" r:id="rId76"/>
    <sheet name="01.09" sheetId="79" state="hidden" r:id="rId77"/>
    <sheet name="08.09" sheetId="81" state="hidden" r:id="rId78"/>
    <sheet name="16.09.23" sheetId="84" state="hidden" r:id="rId79"/>
    <sheet name="23.09.23" sheetId="85" state="hidden" r:id="rId80"/>
    <sheet name="30.09.23" sheetId="86" state="hidden" r:id="rId81"/>
    <sheet name="07.10.23" sheetId="87" state="hidden" r:id="rId82"/>
    <sheet name="14.10.23" sheetId="88" state="hidden" r:id="rId83"/>
    <sheet name="21.10.23" sheetId="89" state="hidden" r:id="rId84"/>
    <sheet name="28.10.23" sheetId="90" state="hidden" r:id="rId85"/>
    <sheet name="04.11.23" sheetId="91" state="hidden" r:id="rId86"/>
    <sheet name="11.11.23" sheetId="92" state="hidden" r:id="rId87"/>
    <sheet name="18.11.23" sheetId="93" state="hidden" r:id="rId88"/>
    <sheet name="25.11.23" sheetId="94" state="hidden" r:id="rId89"/>
    <sheet name="02.12.23" sheetId="95" state="hidden" r:id="rId90"/>
    <sheet name="09.12.23" sheetId="96" state="hidden" r:id="rId91"/>
    <sheet name="16.12.23" sheetId="97" state="hidden" r:id="rId92"/>
    <sheet name="23.12.23" sheetId="98" state="hidden" r:id="rId93"/>
    <sheet name="30.12.23" sheetId="99" state="hidden" r:id="rId94"/>
    <sheet name="06.01.24" sheetId="100" r:id="rId95"/>
    <sheet name="13.01.24" sheetId="101" r:id="rId96"/>
    <sheet name="20.01.24" sheetId="102" r:id="rId97"/>
    <sheet name="27.01.24" sheetId="103" r:id="rId98"/>
    <sheet name="Plan1" sheetId="114" r:id="rId99"/>
    <sheet name="03.02.24" sheetId="105" r:id="rId100"/>
    <sheet name="10.02.24" sheetId="106" r:id="rId101"/>
    <sheet name="17.02.24" sheetId="107" r:id="rId102"/>
    <sheet name="24.02.24" sheetId="108" r:id="rId103"/>
    <sheet name="02.03.24" sheetId="109" r:id="rId104"/>
    <sheet name="09.03.24" sheetId="110" r:id="rId105"/>
    <sheet name="16.03.24" sheetId="111" r:id="rId106"/>
    <sheet name="23.03.24" sheetId="112" r:id="rId107"/>
    <sheet name="30.03.24" sheetId="113" r:id="rId108"/>
    <sheet name="Resumo 17.02" sheetId="83" r:id="rId109"/>
  </sheets>
  <definedNames>
    <definedName name="_xlnm._FilterDatabase" localSheetId="103" hidden="1">'02.03.24'!$A$3:$AJ$41</definedName>
    <definedName name="_xlnm._FilterDatabase" localSheetId="99" hidden="1">'03.02.24'!$A$3:$AK$73</definedName>
    <definedName name="_xlnm._FilterDatabase" localSheetId="32" hidden="1">'04.11'!$A$3:$AH$6</definedName>
    <definedName name="_xlnm._FilterDatabase" localSheetId="94" hidden="1">'06.01.24'!$A$3:$AJ$33</definedName>
    <definedName name="_xlnm._FilterDatabase" localSheetId="100" hidden="1">'10.02.24'!$A$13:$AJ$123</definedName>
    <definedName name="_xlnm._FilterDatabase" localSheetId="95" hidden="1">'13.01.24'!$A$3:$AJ$76</definedName>
    <definedName name="_xlnm._FilterDatabase" localSheetId="101" hidden="1">'17.02.24'!$A$3:$AJ$101</definedName>
    <definedName name="_xlnm._FilterDatabase" localSheetId="96" hidden="1">'20.01.24'!$A$3:$AJ$145</definedName>
    <definedName name="_xlnm._FilterDatabase" localSheetId="102" hidden="1">'24.02.24'!$A$3:$AJ$141</definedName>
    <definedName name="_xlnm._FilterDatabase" localSheetId="75" hidden="1">'25.08'!$D$1:$D$104</definedName>
    <definedName name="_xlnm._FilterDatabase" localSheetId="97" hidden="1">'27.01.24'!$A$3:$AJ$141</definedName>
    <definedName name="_xlnm._FilterDatabase" localSheetId="108" hidden="1">'Resumo 17.02'!$C$8:$F$8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7" i="105" l="1"/>
  <c r="E32" i="105"/>
  <c r="E42" i="105"/>
  <c r="E37" i="105"/>
  <c r="E27" i="105"/>
  <c r="E22" i="105"/>
  <c r="E17" i="105"/>
  <c r="E11" i="105"/>
  <c r="E5" i="105"/>
  <c r="AH40" i="111" l="1"/>
  <c r="AH20" i="111"/>
  <c r="AH25" i="112"/>
  <c r="AB24" i="113"/>
  <c r="AB19" i="113"/>
  <c r="W19" i="113"/>
  <c r="H24" i="113"/>
  <c r="H19" i="113"/>
  <c r="F24" i="113"/>
  <c r="F19" i="113"/>
  <c r="AD24" i="113"/>
  <c r="Y24" i="113"/>
  <c r="V24" i="113"/>
  <c r="J24" i="113"/>
  <c r="X24" i="113" s="1"/>
  <c r="AE24" i="113" s="1"/>
  <c r="AG24" i="113" s="1"/>
  <c r="AL34" i="113"/>
  <c r="AM8" i="112"/>
  <c r="AM8" i="113"/>
  <c r="W14" i="113"/>
  <c r="W9" i="113"/>
  <c r="W4" i="113"/>
  <c r="AF24" i="113" l="1"/>
  <c r="AH24" i="113"/>
  <c r="AH26" i="113" s="1"/>
  <c r="Z94" i="111"/>
  <c r="Z89" i="111"/>
  <c r="Z69" i="111"/>
  <c r="Z64" i="111"/>
  <c r="Y19" i="113"/>
  <c r="AH25" i="113" l="1"/>
  <c r="W24" i="112"/>
  <c r="AC4" i="113" l="1"/>
  <c r="AC123" i="113" s="1"/>
  <c r="Y14" i="113"/>
  <c r="Y4" i="113"/>
  <c r="AD119" i="113"/>
  <c r="V119" i="113"/>
  <c r="J119" i="113"/>
  <c r="X119" i="113" s="1"/>
  <c r="AE119" i="113" s="1"/>
  <c r="AG119" i="113" s="1"/>
  <c r="AD114" i="113"/>
  <c r="V114" i="113"/>
  <c r="J114" i="113"/>
  <c r="AD109" i="113"/>
  <c r="V109" i="113"/>
  <c r="J109" i="113"/>
  <c r="AD104" i="113"/>
  <c r="V104" i="113"/>
  <c r="J104" i="113"/>
  <c r="X104" i="113" s="1"/>
  <c r="AE104" i="113" s="1"/>
  <c r="AG104" i="113" s="1"/>
  <c r="AD99" i="113"/>
  <c r="V99" i="113"/>
  <c r="J99" i="113"/>
  <c r="AD94" i="113"/>
  <c r="V94" i="113"/>
  <c r="J94" i="113"/>
  <c r="X94" i="113" s="1"/>
  <c r="AE94" i="113" s="1"/>
  <c r="AD89" i="113"/>
  <c r="V89" i="113"/>
  <c r="J89" i="113"/>
  <c r="X89" i="113" s="1"/>
  <c r="AE89" i="113" s="1"/>
  <c r="AG89" i="113" s="1"/>
  <c r="AD84" i="113"/>
  <c r="V84" i="113"/>
  <c r="J84" i="113"/>
  <c r="X84" i="113" s="1"/>
  <c r="AE84" i="113" s="1"/>
  <c r="AG84" i="113" s="1"/>
  <c r="AD79" i="113"/>
  <c r="V79" i="113"/>
  <c r="J79" i="113"/>
  <c r="AD74" i="113"/>
  <c r="V74" i="113"/>
  <c r="J74" i="113"/>
  <c r="X74" i="113" s="1"/>
  <c r="AE74" i="113" s="1"/>
  <c r="AG74" i="113" s="1"/>
  <c r="AD69" i="113"/>
  <c r="V69" i="113"/>
  <c r="J69" i="113"/>
  <c r="AD64" i="113"/>
  <c r="V64" i="113"/>
  <c r="J64" i="113"/>
  <c r="X64" i="113" s="1"/>
  <c r="AE64" i="113" s="1"/>
  <c r="AG64" i="113" s="1"/>
  <c r="AD59" i="113"/>
  <c r="V59" i="113"/>
  <c r="J59" i="113"/>
  <c r="X59" i="113" s="1"/>
  <c r="AE59" i="113" s="1"/>
  <c r="AD54" i="113"/>
  <c r="V54" i="113"/>
  <c r="J54" i="113"/>
  <c r="X54" i="113" s="1"/>
  <c r="AE54" i="113" s="1"/>
  <c r="AD49" i="113"/>
  <c r="V49" i="113"/>
  <c r="J49" i="113"/>
  <c r="AD44" i="113"/>
  <c r="V44" i="113"/>
  <c r="J44" i="113"/>
  <c r="AD39" i="113"/>
  <c r="V39" i="113"/>
  <c r="AF39" i="113" s="1"/>
  <c r="J39" i="113"/>
  <c r="AD34" i="113"/>
  <c r="V34" i="113"/>
  <c r="J34" i="113"/>
  <c r="AD29" i="113"/>
  <c r="V29" i="113"/>
  <c r="J29" i="113"/>
  <c r="X29" i="113" s="1"/>
  <c r="AE29" i="113" s="1"/>
  <c r="AG29" i="113" s="1"/>
  <c r="AD9" i="113"/>
  <c r="V9" i="113"/>
  <c r="J9" i="113"/>
  <c r="X9" i="113" s="1"/>
  <c r="AE9" i="113" s="1"/>
  <c r="AG9" i="113" s="1"/>
  <c r="AD19" i="113"/>
  <c r="V19" i="113"/>
  <c r="J19" i="113"/>
  <c r="X19" i="113" s="1"/>
  <c r="AE19" i="113" s="1"/>
  <c r="AG19" i="113" s="1"/>
  <c r="AD14" i="113"/>
  <c r="V14" i="113"/>
  <c r="J14" i="113"/>
  <c r="X14" i="113" s="1"/>
  <c r="AE14" i="113" s="1"/>
  <c r="AG14" i="113" s="1"/>
  <c r="AA123" i="113"/>
  <c r="Z123" i="113"/>
  <c r="G123" i="113"/>
  <c r="AM54" i="113"/>
  <c r="AB123" i="113"/>
  <c r="K123" i="113"/>
  <c r="F123" i="113"/>
  <c r="W19" i="112"/>
  <c r="W9" i="112"/>
  <c r="W94" i="111"/>
  <c r="W89" i="111"/>
  <c r="AF49" i="113" l="1"/>
  <c r="AF69" i="113"/>
  <c r="AL7" i="113"/>
  <c r="AI24" i="113" s="1"/>
  <c r="AJ24" i="113" s="1"/>
  <c r="AF104" i="113"/>
  <c r="AF74" i="113"/>
  <c r="AF84" i="113"/>
  <c r="AF94" i="113"/>
  <c r="AF114" i="113"/>
  <c r="AF64" i="113"/>
  <c r="AH64" i="113" s="1"/>
  <c r="AF44" i="113"/>
  <c r="AF109" i="113"/>
  <c r="AF59" i="113"/>
  <c r="AF99" i="113"/>
  <c r="AF19" i="113"/>
  <c r="AH19" i="113" s="1"/>
  <c r="AF9" i="113"/>
  <c r="AH9" i="113" s="1"/>
  <c r="AF79" i="113"/>
  <c r="AH74" i="113"/>
  <c r="AF89" i="113"/>
  <c r="AH89" i="113" s="1"/>
  <c r="AH84" i="113"/>
  <c r="AH85" i="113" s="1"/>
  <c r="AH104" i="113"/>
  <c r="AH106" i="113" s="1"/>
  <c r="AF119" i="113"/>
  <c r="AH119" i="113" s="1"/>
  <c r="AF29" i="113"/>
  <c r="AH29" i="113" s="1"/>
  <c r="AG54" i="113"/>
  <c r="AF34" i="113"/>
  <c r="AF54" i="113"/>
  <c r="AF14" i="113"/>
  <c r="AH14" i="113" s="1"/>
  <c r="X114" i="113"/>
  <c r="AE114" i="113" s="1"/>
  <c r="AG114" i="113" s="1"/>
  <c r="AH114" i="113" s="1"/>
  <c r="X109" i="113"/>
  <c r="AE109" i="113" s="1"/>
  <c r="AG109" i="113" s="1"/>
  <c r="X99" i="113"/>
  <c r="AE99" i="113" s="1"/>
  <c r="AG99" i="113" s="1"/>
  <c r="AG94" i="113"/>
  <c r="AH94" i="113" s="1"/>
  <c r="AH95" i="113" s="1"/>
  <c r="X79" i="113"/>
  <c r="AE79" i="113" s="1"/>
  <c r="AG79" i="113" s="1"/>
  <c r="AH79" i="113" s="1"/>
  <c r="X69" i="113"/>
  <c r="AE69" i="113" s="1"/>
  <c r="AG69" i="113" s="1"/>
  <c r="AH69" i="113" s="1"/>
  <c r="AG59" i="113"/>
  <c r="X49" i="113"/>
  <c r="AE49" i="113" s="1"/>
  <c r="AG49" i="113" s="1"/>
  <c r="X44" i="113"/>
  <c r="AE44" i="113" s="1"/>
  <c r="AG44" i="113" s="1"/>
  <c r="AH44" i="113" s="1"/>
  <c r="X39" i="113"/>
  <c r="AE39" i="113" s="1"/>
  <c r="AG39" i="113" s="1"/>
  <c r="AH39" i="113" s="1"/>
  <c r="X34" i="113"/>
  <c r="AE34" i="113" s="1"/>
  <c r="AG34" i="113" s="1"/>
  <c r="Y123" i="113"/>
  <c r="J4" i="113"/>
  <c r="X4" i="113" s="1"/>
  <c r="AD4" i="113"/>
  <c r="AD123" i="113" s="1"/>
  <c r="H123" i="113"/>
  <c r="V4" i="113"/>
  <c r="K4" i="112"/>
  <c r="W4" i="112"/>
  <c r="W14" i="112"/>
  <c r="K14" i="112"/>
  <c r="AH49" i="113" l="1"/>
  <c r="AH50" i="113" s="1"/>
  <c r="AH96" i="113"/>
  <c r="AH99" i="113"/>
  <c r="AH59" i="113"/>
  <c r="AH86" i="113"/>
  <c r="AH109" i="113"/>
  <c r="AH111" i="113" s="1"/>
  <c r="AH105" i="113"/>
  <c r="AH54" i="113"/>
  <c r="AH56" i="113" s="1"/>
  <c r="AH34" i="113"/>
  <c r="AH35" i="113" s="1"/>
  <c r="AI114" i="113"/>
  <c r="AJ114" i="113" s="1"/>
  <c r="AI119" i="113"/>
  <c r="AJ119" i="113" s="1"/>
  <c r="AI104" i="113"/>
  <c r="AJ104" i="113" s="1"/>
  <c r="AI109" i="113"/>
  <c r="AJ109" i="113" s="1"/>
  <c r="AH101" i="113"/>
  <c r="AH100" i="113"/>
  <c r="AI94" i="113"/>
  <c r="AJ94" i="113" s="1"/>
  <c r="AI99" i="113"/>
  <c r="AJ99" i="113" s="1"/>
  <c r="AI84" i="113"/>
  <c r="AJ84" i="113" s="1"/>
  <c r="AI89" i="113"/>
  <c r="AJ89" i="113" s="1"/>
  <c r="AH80" i="113"/>
  <c r="AH81" i="113"/>
  <c r="AI74" i="113"/>
  <c r="AJ74" i="113" s="1"/>
  <c r="AI79" i="113"/>
  <c r="AJ79" i="113" s="1"/>
  <c r="AI9" i="113"/>
  <c r="AJ9" i="113" s="1"/>
  <c r="AI64" i="113"/>
  <c r="AJ64" i="113" s="1"/>
  <c r="AI69" i="113"/>
  <c r="AJ69" i="113" s="1"/>
  <c r="AI54" i="113"/>
  <c r="AI59" i="113"/>
  <c r="AJ59" i="113" s="1"/>
  <c r="AI29" i="113"/>
  <c r="AJ29" i="113" s="1"/>
  <c r="AI44" i="113"/>
  <c r="AJ44" i="113" s="1"/>
  <c r="AI49" i="113"/>
  <c r="AH45" i="113"/>
  <c r="AH46" i="113"/>
  <c r="AI19" i="113"/>
  <c r="AJ19" i="113" s="1"/>
  <c r="AI39" i="113"/>
  <c r="AJ39" i="113" s="1"/>
  <c r="AI34" i="113"/>
  <c r="AI4" i="113"/>
  <c r="AI14" i="113"/>
  <c r="AJ14" i="113" s="1"/>
  <c r="AH71" i="113"/>
  <c r="AH70" i="113"/>
  <c r="AH30" i="113"/>
  <c r="AH31" i="113"/>
  <c r="AH11" i="113"/>
  <c r="AH10" i="113"/>
  <c r="AH60" i="113"/>
  <c r="AH61" i="113"/>
  <c r="AH41" i="113"/>
  <c r="AH40" i="113"/>
  <c r="AH21" i="113"/>
  <c r="AH20" i="113"/>
  <c r="AH121" i="113"/>
  <c r="AH120" i="113"/>
  <c r="X123" i="113"/>
  <c r="AE4" i="113"/>
  <c r="AE123" i="113" s="1"/>
  <c r="AH66" i="113"/>
  <c r="AH65" i="113"/>
  <c r="AH116" i="113"/>
  <c r="AH115" i="113"/>
  <c r="AH76" i="113"/>
  <c r="AH75" i="113"/>
  <c r="AH91" i="113"/>
  <c r="AH90" i="113"/>
  <c r="V123" i="113"/>
  <c r="AF4" i="113"/>
  <c r="AB9" i="112"/>
  <c r="AB4" i="112"/>
  <c r="Y4" i="112"/>
  <c r="H9" i="112"/>
  <c r="H4" i="112"/>
  <c r="F9" i="112"/>
  <c r="AD9" i="112"/>
  <c r="F4" i="112"/>
  <c r="Z59" i="111"/>
  <c r="J29" i="112"/>
  <c r="AH51" i="113" l="1"/>
  <c r="AJ49" i="113"/>
  <c r="AH55" i="113"/>
  <c r="AH110" i="113"/>
  <c r="AJ54" i="113"/>
  <c r="AH36" i="113"/>
  <c r="AJ34" i="113"/>
  <c r="V9" i="112"/>
  <c r="X9" i="112"/>
  <c r="AI123" i="113"/>
  <c r="AF123" i="113"/>
  <c r="AL3" i="113" s="1"/>
  <c r="AG4" i="113"/>
  <c r="AH16" i="113"/>
  <c r="AH15" i="113"/>
  <c r="J9" i="112"/>
  <c r="Y9" i="112"/>
  <c r="AF9" i="112" s="1"/>
  <c r="AB69" i="111"/>
  <c r="AB64" i="111"/>
  <c r="AB54" i="111"/>
  <c r="W84" i="111"/>
  <c r="W79" i="111"/>
  <c r="W74" i="111"/>
  <c r="W69" i="111"/>
  <c r="W64" i="111"/>
  <c r="W59" i="111"/>
  <c r="AE9" i="112" l="1"/>
  <c r="AG9" i="112" s="1"/>
  <c r="AG123" i="113"/>
  <c r="AH4" i="113"/>
  <c r="AH123" i="113" s="1"/>
  <c r="AL8" i="113" s="1"/>
  <c r="AL38" i="113" s="1"/>
  <c r="AM38" i="113" s="1"/>
  <c r="AM42" i="113" s="1"/>
  <c r="AH9" i="112"/>
  <c r="AH10" i="112" s="1"/>
  <c r="AB34" i="111"/>
  <c r="AB29" i="111"/>
  <c r="AH6" i="113" l="1"/>
  <c r="AM3" i="113"/>
  <c r="AM4" i="113" s="1"/>
  <c r="AJ4" i="113"/>
  <c r="AJ123" i="113" s="1"/>
  <c r="AH5" i="113"/>
  <c r="AH11" i="112"/>
  <c r="AC84" i="108"/>
  <c r="AC79" i="108"/>
  <c r="AL19" i="106"/>
  <c r="Z29" i="111" l="1"/>
  <c r="Z34" i="111"/>
  <c r="Z24" i="111"/>
  <c r="Z79" i="111"/>
  <c r="Z54" i="111"/>
  <c r="Z39" i="111"/>
  <c r="Y14" i="112"/>
  <c r="AL29" i="112"/>
  <c r="AL33" i="112" s="1"/>
  <c r="AL30" i="111"/>
  <c r="AL30" i="110"/>
  <c r="W4" i="111" l="1"/>
  <c r="W59" i="110"/>
  <c r="W69" i="110"/>
  <c r="W74" i="110"/>
  <c r="W64" i="110"/>
  <c r="W54" i="110"/>
  <c r="W49" i="110"/>
  <c r="W44" i="110"/>
  <c r="W39" i="110"/>
  <c r="W34" i="110"/>
  <c r="W29" i="110"/>
  <c r="W24" i="110"/>
  <c r="W19" i="110"/>
  <c r="W9" i="110"/>
  <c r="W4" i="110"/>
  <c r="W14" i="110"/>
  <c r="W49" i="109"/>
  <c r="W44" i="109"/>
  <c r="W39" i="109"/>
  <c r="W34" i="109"/>
  <c r="W29" i="109"/>
  <c r="W24" i="109"/>
  <c r="W19" i="109"/>
  <c r="W14" i="109"/>
  <c r="W9" i="109"/>
  <c r="Y94" i="111"/>
  <c r="Y89" i="111"/>
  <c r="AD114" i="112"/>
  <c r="Y114" i="112"/>
  <c r="AD109" i="112"/>
  <c r="Y109" i="112"/>
  <c r="AD104" i="112"/>
  <c r="Y104" i="112"/>
  <c r="AD99" i="112"/>
  <c r="Y99" i="112"/>
  <c r="AD94" i="112"/>
  <c r="Y94" i="112"/>
  <c r="AD89" i="112"/>
  <c r="Y89" i="112"/>
  <c r="AD84" i="112"/>
  <c r="Y84" i="112"/>
  <c r="AD79" i="112"/>
  <c r="Y79" i="112"/>
  <c r="AD74" i="112"/>
  <c r="Y74" i="112"/>
  <c r="AD69" i="112"/>
  <c r="Y69" i="112"/>
  <c r="AD64" i="112"/>
  <c r="Y64" i="112"/>
  <c r="AD59" i="112"/>
  <c r="Y59" i="112"/>
  <c r="AD54" i="112"/>
  <c r="Y54" i="112"/>
  <c r="AD49" i="112"/>
  <c r="Y49" i="112"/>
  <c r="AD44" i="112"/>
  <c r="Y44" i="112"/>
  <c r="AD39" i="112"/>
  <c r="Y39" i="112"/>
  <c r="AD34" i="112"/>
  <c r="Y34" i="112"/>
  <c r="AD29" i="112"/>
  <c r="Y29" i="112"/>
  <c r="AD24" i="112"/>
  <c r="Y24" i="112"/>
  <c r="AD19" i="112"/>
  <c r="Y19" i="112"/>
  <c r="AD14" i="112"/>
  <c r="V114" i="112"/>
  <c r="J114" i="112"/>
  <c r="X114" i="112" s="1"/>
  <c r="AE114" i="112" s="1"/>
  <c r="AG114" i="112" s="1"/>
  <c r="V109" i="112"/>
  <c r="J109" i="112"/>
  <c r="X109" i="112" s="1"/>
  <c r="AE109" i="112" s="1"/>
  <c r="AG109" i="112" s="1"/>
  <c r="V104" i="112"/>
  <c r="AF104" i="112" s="1"/>
  <c r="J104" i="112"/>
  <c r="X104" i="112" s="1"/>
  <c r="AE104" i="112" s="1"/>
  <c r="V99" i="112"/>
  <c r="AF99" i="112" s="1"/>
  <c r="J99" i="112"/>
  <c r="X99" i="112" s="1"/>
  <c r="AE99" i="112" s="1"/>
  <c r="V94" i="112"/>
  <c r="J94" i="112"/>
  <c r="X94" i="112" s="1"/>
  <c r="AE94" i="112" s="1"/>
  <c r="AG94" i="112" s="1"/>
  <c r="V89" i="112"/>
  <c r="J89" i="112"/>
  <c r="X89" i="112" s="1"/>
  <c r="AE89" i="112" s="1"/>
  <c r="AG89" i="112" s="1"/>
  <c r="V84" i="112"/>
  <c r="J84" i="112"/>
  <c r="X84" i="112" s="1"/>
  <c r="AE84" i="112" s="1"/>
  <c r="AG84" i="112" s="1"/>
  <c r="V79" i="112"/>
  <c r="J79" i="112"/>
  <c r="X79" i="112" s="1"/>
  <c r="AE79" i="112" s="1"/>
  <c r="AG79" i="112" s="1"/>
  <c r="V74" i="112"/>
  <c r="J74" i="112"/>
  <c r="X74" i="112" s="1"/>
  <c r="AE74" i="112" s="1"/>
  <c r="AG74" i="112" s="1"/>
  <c r="X69" i="112"/>
  <c r="AE69" i="112" s="1"/>
  <c r="AG69" i="112" s="1"/>
  <c r="V69" i="112"/>
  <c r="J69" i="112"/>
  <c r="V64" i="112"/>
  <c r="J64" i="112"/>
  <c r="X64" i="112" s="1"/>
  <c r="AE64" i="112" s="1"/>
  <c r="AG64" i="112" s="1"/>
  <c r="V59" i="112"/>
  <c r="J59" i="112"/>
  <c r="X59" i="112" s="1"/>
  <c r="AE59" i="112" s="1"/>
  <c r="AG59" i="112" s="1"/>
  <c r="V54" i="112"/>
  <c r="J54" i="112"/>
  <c r="X54" i="112" s="1"/>
  <c r="AE54" i="112" s="1"/>
  <c r="AG54" i="112" s="1"/>
  <c r="V49" i="112"/>
  <c r="J49" i="112"/>
  <c r="X49" i="112" s="1"/>
  <c r="AE49" i="112" s="1"/>
  <c r="AG49" i="112" s="1"/>
  <c r="V44" i="112"/>
  <c r="AF44" i="112" s="1"/>
  <c r="J44" i="112"/>
  <c r="X44" i="112" s="1"/>
  <c r="AE44" i="112" s="1"/>
  <c r="AG44" i="112" s="1"/>
  <c r="V39" i="112"/>
  <c r="J39" i="112"/>
  <c r="X39" i="112" s="1"/>
  <c r="AE39" i="112" s="1"/>
  <c r="AG39" i="112" s="1"/>
  <c r="V34" i="112"/>
  <c r="J34" i="112"/>
  <c r="X34" i="112" s="1"/>
  <c r="AE34" i="112" s="1"/>
  <c r="AG34" i="112" s="1"/>
  <c r="V29" i="112"/>
  <c r="X29" i="112"/>
  <c r="AE29" i="112" s="1"/>
  <c r="AG29" i="112" s="1"/>
  <c r="V24" i="112"/>
  <c r="J24" i="112"/>
  <c r="X24" i="112" s="1"/>
  <c r="AE24" i="112" s="1"/>
  <c r="AG24" i="112" s="1"/>
  <c r="V19" i="112"/>
  <c r="J19" i="112"/>
  <c r="V14" i="112"/>
  <c r="J14" i="112"/>
  <c r="X14" i="112" s="1"/>
  <c r="AE14" i="112" s="1"/>
  <c r="AG14" i="112" s="1"/>
  <c r="AA118" i="112"/>
  <c r="K118" i="112"/>
  <c r="G118" i="112"/>
  <c r="F118" i="112"/>
  <c r="Z118" i="112"/>
  <c r="AD4" i="112"/>
  <c r="V4" i="112"/>
  <c r="J4" i="112"/>
  <c r="X4" i="112" s="1"/>
  <c r="AB14" i="110"/>
  <c r="AB74" i="110"/>
  <c r="AB19" i="110"/>
  <c r="AB19" i="111"/>
  <c r="AB39" i="111"/>
  <c r="AL7" i="112" l="1"/>
  <c r="AI9" i="112" s="1"/>
  <c r="AJ9" i="112" s="1"/>
  <c r="AF49" i="112"/>
  <c r="AF89" i="112"/>
  <c r="X19" i="112"/>
  <c r="AE19" i="112" s="1"/>
  <c r="AG19" i="112" s="1"/>
  <c r="AF64" i="112"/>
  <c r="AF84" i="112"/>
  <c r="AG99" i="112"/>
  <c r="AF69" i="112"/>
  <c r="AF34" i="112"/>
  <c r="AF54" i="112"/>
  <c r="AF74" i="112"/>
  <c r="AF94" i="112"/>
  <c r="AG104" i="112"/>
  <c r="AH104" i="112" s="1"/>
  <c r="AF39" i="112"/>
  <c r="AF109" i="112"/>
  <c r="AH109" i="112" s="1"/>
  <c r="AF59" i="112"/>
  <c r="AH59" i="112" s="1"/>
  <c r="AF79" i="112"/>
  <c r="AF114" i="112"/>
  <c r="AF29" i="112"/>
  <c r="AH29" i="112" s="1"/>
  <c r="AF24" i="112"/>
  <c r="AH24" i="112" s="1"/>
  <c r="AF19" i="112"/>
  <c r="AI64" i="112"/>
  <c r="AI114" i="112"/>
  <c r="AI59" i="112"/>
  <c r="AI54" i="112"/>
  <c r="AI109" i="112"/>
  <c r="AI49" i="112"/>
  <c r="AI94" i="112"/>
  <c r="AI29" i="112"/>
  <c r="AI79" i="112"/>
  <c r="AI69" i="112"/>
  <c r="AI104" i="112"/>
  <c r="AI44" i="112"/>
  <c r="AI34" i="112"/>
  <c r="AI24" i="112"/>
  <c r="AI74" i="112"/>
  <c r="AI4" i="112"/>
  <c r="AI99" i="112"/>
  <c r="AI39" i="112"/>
  <c r="AI19" i="112"/>
  <c r="AI14" i="112"/>
  <c r="AI89" i="112"/>
  <c r="AI84" i="112"/>
  <c r="AF14" i="112"/>
  <c r="AH14" i="112" s="1"/>
  <c r="AH94" i="112"/>
  <c r="AH96" i="112" s="1"/>
  <c r="AH89" i="112"/>
  <c r="AH91" i="112" s="1"/>
  <c r="AH64" i="112"/>
  <c r="AH65" i="112" s="1"/>
  <c r="AB118" i="112"/>
  <c r="AH99" i="112"/>
  <c r="AC118" i="112"/>
  <c r="AD118" i="112"/>
  <c r="Y118" i="112"/>
  <c r="AF4" i="112"/>
  <c r="AH114" i="112"/>
  <c r="AH69" i="112"/>
  <c r="AH54" i="112"/>
  <c r="AH49" i="112"/>
  <c r="AH74" i="112"/>
  <c r="AH79" i="112"/>
  <c r="AH34" i="112"/>
  <c r="AH44" i="112"/>
  <c r="H118" i="112"/>
  <c r="AE4" i="112"/>
  <c r="V118" i="112"/>
  <c r="AH84" i="112"/>
  <c r="AH19" i="112" l="1"/>
  <c r="AJ14" i="112"/>
  <c r="AJ114" i="112"/>
  <c r="AJ109" i="112"/>
  <c r="AJ104" i="112"/>
  <c r="AJ99" i="112"/>
  <c r="AJ94" i="112"/>
  <c r="AJ89" i="112"/>
  <c r="AH90" i="112"/>
  <c r="AJ84" i="112"/>
  <c r="AJ79" i="112"/>
  <c r="AJ74" i="112"/>
  <c r="AJ69" i="112"/>
  <c r="AJ64" i="112"/>
  <c r="AJ59" i="112"/>
  <c r="AJ54" i="112"/>
  <c r="AJ49" i="112"/>
  <c r="AJ44" i="112"/>
  <c r="AJ34" i="112"/>
  <c r="AJ29" i="112"/>
  <c r="AJ24" i="112"/>
  <c r="AJ19" i="112"/>
  <c r="AH95" i="112"/>
  <c r="AH66" i="112"/>
  <c r="AH101" i="112"/>
  <c r="AH100" i="112"/>
  <c r="AH39" i="112"/>
  <c r="AH41" i="112" s="1"/>
  <c r="AH26" i="112"/>
  <c r="AH16" i="112"/>
  <c r="AH15" i="112"/>
  <c r="AF118" i="112"/>
  <c r="AL3" i="112" s="1"/>
  <c r="AH116" i="112"/>
  <c r="AH115" i="112"/>
  <c r="AH111" i="112"/>
  <c r="AH110" i="112"/>
  <c r="AH86" i="112"/>
  <c r="AH85" i="112"/>
  <c r="AH36" i="112"/>
  <c r="AH35" i="112"/>
  <c r="AH51" i="112"/>
  <c r="AH50" i="112"/>
  <c r="AH31" i="112"/>
  <c r="AH30" i="112"/>
  <c r="X118" i="112"/>
  <c r="AH60" i="112"/>
  <c r="AH61" i="112"/>
  <c r="AH106" i="112"/>
  <c r="AH105" i="112"/>
  <c r="AH56" i="112"/>
  <c r="AH55" i="112"/>
  <c r="AG4" i="112"/>
  <c r="AE118" i="112"/>
  <c r="AH71" i="112"/>
  <c r="AH70" i="112"/>
  <c r="AH81" i="112"/>
  <c r="AH80" i="112"/>
  <c r="AH21" i="112"/>
  <c r="AH20" i="112"/>
  <c r="AH46" i="112"/>
  <c r="AH45" i="112"/>
  <c r="AH76" i="112"/>
  <c r="AH75" i="112"/>
  <c r="AJ39" i="112" l="1"/>
  <c r="AH40" i="112"/>
  <c r="AH4" i="112"/>
  <c r="AJ4" i="112" s="1"/>
  <c r="AG118" i="112"/>
  <c r="AH118" i="112" l="1"/>
  <c r="AH5" i="112"/>
  <c r="AH6" i="112"/>
  <c r="AL8" i="112" l="1"/>
  <c r="AI118" i="112"/>
  <c r="AM3" i="112" s="1"/>
  <c r="AM4" i="112" s="1"/>
  <c r="AJ118" i="112"/>
  <c r="AM33" i="112" l="1"/>
  <c r="W54" i="111"/>
  <c r="W49" i="111"/>
  <c r="W44" i="111"/>
  <c r="W34" i="111"/>
  <c r="AC79" i="111"/>
  <c r="Y69" i="111"/>
  <c r="Y64" i="111"/>
  <c r="Y59" i="111"/>
  <c r="Z19" i="111"/>
  <c r="Z74" i="110"/>
  <c r="Z39" i="110"/>
  <c r="Z44" i="110"/>
  <c r="W24" i="111"/>
  <c r="W29" i="111"/>
  <c r="W39" i="111"/>
  <c r="W19" i="111" l="1"/>
  <c r="W14" i="111"/>
  <c r="W9" i="111"/>
  <c r="AD19" i="111" l="1"/>
  <c r="Y19" i="111"/>
  <c r="V19" i="111"/>
  <c r="J19" i="111"/>
  <c r="AF19" i="111" l="1"/>
  <c r="X19" i="111"/>
  <c r="AE19" i="111" s="1"/>
  <c r="AG19" i="111" s="1"/>
  <c r="AH19" i="111" l="1"/>
  <c r="AH21" i="111" l="1"/>
  <c r="AD74" i="110"/>
  <c r="Y74" i="110"/>
  <c r="F74" i="110"/>
  <c r="AB54" i="110"/>
  <c r="F59" i="110"/>
  <c r="AD59" i="110"/>
  <c r="F54" i="110"/>
  <c r="Y59" i="110"/>
  <c r="Z59" i="110" l="1"/>
  <c r="Z54" i="110"/>
  <c r="H59" i="110"/>
  <c r="AB59" i="110"/>
  <c r="H54" i="110"/>
  <c r="V59" i="110" l="1"/>
  <c r="AF59" i="110" s="1"/>
  <c r="J59" i="110"/>
  <c r="X59" i="110" s="1"/>
  <c r="AE59" i="110" s="1"/>
  <c r="AG59" i="110" s="1"/>
  <c r="AH59" i="110" l="1"/>
  <c r="AH61" i="110"/>
  <c r="AH60" i="110"/>
  <c r="Z49" i="110" l="1"/>
  <c r="F49" i="110"/>
  <c r="Z24" i="110" l="1"/>
  <c r="AC54" i="111" l="1"/>
  <c r="AD39" i="111"/>
  <c r="Y39" i="111"/>
  <c r="V39" i="111"/>
  <c r="J39" i="111"/>
  <c r="X39" i="111" s="1"/>
  <c r="AE39" i="111" s="1"/>
  <c r="AD34" i="111"/>
  <c r="AC34" i="111"/>
  <c r="Y34" i="111"/>
  <c r="H34" i="111"/>
  <c r="AC29" i="111"/>
  <c r="H29" i="111"/>
  <c r="H14" i="111"/>
  <c r="V14" i="111" s="1"/>
  <c r="AC9" i="111"/>
  <c r="J9" i="111"/>
  <c r="X9" i="111" s="1"/>
  <c r="AE9" i="111" s="1"/>
  <c r="AD109" i="111"/>
  <c r="AD104" i="111"/>
  <c r="AD99" i="111"/>
  <c r="AD94" i="111"/>
  <c r="AD89" i="111"/>
  <c r="AD84" i="111"/>
  <c r="AD79" i="111"/>
  <c r="AD74" i="111"/>
  <c r="AD69" i="111"/>
  <c r="AD64" i="111"/>
  <c r="AD59" i="111"/>
  <c r="AD54" i="111"/>
  <c r="AD49" i="111"/>
  <c r="AD44" i="111"/>
  <c r="AD29" i="111"/>
  <c r="AD14" i="111"/>
  <c r="AD9" i="111"/>
  <c r="AD24" i="111"/>
  <c r="AD4" i="111"/>
  <c r="Y24" i="111"/>
  <c r="AB44" i="110"/>
  <c r="AB39" i="110"/>
  <c r="AB9" i="110"/>
  <c r="K44" i="110"/>
  <c r="K39" i="110"/>
  <c r="Y109" i="111"/>
  <c r="V109" i="111"/>
  <c r="K109" i="111"/>
  <c r="J109" i="111" s="1"/>
  <c r="X109" i="111" s="1"/>
  <c r="AE109" i="111" s="1"/>
  <c r="Y104" i="111"/>
  <c r="V104" i="111"/>
  <c r="K104" i="111"/>
  <c r="J104" i="111" s="1"/>
  <c r="X104" i="111" s="1"/>
  <c r="AE104" i="111" s="1"/>
  <c r="Y99" i="111"/>
  <c r="V99" i="111"/>
  <c r="K99" i="111"/>
  <c r="J99" i="111" s="1"/>
  <c r="X99" i="111" s="1"/>
  <c r="AE99" i="111" s="1"/>
  <c r="V94" i="111"/>
  <c r="J94" i="111"/>
  <c r="V89" i="111"/>
  <c r="J89" i="111"/>
  <c r="X89" i="111" s="1"/>
  <c r="AE89" i="111" s="1"/>
  <c r="Y84" i="111"/>
  <c r="V84" i="111"/>
  <c r="J84" i="111"/>
  <c r="X84" i="111" s="1"/>
  <c r="AE84" i="111" s="1"/>
  <c r="Y79" i="111"/>
  <c r="V79" i="111"/>
  <c r="J79" i="111"/>
  <c r="X79" i="111" s="1"/>
  <c r="AE79" i="111" s="1"/>
  <c r="Y74" i="111"/>
  <c r="V74" i="111"/>
  <c r="J74" i="111"/>
  <c r="X74" i="111" s="1"/>
  <c r="AE74" i="111" s="1"/>
  <c r="V69" i="111"/>
  <c r="J69" i="111"/>
  <c r="X69" i="111" s="1"/>
  <c r="AE69" i="111" s="1"/>
  <c r="V64" i="111"/>
  <c r="J64" i="111"/>
  <c r="X64" i="111" s="1"/>
  <c r="AE64" i="111" s="1"/>
  <c r="V59" i="111"/>
  <c r="J59" i="111"/>
  <c r="X59" i="111" s="1"/>
  <c r="AE59" i="111" s="1"/>
  <c r="Y54" i="111"/>
  <c r="V54" i="111"/>
  <c r="J54" i="111"/>
  <c r="Y49" i="111"/>
  <c r="V49" i="111"/>
  <c r="J49" i="111"/>
  <c r="Y44" i="111"/>
  <c r="V44" i="111"/>
  <c r="J44" i="111"/>
  <c r="Y29" i="111"/>
  <c r="Y14" i="111"/>
  <c r="J24" i="111"/>
  <c r="X24" i="111" s="1"/>
  <c r="AA113" i="111"/>
  <c r="G113" i="111"/>
  <c r="F113" i="111"/>
  <c r="AL7" i="111" s="1"/>
  <c r="Y9" i="111"/>
  <c r="V24" i="111"/>
  <c r="AC4" i="111"/>
  <c r="AB113" i="111"/>
  <c r="Z113" i="111"/>
  <c r="Y4" i="111"/>
  <c r="V4" i="111"/>
  <c r="J4" i="111"/>
  <c r="X4" i="111" s="1"/>
  <c r="AE4" i="111" s="1"/>
  <c r="AC69" i="110"/>
  <c r="AC64" i="110"/>
  <c r="V54" i="110"/>
  <c r="AI24" i="111" l="1"/>
  <c r="AI44" i="111"/>
  <c r="AI89" i="111"/>
  <c r="AI74" i="111"/>
  <c r="AI79" i="111"/>
  <c r="AI104" i="111"/>
  <c r="AI29" i="111"/>
  <c r="AI34" i="111"/>
  <c r="AI39" i="111"/>
  <c r="AI94" i="111"/>
  <c r="AI84" i="111"/>
  <c r="AI109" i="111"/>
  <c r="AI4" i="111"/>
  <c r="AI54" i="111"/>
  <c r="AI69" i="111"/>
  <c r="AI19" i="111"/>
  <c r="AJ19" i="111" s="1"/>
  <c r="AI9" i="111"/>
  <c r="AI64" i="111"/>
  <c r="AI14" i="111"/>
  <c r="AI59" i="111"/>
  <c r="AI99" i="111"/>
  <c r="AI49" i="111"/>
  <c r="X94" i="111"/>
  <c r="AE94" i="111" s="1"/>
  <c r="AG94" i="111" s="1"/>
  <c r="X44" i="111"/>
  <c r="AE44" i="111" s="1"/>
  <c r="AG44" i="111" s="1"/>
  <c r="X54" i="111"/>
  <c r="AE54" i="111" s="1"/>
  <c r="AG54" i="111" s="1"/>
  <c r="X49" i="111"/>
  <c r="AE49" i="111" s="1"/>
  <c r="AG49" i="111" s="1"/>
  <c r="AF79" i="111"/>
  <c r="AF59" i="111"/>
  <c r="V29" i="111"/>
  <c r="AF29" i="111" s="1"/>
  <c r="AE24" i="111"/>
  <c r="AG24" i="111" s="1"/>
  <c r="AF64" i="111"/>
  <c r="AF84" i="111"/>
  <c r="J34" i="111"/>
  <c r="X34" i="111" s="1"/>
  <c r="AE34" i="111" s="1"/>
  <c r="V34" i="111"/>
  <c r="AF34" i="111" s="1"/>
  <c r="J29" i="111"/>
  <c r="J14" i="111"/>
  <c r="X14" i="111" s="1"/>
  <c r="AE14" i="111" s="1"/>
  <c r="AF14" i="111"/>
  <c r="AF89" i="111"/>
  <c r="AF69" i="111"/>
  <c r="AF74" i="111"/>
  <c r="AF94" i="111"/>
  <c r="AF99" i="111"/>
  <c r="AF104" i="111"/>
  <c r="AF109" i="111"/>
  <c r="AF39" i="111"/>
  <c r="AF44" i="111"/>
  <c r="AF49" i="111"/>
  <c r="AF54" i="111"/>
  <c r="AG109" i="111"/>
  <c r="AG104" i="111"/>
  <c r="AG99" i="111"/>
  <c r="AG89" i="111"/>
  <c r="AG84" i="111"/>
  <c r="AG79" i="111"/>
  <c r="AG74" i="111"/>
  <c r="AG69" i="111"/>
  <c r="AG64" i="111"/>
  <c r="AG59" i="111"/>
  <c r="AG39" i="111"/>
  <c r="AC113" i="111"/>
  <c r="AF24" i="111"/>
  <c r="AF4" i="111"/>
  <c r="AG9" i="111"/>
  <c r="K113" i="111"/>
  <c r="V9" i="111"/>
  <c r="AF9" i="111" s="1"/>
  <c r="H113" i="111"/>
  <c r="Y113" i="111"/>
  <c r="AD113" i="111"/>
  <c r="Z9" i="109"/>
  <c r="Z44" i="109"/>
  <c r="Z39" i="109"/>
  <c r="Z49" i="109"/>
  <c r="Z14" i="110"/>
  <c r="Z19" i="110"/>
  <c r="AH84" i="111" l="1"/>
  <c r="AJ84" i="111" s="1"/>
  <c r="AH79" i="111"/>
  <c r="AJ79" i="111" s="1"/>
  <c r="AH64" i="111"/>
  <c r="AJ64" i="111" s="1"/>
  <c r="X29" i="111"/>
  <c r="AE29" i="111" s="1"/>
  <c r="AH69" i="111"/>
  <c r="AJ69" i="111" s="1"/>
  <c r="AG34" i="111"/>
  <c r="AH34" i="111" s="1"/>
  <c r="AJ34" i="111" s="1"/>
  <c r="AG14" i="111"/>
  <c r="AH14" i="111" s="1"/>
  <c r="AJ14" i="111" s="1"/>
  <c r="AH109" i="111"/>
  <c r="AJ109" i="111" s="1"/>
  <c r="AH104" i="111"/>
  <c r="AJ104" i="111" s="1"/>
  <c r="AH99" i="111"/>
  <c r="AJ99" i="111" s="1"/>
  <c r="AH94" i="111"/>
  <c r="AJ94" i="111" s="1"/>
  <c r="AH89" i="111"/>
  <c r="AJ89" i="111" s="1"/>
  <c r="AH74" i="111"/>
  <c r="AJ74" i="111" s="1"/>
  <c r="AH44" i="111"/>
  <c r="AJ44" i="111" s="1"/>
  <c r="AH39" i="111"/>
  <c r="AJ39" i="111" s="1"/>
  <c r="AH54" i="111"/>
  <c r="AJ54" i="111" s="1"/>
  <c r="AH59" i="111"/>
  <c r="AJ59" i="111" s="1"/>
  <c r="AH49" i="111"/>
  <c r="AJ49" i="111" s="1"/>
  <c r="AH24" i="111"/>
  <c r="AJ24" i="111" s="1"/>
  <c r="V113" i="111"/>
  <c r="AH9" i="111"/>
  <c r="AJ9" i="111" s="1"/>
  <c r="Z9" i="110"/>
  <c r="Z4" i="110"/>
  <c r="AB4" i="110"/>
  <c r="AB49" i="109"/>
  <c r="AB44" i="109"/>
  <c r="AB39" i="109"/>
  <c r="AB114" i="108"/>
  <c r="AB109" i="108"/>
  <c r="X113" i="111" l="1"/>
  <c r="AH91" i="111"/>
  <c r="AH101" i="111"/>
  <c r="AH105" i="111"/>
  <c r="AH70" i="111"/>
  <c r="AH111" i="111"/>
  <c r="AH50" i="111"/>
  <c r="AH56" i="111"/>
  <c r="AH46" i="111"/>
  <c r="AH81" i="111"/>
  <c r="AH96" i="111"/>
  <c r="AH26" i="111"/>
  <c r="AH16" i="111"/>
  <c r="AH61" i="111"/>
  <c r="AH66" i="111"/>
  <c r="AH76" i="111"/>
  <c r="AH86" i="111"/>
  <c r="AH85" i="111"/>
  <c r="AH80" i="111"/>
  <c r="AH71" i="111"/>
  <c r="AH65" i="111"/>
  <c r="AE113" i="111"/>
  <c r="AG29" i="111"/>
  <c r="AH29" i="111" s="1"/>
  <c r="AJ29" i="111" s="1"/>
  <c r="AH90" i="111"/>
  <c r="AH110" i="111"/>
  <c r="AH106" i="111"/>
  <c r="AH100" i="111"/>
  <c r="AH95" i="111"/>
  <c r="AH75" i="111"/>
  <c r="AH45" i="111"/>
  <c r="AH41" i="111"/>
  <c r="AF113" i="111"/>
  <c r="AL3" i="111" s="1"/>
  <c r="AH55" i="111"/>
  <c r="AH60" i="111"/>
  <c r="AH51" i="111"/>
  <c r="AH15" i="111"/>
  <c r="AH25" i="111"/>
  <c r="AH36" i="111"/>
  <c r="AH35" i="111"/>
  <c r="AG4" i="111"/>
  <c r="AH11" i="111"/>
  <c r="AH10" i="111"/>
  <c r="K9" i="110"/>
  <c r="K4" i="110"/>
  <c r="K19" i="110"/>
  <c r="AH31" i="111" l="1"/>
  <c r="AH30" i="111"/>
  <c r="AH4" i="111"/>
  <c r="AG113" i="111"/>
  <c r="AC49" i="110"/>
  <c r="H34" i="110"/>
  <c r="F34" i="110"/>
  <c r="AM44" i="110"/>
  <c r="AD44" i="110"/>
  <c r="Y44" i="110"/>
  <c r="V44" i="110"/>
  <c r="J44" i="110"/>
  <c r="X44" i="110" s="1"/>
  <c r="AE44" i="110" s="1"/>
  <c r="AD39" i="110"/>
  <c r="Y39" i="110"/>
  <c r="V39" i="110"/>
  <c r="J39" i="110"/>
  <c r="X39" i="110" s="1"/>
  <c r="AE39" i="110" s="1"/>
  <c r="AH113" i="111" l="1"/>
  <c r="AL8" i="111" s="1"/>
  <c r="AJ4" i="111"/>
  <c r="Z34" i="110"/>
  <c r="V34" i="110"/>
  <c r="AF44" i="110"/>
  <c r="K34" i="110"/>
  <c r="AB34" i="110"/>
  <c r="AG44" i="110"/>
  <c r="AH6" i="111"/>
  <c r="AH5" i="111"/>
  <c r="AF39" i="110"/>
  <c r="AG39" i="110"/>
  <c r="AL34" i="111" l="1"/>
  <c r="AM34" i="111" s="1"/>
  <c r="AM8" i="111"/>
  <c r="AH44" i="110"/>
  <c r="AH39" i="110"/>
  <c r="AH40" i="110" s="1"/>
  <c r="AH46" i="110"/>
  <c r="AH45" i="110"/>
  <c r="AH41" i="110" l="1"/>
  <c r="AJ113" i="111"/>
  <c r="AI113" i="111"/>
  <c r="AM3" i="111" s="1"/>
  <c r="AM4" i="111" s="1"/>
  <c r="Z114" i="108"/>
  <c r="Z109" i="108"/>
  <c r="AD34" i="110" l="1"/>
  <c r="Y34" i="110"/>
  <c r="Y29" i="110"/>
  <c r="AC24" i="110"/>
  <c r="Y49" i="109"/>
  <c r="AF34" i="110" l="1"/>
  <c r="H14" i="110"/>
  <c r="H19" i="110"/>
  <c r="AC9" i="110"/>
  <c r="V4" i="110" l="1"/>
  <c r="AA118" i="110"/>
  <c r="H118" i="110"/>
  <c r="G118" i="110"/>
  <c r="F118" i="110"/>
  <c r="AL7" i="110" s="1"/>
  <c r="AD114" i="110"/>
  <c r="Y114" i="110"/>
  <c r="V114" i="110"/>
  <c r="J114" i="110"/>
  <c r="AD109" i="110"/>
  <c r="Y109" i="110"/>
  <c r="V109" i="110"/>
  <c r="J109" i="110"/>
  <c r="X109" i="110" s="1"/>
  <c r="AE109" i="110" s="1"/>
  <c r="AD104" i="110"/>
  <c r="Y104" i="110"/>
  <c r="V104" i="110"/>
  <c r="J104" i="110"/>
  <c r="X104" i="110" s="1"/>
  <c r="AE104" i="110" s="1"/>
  <c r="AD99" i="110"/>
  <c r="Y99" i="110"/>
  <c r="V99" i="110"/>
  <c r="J99" i="110"/>
  <c r="X99" i="110" s="1"/>
  <c r="AE99" i="110" s="1"/>
  <c r="AD94" i="110"/>
  <c r="Y94" i="110"/>
  <c r="V94" i="110"/>
  <c r="J94" i="110"/>
  <c r="X94" i="110" s="1"/>
  <c r="AE94" i="110" s="1"/>
  <c r="AD89" i="110"/>
  <c r="Y89" i="110"/>
  <c r="V89" i="110"/>
  <c r="J89" i="110"/>
  <c r="X89" i="110" s="1"/>
  <c r="AE89" i="110" s="1"/>
  <c r="AD84" i="110"/>
  <c r="Y84" i="110"/>
  <c r="V84" i="110"/>
  <c r="J84" i="110"/>
  <c r="X84" i="110" s="1"/>
  <c r="AE84" i="110" s="1"/>
  <c r="AD79" i="110"/>
  <c r="Y79" i="110"/>
  <c r="V79" i="110"/>
  <c r="J79" i="110"/>
  <c r="V74" i="110"/>
  <c r="J74" i="110"/>
  <c r="X74" i="110" s="1"/>
  <c r="AE74" i="110" s="1"/>
  <c r="AD69" i="110"/>
  <c r="Y69" i="110"/>
  <c r="V69" i="110"/>
  <c r="J69" i="110"/>
  <c r="X69" i="110" s="1"/>
  <c r="AE69" i="110" s="1"/>
  <c r="AD64" i="110"/>
  <c r="Y64" i="110"/>
  <c r="V64" i="110"/>
  <c r="J64" i="110"/>
  <c r="X64" i="110" s="1"/>
  <c r="AE64" i="110" s="1"/>
  <c r="AD54" i="110"/>
  <c r="Y54" i="110"/>
  <c r="J54" i="110"/>
  <c r="X54" i="110" s="1"/>
  <c r="AE54" i="110" s="1"/>
  <c r="AD49" i="110"/>
  <c r="Y49" i="110"/>
  <c r="V49" i="110"/>
  <c r="J49" i="110"/>
  <c r="X49" i="110" s="1"/>
  <c r="J34" i="110"/>
  <c r="X34" i="110" s="1"/>
  <c r="AE34" i="110" s="1"/>
  <c r="AD29" i="110"/>
  <c r="V29" i="110"/>
  <c r="J29" i="110"/>
  <c r="X29" i="110" s="1"/>
  <c r="AE29" i="110" s="1"/>
  <c r="AD24" i="110"/>
  <c r="Y24" i="110"/>
  <c r="V24" i="110"/>
  <c r="J24" i="110"/>
  <c r="X24" i="110" s="1"/>
  <c r="AE24" i="110" s="1"/>
  <c r="AD19" i="110"/>
  <c r="Y19" i="110"/>
  <c r="V19" i="110"/>
  <c r="J19" i="110"/>
  <c r="X19" i="110" s="1"/>
  <c r="AE19" i="110" s="1"/>
  <c r="AD14" i="110"/>
  <c r="Y14" i="110"/>
  <c r="V14" i="110"/>
  <c r="J14" i="110"/>
  <c r="X14" i="110" s="1"/>
  <c r="AE14" i="110" s="1"/>
  <c r="AD9" i="110"/>
  <c r="Y9" i="110"/>
  <c r="V9" i="110"/>
  <c r="J9" i="110"/>
  <c r="X9" i="110" s="1"/>
  <c r="AE9" i="110" s="1"/>
  <c r="AD4" i="110"/>
  <c r="AC4" i="110"/>
  <c r="AC118" i="110" s="1"/>
  <c r="AB118" i="110"/>
  <c r="Z118" i="110"/>
  <c r="Y4" i="110"/>
  <c r="J4" i="110"/>
  <c r="X4" i="110" s="1"/>
  <c r="AE4" i="110" s="1"/>
  <c r="AI89" i="110" l="1"/>
  <c r="AI109" i="110"/>
  <c r="AI79" i="110"/>
  <c r="AI69" i="110"/>
  <c r="AI64" i="110"/>
  <c r="AI114" i="110"/>
  <c r="AI84" i="110"/>
  <c r="AI44" i="110"/>
  <c r="AJ44" i="110" s="1"/>
  <c r="AI39" i="110"/>
  <c r="AJ39" i="110" s="1"/>
  <c r="AI29" i="110"/>
  <c r="AI104" i="110"/>
  <c r="AI99" i="110"/>
  <c r="AI94" i="110"/>
  <c r="AI74" i="110"/>
  <c r="AI59" i="110"/>
  <c r="AJ59" i="110" s="1"/>
  <c r="AI54" i="110"/>
  <c r="AI49" i="110"/>
  <c r="AI34" i="110"/>
  <c r="AI9" i="110"/>
  <c r="AI14" i="110"/>
  <c r="AI24" i="110"/>
  <c r="AI19" i="110"/>
  <c r="AF89" i="110"/>
  <c r="X79" i="110"/>
  <c r="AE79" i="110" s="1"/>
  <c r="AG79" i="110" s="1"/>
  <c r="AF79" i="110"/>
  <c r="AF109" i="110"/>
  <c r="X114" i="110"/>
  <c r="AE114" i="110" s="1"/>
  <c r="AG114" i="110" s="1"/>
  <c r="AH114" i="110" s="1"/>
  <c r="AF114" i="110"/>
  <c r="AF84" i="110"/>
  <c r="AG94" i="110"/>
  <c r="AG99" i="110"/>
  <c r="AG104" i="110"/>
  <c r="AG109" i="110"/>
  <c r="AH109" i="110" s="1"/>
  <c r="AG9" i="110"/>
  <c r="AG24" i="110"/>
  <c r="AG74" i="110"/>
  <c r="AF94" i="110"/>
  <c r="AF99" i="110"/>
  <c r="AF104" i="110"/>
  <c r="AG34" i="110"/>
  <c r="AH34" i="110" s="1"/>
  <c r="AG64" i="110"/>
  <c r="AG84" i="110"/>
  <c r="AG89" i="110"/>
  <c r="AG19" i="110"/>
  <c r="AF74" i="110"/>
  <c r="AF69" i="110"/>
  <c r="AG69" i="110"/>
  <c r="AF64" i="110"/>
  <c r="AF54" i="110"/>
  <c r="AG4" i="110"/>
  <c r="AF49" i="110"/>
  <c r="AF29" i="110"/>
  <c r="AF24" i="110"/>
  <c r="AF19" i="110"/>
  <c r="AG54" i="110"/>
  <c r="AE49" i="110"/>
  <c r="AG49" i="110" s="1"/>
  <c r="AI4" i="110"/>
  <c r="AG29" i="110"/>
  <c r="AF14" i="110"/>
  <c r="Y118" i="110"/>
  <c r="AD118" i="110"/>
  <c r="AF9" i="110"/>
  <c r="AF4" i="110"/>
  <c r="K118" i="110"/>
  <c r="V118" i="110"/>
  <c r="P39" i="109"/>
  <c r="K44" i="109"/>
  <c r="K39" i="109"/>
  <c r="M29" i="109"/>
  <c r="M9" i="109"/>
  <c r="L9" i="109"/>
  <c r="N114" i="108"/>
  <c r="M94" i="108"/>
  <c r="AB4" i="109"/>
  <c r="AJ114" i="110" l="1"/>
  <c r="AJ69" i="110"/>
  <c r="AJ104" i="110"/>
  <c r="AJ79" i="110"/>
  <c r="AJ34" i="110"/>
  <c r="AJ109" i="110"/>
  <c r="AH89" i="110"/>
  <c r="AH91" i="110" s="1"/>
  <c r="AH79" i="110"/>
  <c r="AH81" i="110" s="1"/>
  <c r="AH84" i="110"/>
  <c r="AH104" i="110"/>
  <c r="AH105" i="110" s="1"/>
  <c r="AH99" i="110"/>
  <c r="AH101" i="110" s="1"/>
  <c r="AH94" i="110"/>
  <c r="AH64" i="110"/>
  <c r="AH65" i="110" s="1"/>
  <c r="AH111" i="110"/>
  <c r="AH110" i="110"/>
  <c r="AH74" i="110"/>
  <c r="AH76" i="110" s="1"/>
  <c r="AH69" i="110"/>
  <c r="AH70" i="110" s="1"/>
  <c r="AH49" i="110"/>
  <c r="AH50" i="110" s="1"/>
  <c r="AH54" i="110"/>
  <c r="AE118" i="110"/>
  <c r="AH36" i="110"/>
  <c r="AH29" i="110"/>
  <c r="AH30" i="110" s="1"/>
  <c r="AH24" i="110"/>
  <c r="AH26" i="110" s="1"/>
  <c r="AH19" i="110"/>
  <c r="AH20" i="110" s="1"/>
  <c r="AH9" i="110"/>
  <c r="AJ9" i="110" s="1"/>
  <c r="AF118" i="110"/>
  <c r="AL3" i="110" s="1"/>
  <c r="AG14" i="110"/>
  <c r="AH14" i="110" s="1"/>
  <c r="AH16" i="110" s="1"/>
  <c r="AH116" i="110"/>
  <c r="AH115" i="110"/>
  <c r="X118" i="110"/>
  <c r="AH4" i="110"/>
  <c r="AJ4" i="110" s="1"/>
  <c r="AB94" i="108"/>
  <c r="Z9" i="108"/>
  <c r="AJ14" i="110" l="1"/>
  <c r="AJ24" i="110"/>
  <c r="AH80" i="110"/>
  <c r="AH95" i="110"/>
  <c r="AJ94" i="110"/>
  <c r="AJ89" i="110"/>
  <c r="AJ99" i="110"/>
  <c r="AJ49" i="110"/>
  <c r="AJ64" i="110"/>
  <c r="AH85" i="110"/>
  <c r="AJ84" i="110"/>
  <c r="AJ29" i="110"/>
  <c r="AJ74" i="110"/>
  <c r="AH56" i="110"/>
  <c r="AJ54" i="110"/>
  <c r="AH90" i="110"/>
  <c r="AH100" i="110"/>
  <c r="AJ19" i="110"/>
  <c r="AH86" i="110"/>
  <c r="AH106" i="110"/>
  <c r="AH11" i="110"/>
  <c r="AH96" i="110"/>
  <c r="AH66" i="110"/>
  <c r="AH71" i="110"/>
  <c r="AH75" i="110"/>
  <c r="AH51" i="110"/>
  <c r="AH55" i="110"/>
  <c r="AH35" i="110"/>
  <c r="AH31" i="110"/>
  <c r="AH25" i="110"/>
  <c r="AH21" i="110"/>
  <c r="AH10" i="110"/>
  <c r="AH15" i="110"/>
  <c r="AG118" i="110"/>
  <c r="AH5" i="110"/>
  <c r="AH118" i="110"/>
  <c r="AL8" i="110" s="1"/>
  <c r="AH6" i="110"/>
  <c r="Z4" i="109"/>
  <c r="Z94" i="108"/>
  <c r="Z59" i="108"/>
  <c r="Z74" i="108"/>
  <c r="Z84" i="108"/>
  <c r="Z99" i="108"/>
  <c r="Z49" i="108"/>
  <c r="Z44" i="108"/>
  <c r="L69" i="108"/>
  <c r="AE119" i="108"/>
  <c r="K59" i="108"/>
  <c r="Z29" i="108"/>
  <c r="Z14" i="107"/>
  <c r="Z9" i="107"/>
  <c r="AL34" i="110" l="1"/>
  <c r="AM34" i="110" s="1"/>
  <c r="AM8" i="110"/>
  <c r="Z4" i="107"/>
  <c r="AI118" i="110" l="1"/>
  <c r="AM3" i="110" s="1"/>
  <c r="AM4" i="110" s="1"/>
  <c r="AJ118" i="110"/>
  <c r="AC29" i="109"/>
  <c r="AC24" i="109"/>
  <c r="AC19" i="109"/>
  <c r="AC9" i="109"/>
  <c r="AC4" i="109"/>
  <c r="Z24" i="108"/>
  <c r="H114" i="108"/>
  <c r="H109" i="108"/>
  <c r="V104" i="108"/>
  <c r="V109" i="108" l="1"/>
  <c r="AB69" i="108"/>
  <c r="AB74" i="108"/>
  <c r="AB79" i="108"/>
  <c r="AB54" i="108"/>
  <c r="AB84" i="108"/>
  <c r="AB24" i="108"/>
  <c r="AB9" i="108"/>
  <c r="AB14" i="107"/>
  <c r="AB9" i="107"/>
  <c r="AB59" i="108"/>
  <c r="AB49" i="108"/>
  <c r="AB44" i="108"/>
  <c r="AB19" i="107" l="1"/>
  <c r="AC119" i="108"/>
  <c r="AC114" i="108"/>
  <c r="AC109" i="108"/>
  <c r="F64" i="108"/>
  <c r="AD64" i="108" s="1"/>
  <c r="Y64" i="108"/>
  <c r="V64" i="108"/>
  <c r="Z64" i="108" l="1"/>
  <c r="K64" i="108"/>
  <c r="J64" i="108" s="1"/>
  <c r="AB64" i="108"/>
  <c r="AF64" i="108" s="1"/>
  <c r="X64" i="108" l="1"/>
  <c r="AE64" i="108" s="1"/>
  <c r="AG64" i="108" s="1"/>
  <c r="AH64" i="108" s="1"/>
  <c r="AH65" i="108" l="1"/>
  <c r="AH66" i="108"/>
  <c r="Z19" i="107"/>
  <c r="O19" i="107"/>
  <c r="N19" i="107"/>
  <c r="M19" i="107"/>
  <c r="L19" i="107"/>
  <c r="H19" i="107"/>
  <c r="K19" i="107"/>
  <c r="F34" i="108"/>
  <c r="Y39" i="108"/>
  <c r="V39" i="108"/>
  <c r="J39" i="108"/>
  <c r="H14" i="108"/>
  <c r="H9" i="108"/>
  <c r="F14" i="108"/>
  <c r="AC29" i="108"/>
  <c r="V14" i="108" l="1"/>
  <c r="X39" i="108"/>
  <c r="AE39" i="108" s="1"/>
  <c r="AG39" i="108" s="1"/>
  <c r="F39" i="108"/>
  <c r="Z34" i="108"/>
  <c r="AB34" i="108"/>
  <c r="AD14" i="108"/>
  <c r="Z14" i="108"/>
  <c r="AB14" i="108"/>
  <c r="Y14" i="108"/>
  <c r="AC14" i="108"/>
  <c r="J14" i="108"/>
  <c r="AC19" i="108"/>
  <c r="AC9" i="108"/>
  <c r="AC4" i="108"/>
  <c r="AF14" i="108" l="1"/>
  <c r="AD39" i="108"/>
  <c r="Z39" i="108"/>
  <c r="AB39" i="108"/>
  <c r="X14" i="108"/>
  <c r="AE14" i="108" s="1"/>
  <c r="AG14" i="108" s="1"/>
  <c r="AH14" i="108" s="1"/>
  <c r="AH15" i="108" s="1"/>
  <c r="H14" i="107"/>
  <c r="H9" i="107"/>
  <c r="AF39" i="108" l="1"/>
  <c r="AH39" i="108" s="1"/>
  <c r="AH41" i="108" s="1"/>
  <c r="AH16" i="108"/>
  <c r="AD19" i="107"/>
  <c r="Y19" i="107"/>
  <c r="V19" i="107"/>
  <c r="J19" i="107"/>
  <c r="AH40" i="108" l="1"/>
  <c r="X19" i="107"/>
  <c r="AE19" i="107" s="1"/>
  <c r="AG19" i="107" s="1"/>
  <c r="AF19" i="107"/>
  <c r="AH19" i="107" l="1"/>
  <c r="AB94" i="106"/>
  <c r="AB89" i="106"/>
  <c r="AB4" i="107"/>
  <c r="Z94" i="106" l="1"/>
  <c r="Z89" i="106"/>
  <c r="X4" i="107" l="1"/>
  <c r="AH27" i="105"/>
  <c r="AD94" i="106"/>
  <c r="AC94" i="106"/>
  <c r="Y94" i="106"/>
  <c r="V94" i="106"/>
  <c r="K94" i="106"/>
  <c r="J94" i="106" s="1"/>
  <c r="AD89" i="106"/>
  <c r="AC89" i="106"/>
  <c r="Y89" i="106"/>
  <c r="V89" i="106"/>
  <c r="K89" i="106"/>
  <c r="X89" i="106" s="1"/>
  <c r="AE89" i="106" s="1"/>
  <c r="AD14" i="107"/>
  <c r="Y14" i="107"/>
  <c r="V14" i="107"/>
  <c r="J14" i="107"/>
  <c r="X14" i="107" s="1"/>
  <c r="AE14" i="107" s="1"/>
  <c r="AD9" i="107"/>
  <c r="Y9" i="107"/>
  <c r="V9" i="107"/>
  <c r="J9" i="107"/>
  <c r="X9" i="107" s="1"/>
  <c r="AE9" i="107" s="1"/>
  <c r="AD4" i="107"/>
  <c r="Y4" i="107"/>
  <c r="H4" i="107"/>
  <c r="J4" i="107" s="1"/>
  <c r="X64" i="106"/>
  <c r="AE64" i="106" s="1"/>
  <c r="X69" i="106"/>
  <c r="AE69" i="106" s="1"/>
  <c r="X74" i="106"/>
  <c r="AE74" i="106" s="1"/>
  <c r="X79" i="106"/>
  <c r="AE79" i="106" s="1"/>
  <c r="X84" i="106"/>
  <c r="AE84" i="106" s="1"/>
  <c r="X99" i="106"/>
  <c r="AE99" i="106" s="1"/>
  <c r="AF89" i="106" l="1"/>
  <c r="AF94" i="106"/>
  <c r="J89" i="106"/>
  <c r="AG89" i="106" s="1"/>
  <c r="X94" i="106"/>
  <c r="AE94" i="106" s="1"/>
  <c r="AG94" i="106" s="1"/>
  <c r="AH94" i="106" s="1"/>
  <c r="V4" i="107"/>
  <c r="Z99" i="106"/>
  <c r="AH89" i="106" l="1"/>
  <c r="AH96" i="106"/>
  <c r="AH95" i="106"/>
  <c r="Z36" i="105"/>
  <c r="Z64" i="106" l="1"/>
  <c r="AB99" i="106" l="1"/>
  <c r="AB64" i="106"/>
  <c r="AB84" i="106"/>
  <c r="AB79" i="106"/>
  <c r="Z84" i="106"/>
  <c r="Z79" i="106" l="1"/>
  <c r="Z39" i="106" l="1"/>
  <c r="Z34" i="106"/>
  <c r="Z24" i="106"/>
  <c r="Z9" i="106"/>
  <c r="Z4" i="106"/>
  <c r="X59" i="106"/>
  <c r="AE59" i="106" s="1"/>
  <c r="X54" i="106"/>
  <c r="AE54" i="106" s="1"/>
  <c r="X49" i="106"/>
  <c r="AE49" i="106" s="1"/>
  <c r="K54" i="106"/>
  <c r="K49" i="106"/>
  <c r="Z44" i="106"/>
  <c r="F69" i="106" l="1"/>
  <c r="V74" i="106"/>
  <c r="J74" i="106"/>
  <c r="AG74" i="106" s="1"/>
  <c r="F74" i="106" l="1"/>
  <c r="Y74" i="106" s="1"/>
  <c r="AB69" i="106"/>
  <c r="Z69" i="106"/>
  <c r="AC74" i="106" l="1"/>
  <c r="AD74" i="106"/>
  <c r="AB74" i="106"/>
  <c r="Z74" i="106"/>
  <c r="X34" i="106"/>
  <c r="AE34" i="106" s="1"/>
  <c r="X39" i="106"/>
  <c r="AE39" i="106" s="1"/>
  <c r="F29" i="106"/>
  <c r="AL24" i="109"/>
  <c r="Z59" i="106"/>
  <c r="Z54" i="106"/>
  <c r="Z49" i="106"/>
  <c r="AB59" i="106"/>
  <c r="AB54" i="106"/>
  <c r="AB49" i="106"/>
  <c r="AC113" i="109"/>
  <c r="AB113" i="109"/>
  <c r="AA113" i="109"/>
  <c r="Z113" i="109"/>
  <c r="K113" i="109"/>
  <c r="H113" i="109"/>
  <c r="G113" i="109"/>
  <c r="F113" i="109"/>
  <c r="AD109" i="109"/>
  <c r="Y109" i="109"/>
  <c r="V109" i="109"/>
  <c r="J109" i="109"/>
  <c r="AG109" i="109" s="1"/>
  <c r="AD104" i="109"/>
  <c r="Y104" i="109"/>
  <c r="V104" i="109"/>
  <c r="J104" i="109"/>
  <c r="AG104" i="109" s="1"/>
  <c r="AD99" i="109"/>
  <c r="Y99" i="109"/>
  <c r="V99" i="109"/>
  <c r="J99" i="109"/>
  <c r="AG99" i="109" s="1"/>
  <c r="AD94" i="109"/>
  <c r="Y94" i="109"/>
  <c r="V94" i="109"/>
  <c r="J94" i="109"/>
  <c r="AG94" i="109" s="1"/>
  <c r="AD89" i="109"/>
  <c r="Y89" i="109"/>
  <c r="V89" i="109"/>
  <c r="J89" i="109"/>
  <c r="AG89" i="109" s="1"/>
  <c r="AD84" i="109"/>
  <c r="Y84" i="109"/>
  <c r="V84" i="109"/>
  <c r="J84" i="109"/>
  <c r="AG84" i="109" s="1"/>
  <c r="AD79" i="109"/>
  <c r="Y79" i="109"/>
  <c r="V79" i="109"/>
  <c r="J79" i="109"/>
  <c r="AG79" i="109" s="1"/>
  <c r="AD74" i="109"/>
  <c r="Y74" i="109"/>
  <c r="V74" i="109"/>
  <c r="J74" i="109"/>
  <c r="AG74" i="109" s="1"/>
  <c r="AD69" i="109"/>
  <c r="Y69" i="109"/>
  <c r="V69" i="109"/>
  <c r="J69" i="109"/>
  <c r="AG69" i="109" s="1"/>
  <c r="AD64" i="109"/>
  <c r="Y64" i="109"/>
  <c r="V64" i="109"/>
  <c r="J64" i="109"/>
  <c r="AG64" i="109" s="1"/>
  <c r="AD59" i="109"/>
  <c r="Y59" i="109"/>
  <c r="V59" i="109"/>
  <c r="J59" i="109"/>
  <c r="AG59" i="109" s="1"/>
  <c r="AD54" i="109"/>
  <c r="Y54" i="109"/>
  <c r="V54" i="109"/>
  <c r="J54" i="109"/>
  <c r="AG54" i="109" s="1"/>
  <c r="AD49" i="109"/>
  <c r="V49" i="109"/>
  <c r="J49" i="109"/>
  <c r="X49" i="109" s="1"/>
  <c r="AD44" i="109"/>
  <c r="Y44" i="109"/>
  <c r="V44" i="109"/>
  <c r="J44" i="109"/>
  <c r="X44" i="109" s="1"/>
  <c r="AD39" i="109"/>
  <c r="Y39" i="109"/>
  <c r="V39" i="109"/>
  <c r="J39" i="109"/>
  <c r="X39" i="109" s="1"/>
  <c r="AD34" i="109"/>
  <c r="Y34" i="109"/>
  <c r="V34" i="109"/>
  <c r="J34" i="109"/>
  <c r="X34" i="109" s="1"/>
  <c r="AD29" i="109"/>
  <c r="Y29" i="109"/>
  <c r="V29" i="109"/>
  <c r="J29" i="109"/>
  <c r="X29" i="109" s="1"/>
  <c r="AD24" i="109"/>
  <c r="Y24" i="109"/>
  <c r="V24" i="109"/>
  <c r="J24" i="109"/>
  <c r="X24" i="109" s="1"/>
  <c r="AD19" i="109"/>
  <c r="Y19" i="109"/>
  <c r="V19" i="109"/>
  <c r="J19" i="109"/>
  <c r="X19" i="109" s="1"/>
  <c r="AD14" i="109"/>
  <c r="Y14" i="109"/>
  <c r="V14" i="109"/>
  <c r="J14" i="109"/>
  <c r="X14" i="109" s="1"/>
  <c r="AD9" i="109"/>
  <c r="Y9" i="109"/>
  <c r="V9" i="109"/>
  <c r="J9" i="109"/>
  <c r="X9" i="109" s="1"/>
  <c r="AD4" i="109"/>
  <c r="Y4" i="109"/>
  <c r="V4" i="109"/>
  <c r="J4" i="109"/>
  <c r="AC128" i="108"/>
  <c r="AB128" i="108"/>
  <c r="AA128" i="108"/>
  <c r="Z128" i="108"/>
  <c r="K128" i="108"/>
  <c r="H128" i="108"/>
  <c r="G128" i="108"/>
  <c r="F128" i="108"/>
  <c r="AD124" i="108"/>
  <c r="Y124" i="108"/>
  <c r="V124" i="108"/>
  <c r="J124" i="108"/>
  <c r="AG124" i="108" s="1"/>
  <c r="AD119" i="108"/>
  <c r="Y119" i="108"/>
  <c r="V119" i="108"/>
  <c r="J119" i="108"/>
  <c r="AG119" i="108" s="1"/>
  <c r="AD114" i="108"/>
  <c r="Y114" i="108"/>
  <c r="V114" i="108"/>
  <c r="J114" i="108"/>
  <c r="AD109" i="108"/>
  <c r="Y109" i="108"/>
  <c r="J109" i="108"/>
  <c r="X109" i="108" s="1"/>
  <c r="AD104" i="108"/>
  <c r="Y104" i="108"/>
  <c r="J104" i="108"/>
  <c r="X104" i="108" s="1"/>
  <c r="AD99" i="108"/>
  <c r="Y99" i="108"/>
  <c r="V99" i="108"/>
  <c r="J99" i="108"/>
  <c r="AD94" i="108"/>
  <c r="Y94" i="108"/>
  <c r="V94" i="108"/>
  <c r="J94" i="108"/>
  <c r="X94" i="108" s="1"/>
  <c r="AD89" i="108"/>
  <c r="Y89" i="108"/>
  <c r="V89" i="108"/>
  <c r="J89" i="108"/>
  <c r="AD84" i="108"/>
  <c r="Y84" i="108"/>
  <c r="V84" i="108"/>
  <c r="J84" i="108"/>
  <c r="AD79" i="108"/>
  <c r="Y79" i="108"/>
  <c r="V79" i="108"/>
  <c r="J79" i="108"/>
  <c r="AD74" i="108"/>
  <c r="Y74" i="108"/>
  <c r="V74" i="108"/>
  <c r="J74" i="108"/>
  <c r="AD69" i="108"/>
  <c r="Y69" i="108"/>
  <c r="V69" i="108"/>
  <c r="J69" i="108"/>
  <c r="AD59" i="108"/>
  <c r="Y59" i="108"/>
  <c r="V59" i="108"/>
  <c r="J59" i="108"/>
  <c r="AD54" i="108"/>
  <c r="Y54" i="108"/>
  <c r="V54" i="108"/>
  <c r="J54" i="108"/>
  <c r="AD49" i="108"/>
  <c r="Y49" i="108"/>
  <c r="V49" i="108"/>
  <c r="J49" i="108"/>
  <c r="AD44" i="108"/>
  <c r="Y44" i="108"/>
  <c r="V44" i="108"/>
  <c r="J44" i="108"/>
  <c r="AD34" i="108"/>
  <c r="Y34" i="108"/>
  <c r="V34" i="108"/>
  <c r="J34" i="108"/>
  <c r="AD29" i="108"/>
  <c r="Y29" i="108"/>
  <c r="V29" i="108"/>
  <c r="J29" i="108"/>
  <c r="AD24" i="108"/>
  <c r="Y24" i="108"/>
  <c r="V24" i="108"/>
  <c r="J24" i="108"/>
  <c r="AD19" i="108"/>
  <c r="Y19" i="108"/>
  <c r="V19" i="108"/>
  <c r="J19" i="108"/>
  <c r="AL27" i="108"/>
  <c r="AD9" i="108"/>
  <c r="Y9" i="108"/>
  <c r="V9" i="108"/>
  <c r="J9" i="108"/>
  <c r="AD4" i="108"/>
  <c r="Y4" i="108"/>
  <c r="V4" i="108"/>
  <c r="J4" i="108"/>
  <c r="X4" i="108" s="1"/>
  <c r="AE4" i="108" s="1"/>
  <c r="X9" i="106"/>
  <c r="AE9" i="106" s="1"/>
  <c r="X24" i="106"/>
  <c r="AE24" i="106" s="1"/>
  <c r="AD99" i="106"/>
  <c r="AC99" i="106"/>
  <c r="Y99" i="106"/>
  <c r="V99" i="106"/>
  <c r="J99" i="106"/>
  <c r="AG99" i="106" s="1"/>
  <c r="AL13" i="107"/>
  <c r="AF74" i="106" l="1"/>
  <c r="AH74" i="106" s="1"/>
  <c r="AH75" i="106" s="1"/>
  <c r="AI4" i="109"/>
  <c r="AI69" i="108"/>
  <c r="AI4" i="108"/>
  <c r="AI94" i="108"/>
  <c r="X114" i="108"/>
  <c r="AE114" i="108" s="1"/>
  <c r="AG114" i="108" s="1"/>
  <c r="X4" i="109"/>
  <c r="AE9" i="109"/>
  <c r="AG9" i="109" s="1"/>
  <c r="AE14" i="109"/>
  <c r="AG14" i="109" s="1"/>
  <c r="AE19" i="109"/>
  <c r="AG19" i="109" s="1"/>
  <c r="AE24" i="109"/>
  <c r="AG24" i="109" s="1"/>
  <c r="AE29" i="109"/>
  <c r="AG29" i="109" s="1"/>
  <c r="AE34" i="109"/>
  <c r="AG34" i="109" s="1"/>
  <c r="AE39" i="109"/>
  <c r="AG39" i="109" s="1"/>
  <c r="AE44" i="109"/>
  <c r="AG44" i="109" s="1"/>
  <c r="AE49" i="109"/>
  <c r="AG49" i="109" s="1"/>
  <c r="X99" i="108"/>
  <c r="AE99" i="108" s="1"/>
  <c r="AG99" i="108" s="1"/>
  <c r="AE104" i="108"/>
  <c r="AG104" i="108" s="1"/>
  <c r="AE109" i="108"/>
  <c r="AG109" i="108" s="1"/>
  <c r="AE94" i="108"/>
  <c r="AG94" i="108" s="1"/>
  <c r="X19" i="108"/>
  <c r="AE19" i="108" s="1"/>
  <c r="AG19" i="108" s="1"/>
  <c r="X29" i="108"/>
  <c r="AE29" i="108" s="1"/>
  <c r="AG29" i="108" s="1"/>
  <c r="X44" i="108"/>
  <c r="AE44" i="108" s="1"/>
  <c r="AG44" i="108" s="1"/>
  <c r="X54" i="108"/>
  <c r="AE54" i="108" s="1"/>
  <c r="AG54" i="108" s="1"/>
  <c r="X69" i="108"/>
  <c r="AE69" i="108" s="1"/>
  <c r="AG69" i="108" s="1"/>
  <c r="X79" i="108"/>
  <c r="AE79" i="108" s="1"/>
  <c r="AG79" i="108" s="1"/>
  <c r="X89" i="108"/>
  <c r="AE89" i="108" s="1"/>
  <c r="AG89" i="108" s="1"/>
  <c r="AL7" i="109"/>
  <c r="AI64" i="109" s="1"/>
  <c r="AJ64" i="109" s="1"/>
  <c r="X24" i="108"/>
  <c r="AE24" i="108" s="1"/>
  <c r="AG24" i="108" s="1"/>
  <c r="X34" i="108"/>
  <c r="AE34" i="108" s="1"/>
  <c r="AG34" i="108" s="1"/>
  <c r="X9" i="108"/>
  <c r="AE9" i="108" s="1"/>
  <c r="AG9" i="108" s="1"/>
  <c r="X49" i="108"/>
  <c r="AE49" i="108" s="1"/>
  <c r="AG49" i="108" s="1"/>
  <c r="X59" i="108"/>
  <c r="AE59" i="108" s="1"/>
  <c r="AG59" i="108" s="1"/>
  <c r="X74" i="108"/>
  <c r="AE74" i="108" s="1"/>
  <c r="AG74" i="108" s="1"/>
  <c r="X84" i="108"/>
  <c r="AE84" i="108" s="1"/>
  <c r="AG84" i="108" s="1"/>
  <c r="AG4" i="108"/>
  <c r="AF24" i="109"/>
  <c r="AF49" i="109"/>
  <c r="AF79" i="109"/>
  <c r="AF4" i="109"/>
  <c r="AF109" i="109"/>
  <c r="AH109" i="109" s="1"/>
  <c r="AF84" i="109"/>
  <c r="AH84" i="109" s="1"/>
  <c r="AH86" i="109" s="1"/>
  <c r="AL7" i="108"/>
  <c r="AI29" i="108" s="1"/>
  <c r="AF69" i="108"/>
  <c r="AD113" i="109"/>
  <c r="AF89" i="109"/>
  <c r="AH89" i="109" s="1"/>
  <c r="AF99" i="109"/>
  <c r="AF99" i="108"/>
  <c r="AF24" i="108"/>
  <c r="AF59" i="108"/>
  <c r="AF79" i="108"/>
  <c r="AB29" i="106"/>
  <c r="Z29" i="106"/>
  <c r="AH76" i="106"/>
  <c r="AF4" i="108"/>
  <c r="AF19" i="109"/>
  <c r="AF29" i="108"/>
  <c r="AF69" i="109"/>
  <c r="AH69" i="109" s="1"/>
  <c r="AF104" i="108"/>
  <c r="AF59" i="109"/>
  <c r="AH59" i="109" s="1"/>
  <c r="AF9" i="108"/>
  <c r="AF114" i="108"/>
  <c r="AF44" i="109"/>
  <c r="AF54" i="109"/>
  <c r="AH54" i="109" s="1"/>
  <c r="AF84" i="108"/>
  <c r="AF94" i="109"/>
  <c r="AH94" i="109" s="1"/>
  <c r="AF74" i="108"/>
  <c r="AF109" i="108"/>
  <c r="AF119" i="108"/>
  <c r="AH119" i="108" s="1"/>
  <c r="AH121" i="108" s="1"/>
  <c r="AF9" i="109"/>
  <c r="AH79" i="109"/>
  <c r="AH81" i="109" s="1"/>
  <c r="AF104" i="109"/>
  <c r="AH104" i="109" s="1"/>
  <c r="AF44" i="108"/>
  <c r="AF94" i="108"/>
  <c r="AF34" i="109"/>
  <c r="AH99" i="109"/>
  <c r="AH101" i="109" s="1"/>
  <c r="AF19" i="108"/>
  <c r="AD128" i="108"/>
  <c r="AF54" i="108"/>
  <c r="Y113" i="109"/>
  <c r="AF29" i="109"/>
  <c r="AF64" i="109"/>
  <c r="AH64" i="109" s="1"/>
  <c r="Y128" i="108"/>
  <c r="AF34" i="108"/>
  <c r="AF89" i="108"/>
  <c r="AF124" i="108"/>
  <c r="AH124" i="108" s="1"/>
  <c r="AF39" i="109"/>
  <c r="AF49" i="108"/>
  <c r="AF74" i="109"/>
  <c r="AH74" i="109" s="1"/>
  <c r="H29" i="106"/>
  <c r="X29" i="106"/>
  <c r="AE29" i="106" s="1"/>
  <c r="AF14" i="109"/>
  <c r="V113" i="109"/>
  <c r="V128" i="108"/>
  <c r="AF99" i="106"/>
  <c r="AH99" i="106" s="1"/>
  <c r="AM14" i="105"/>
  <c r="AL24" i="103"/>
  <c r="AB39" i="106"/>
  <c r="AB34" i="106"/>
  <c r="AB9" i="106"/>
  <c r="AB4" i="106"/>
  <c r="AB19" i="106"/>
  <c r="AC46" i="105"/>
  <c r="AC41" i="105"/>
  <c r="AC31" i="105"/>
  <c r="AI94" i="109" l="1"/>
  <c r="AJ94" i="109" s="1"/>
  <c r="AI119" i="108"/>
  <c r="AJ119" i="108" s="1"/>
  <c r="AI99" i="108"/>
  <c r="AI14" i="108"/>
  <c r="AJ14" i="108" s="1"/>
  <c r="AI19" i="108"/>
  <c r="AI89" i="108"/>
  <c r="AI84" i="108"/>
  <c r="AI49" i="108"/>
  <c r="AI109" i="108"/>
  <c r="AI24" i="108"/>
  <c r="AI59" i="108"/>
  <c r="AI39" i="109"/>
  <c r="AI49" i="109"/>
  <c r="AJ94" i="108"/>
  <c r="AI99" i="109"/>
  <c r="AJ99" i="109" s="1"/>
  <c r="AI69" i="109"/>
  <c r="AJ69" i="109" s="1"/>
  <c r="AI54" i="109"/>
  <c r="AJ54" i="109" s="1"/>
  <c r="AI44" i="108"/>
  <c r="AI114" i="108"/>
  <c r="AI74" i="108"/>
  <c r="AI74" i="109"/>
  <c r="AJ74" i="109" s="1"/>
  <c r="AI104" i="109"/>
  <c r="AJ104" i="109" s="1"/>
  <c r="AI109" i="109"/>
  <c r="AJ109" i="109" s="1"/>
  <c r="AI34" i="108"/>
  <c r="AI39" i="108"/>
  <c r="AJ39" i="108" s="1"/>
  <c r="AI124" i="108"/>
  <c r="AJ124" i="108" s="1"/>
  <c r="AI29" i="109"/>
  <c r="AI19" i="109"/>
  <c r="AJ19" i="109" s="1"/>
  <c r="AI9" i="109"/>
  <c r="AI84" i="109"/>
  <c r="AJ84" i="109" s="1"/>
  <c r="AI24" i="109"/>
  <c r="AI59" i="109"/>
  <c r="AJ59" i="109" s="1"/>
  <c r="AI104" i="108"/>
  <c r="AI64" i="108"/>
  <c r="AJ64" i="108" s="1"/>
  <c r="AI79" i="108"/>
  <c r="AI34" i="109"/>
  <c r="AI79" i="109"/>
  <c r="AJ79" i="109" s="1"/>
  <c r="AI14" i="109"/>
  <c r="AI54" i="108"/>
  <c r="AI9" i="108"/>
  <c r="AJ9" i="108" s="1"/>
  <c r="AI89" i="109"/>
  <c r="AJ89" i="109" s="1"/>
  <c r="AI44" i="109"/>
  <c r="AH19" i="109"/>
  <c r="AH20" i="109" s="1"/>
  <c r="AH24" i="109"/>
  <c r="AH25" i="109" s="1"/>
  <c r="AH49" i="109"/>
  <c r="AH51" i="109" s="1"/>
  <c r="AH44" i="109"/>
  <c r="AH45" i="109" s="1"/>
  <c r="AH29" i="109"/>
  <c r="AH30" i="109" s="1"/>
  <c r="AE4" i="109"/>
  <c r="X113" i="109"/>
  <c r="AH39" i="109"/>
  <c r="AH41" i="109" s="1"/>
  <c r="AH34" i="109"/>
  <c r="AH35" i="109" s="1"/>
  <c r="AH14" i="109"/>
  <c r="AH15" i="109" s="1"/>
  <c r="AH9" i="109"/>
  <c r="AH10" i="109" s="1"/>
  <c r="AH114" i="108"/>
  <c r="AH116" i="108" s="1"/>
  <c r="AH99" i="108"/>
  <c r="AH101" i="108" s="1"/>
  <c r="AH104" i="108"/>
  <c r="AH105" i="108" s="1"/>
  <c r="AH109" i="108"/>
  <c r="AH111" i="108" s="1"/>
  <c r="AH94" i="108"/>
  <c r="AH96" i="108" s="1"/>
  <c r="AE128" i="108"/>
  <c r="AH69" i="108"/>
  <c r="AH70" i="108" s="1"/>
  <c r="X128" i="108"/>
  <c r="AH79" i="108"/>
  <c r="AH81" i="108" s="1"/>
  <c r="AG128" i="108"/>
  <c r="AH74" i="108"/>
  <c r="AH75" i="108" s="1"/>
  <c r="AH80" i="109"/>
  <c r="AH49" i="108"/>
  <c r="AH51" i="108" s="1"/>
  <c r="AH44" i="108"/>
  <c r="AH45" i="108" s="1"/>
  <c r="AH84" i="108"/>
  <c r="AH86" i="108" s="1"/>
  <c r="AH29" i="108"/>
  <c r="AH31" i="108" s="1"/>
  <c r="AH59" i="108"/>
  <c r="AH61" i="108" s="1"/>
  <c r="AH54" i="108"/>
  <c r="AH56" i="108" s="1"/>
  <c r="AH100" i="109"/>
  <c r="AH89" i="108"/>
  <c r="AH90" i="108" s="1"/>
  <c r="AH34" i="108"/>
  <c r="AH36" i="108" s="1"/>
  <c r="AH19" i="108"/>
  <c r="AH21" i="108" s="1"/>
  <c r="AH9" i="108"/>
  <c r="AH10" i="108" s="1"/>
  <c r="AH24" i="108"/>
  <c r="AH25" i="108" s="1"/>
  <c r="AH4" i="108"/>
  <c r="AH5" i="108" s="1"/>
  <c r="AH111" i="109"/>
  <c r="AH110" i="109"/>
  <c r="AH60" i="109"/>
  <c r="AH61" i="109"/>
  <c r="AH21" i="109"/>
  <c r="AH85" i="109"/>
  <c r="AH70" i="109"/>
  <c r="AH71" i="109"/>
  <c r="AH56" i="109"/>
  <c r="AH55" i="109"/>
  <c r="AF113" i="109"/>
  <c r="AL3" i="109" s="1"/>
  <c r="AH126" i="108"/>
  <c r="AH125" i="108"/>
  <c r="AH96" i="109"/>
  <c r="AH95" i="109"/>
  <c r="AH75" i="109"/>
  <c r="AH76" i="109"/>
  <c r="AH105" i="109"/>
  <c r="AH106" i="109"/>
  <c r="AF128" i="108"/>
  <c r="AL3" i="108" s="1"/>
  <c r="AH120" i="108"/>
  <c r="AH91" i="109"/>
  <c r="AH90" i="109"/>
  <c r="AH65" i="109"/>
  <c r="AH66" i="109"/>
  <c r="AE44" i="106"/>
  <c r="X44" i="106"/>
  <c r="AE4" i="106"/>
  <c r="X4" i="106"/>
  <c r="O4" i="106"/>
  <c r="J4" i="106"/>
  <c r="AJ74" i="108" l="1"/>
  <c r="AJ59" i="108"/>
  <c r="AJ104" i="108"/>
  <c r="AJ54" i="108"/>
  <c r="AJ44" i="108"/>
  <c r="AJ49" i="109"/>
  <c r="AH100" i="108"/>
  <c r="AJ114" i="108"/>
  <c r="AJ89" i="108"/>
  <c r="AJ24" i="109"/>
  <c r="AJ39" i="109"/>
  <c r="AH55" i="108"/>
  <c r="AJ14" i="109"/>
  <c r="AJ34" i="108"/>
  <c r="AJ24" i="108"/>
  <c r="AJ4" i="108"/>
  <c r="AJ19" i="108"/>
  <c r="AJ99" i="108"/>
  <c r="AJ69" i="108"/>
  <c r="AJ29" i="109"/>
  <c r="AH46" i="109"/>
  <c r="AH26" i="109"/>
  <c r="AI128" i="108"/>
  <c r="AJ34" i="109"/>
  <c r="AJ49" i="108"/>
  <c r="AJ109" i="108"/>
  <c r="AJ44" i="109"/>
  <c r="AJ9" i="109"/>
  <c r="AJ29" i="108"/>
  <c r="AJ84" i="108"/>
  <c r="AJ79" i="108"/>
  <c r="AH11" i="108"/>
  <c r="AH115" i="108"/>
  <c r="AH50" i="109"/>
  <c r="AH36" i="109"/>
  <c r="AH16" i="109"/>
  <c r="AH11" i="109"/>
  <c r="AH40" i="109"/>
  <c r="AH35" i="108"/>
  <c r="AH95" i="108"/>
  <c r="AH50" i="108"/>
  <c r="AH31" i="109"/>
  <c r="AH91" i="108"/>
  <c r="AE113" i="109"/>
  <c r="AG4" i="109"/>
  <c r="AH76" i="108"/>
  <c r="AH106" i="108"/>
  <c r="AH60" i="108"/>
  <c r="AH80" i="108"/>
  <c r="AH71" i="108"/>
  <c r="AH26" i="108"/>
  <c r="AH85" i="108"/>
  <c r="AH30" i="108"/>
  <c r="AH110" i="108"/>
  <c r="AH20" i="108"/>
  <c r="AH46" i="108"/>
  <c r="AH128" i="108"/>
  <c r="AH6" i="108"/>
  <c r="AC79" i="106"/>
  <c r="V69" i="106"/>
  <c r="AC69" i="106"/>
  <c r="AC59" i="106"/>
  <c r="AG113" i="109" l="1"/>
  <c r="AH4" i="109"/>
  <c r="AJ4" i="109" s="1"/>
  <c r="AL8" i="108"/>
  <c r="AM8" i="108" s="1"/>
  <c r="Y99" i="107"/>
  <c r="Y94" i="107"/>
  <c r="Y89" i="107"/>
  <c r="Y84" i="107"/>
  <c r="Y79" i="107"/>
  <c r="Y74" i="107"/>
  <c r="Y69" i="107"/>
  <c r="Y64" i="107"/>
  <c r="Y59" i="107"/>
  <c r="Y54" i="107"/>
  <c r="Y49" i="107"/>
  <c r="Y44" i="107"/>
  <c r="Y39" i="107"/>
  <c r="Y34" i="107"/>
  <c r="Y29" i="107"/>
  <c r="Y24" i="107"/>
  <c r="Z4" i="105"/>
  <c r="Z10" i="105"/>
  <c r="Z16" i="105"/>
  <c r="Z21" i="105"/>
  <c r="Z26" i="105"/>
  <c r="Z31" i="105"/>
  <c r="Z71" i="105"/>
  <c r="Z66" i="105"/>
  <c r="Z61" i="105"/>
  <c r="Z56" i="105"/>
  <c r="Z51" i="105"/>
  <c r="Z46" i="105"/>
  <c r="Z41" i="105"/>
  <c r="Y4" i="106"/>
  <c r="Y9" i="106"/>
  <c r="Y14" i="106"/>
  <c r="Y19" i="106"/>
  <c r="Y24" i="106"/>
  <c r="Y29" i="106"/>
  <c r="Y34" i="106"/>
  <c r="Y39" i="106"/>
  <c r="Y44" i="106"/>
  <c r="Y119" i="106"/>
  <c r="Y114" i="106"/>
  <c r="Y109" i="106"/>
  <c r="Y104" i="106"/>
  <c r="Y84" i="106"/>
  <c r="Y79" i="106"/>
  <c r="Y69" i="106"/>
  <c r="Y64" i="106"/>
  <c r="Y59" i="106"/>
  <c r="AH5" i="109" l="1"/>
  <c r="AH113" i="109"/>
  <c r="AH6" i="109"/>
  <c r="AL31" i="108"/>
  <c r="AM31" i="108" s="1"/>
  <c r="AJ128" i="108"/>
  <c r="AM3" i="108"/>
  <c r="AM4" i="108" s="1"/>
  <c r="AC54" i="106"/>
  <c r="Y54" i="106"/>
  <c r="Y49" i="106"/>
  <c r="AC49" i="106"/>
  <c r="AE19" i="106"/>
  <c r="AE14" i="106"/>
  <c r="X19" i="106"/>
  <c r="X14" i="106"/>
  <c r="Z14" i="106"/>
  <c r="Z19" i="106"/>
  <c r="AA36" i="105"/>
  <c r="AA46" i="105"/>
  <c r="AA41" i="105"/>
  <c r="AA31" i="105"/>
  <c r="AA26" i="105"/>
  <c r="AL8" i="109" l="1"/>
  <c r="AC19" i="106"/>
  <c r="AC14" i="106"/>
  <c r="AD4" i="105"/>
  <c r="AD10" i="105"/>
  <c r="AD16" i="105"/>
  <c r="AD36" i="105"/>
  <c r="AD41" i="105"/>
  <c r="AD46" i="105"/>
  <c r="AC69" i="103"/>
  <c r="AC64" i="103"/>
  <c r="AC59" i="103"/>
  <c r="AC24" i="103"/>
  <c r="AC14" i="103"/>
  <c r="AC9" i="103"/>
  <c r="AC4" i="103"/>
  <c r="AC44" i="102"/>
  <c r="AC39" i="102"/>
  <c r="AC14" i="102"/>
  <c r="AC9" i="102"/>
  <c r="AC4" i="102"/>
  <c r="AE103" i="107"/>
  <c r="AC103" i="107"/>
  <c r="AB103" i="107"/>
  <c r="AA103" i="107"/>
  <c r="Z103" i="107"/>
  <c r="X103" i="107"/>
  <c r="K103" i="107"/>
  <c r="H103" i="107"/>
  <c r="G103" i="107"/>
  <c r="F103" i="107"/>
  <c r="AD99" i="107"/>
  <c r="V99" i="107"/>
  <c r="J99" i="107"/>
  <c r="AG99" i="107" s="1"/>
  <c r="AD94" i="107"/>
  <c r="V94" i="107"/>
  <c r="J94" i="107"/>
  <c r="AG94" i="107" s="1"/>
  <c r="AD89" i="107"/>
  <c r="V89" i="107"/>
  <c r="J89" i="107"/>
  <c r="AG89" i="107" s="1"/>
  <c r="AD84" i="107"/>
  <c r="V84" i="107"/>
  <c r="J84" i="107"/>
  <c r="AG84" i="107" s="1"/>
  <c r="AD79" i="107"/>
  <c r="V79" i="107"/>
  <c r="J79" i="107"/>
  <c r="AG79" i="107" s="1"/>
  <c r="AD74" i="107"/>
  <c r="V74" i="107"/>
  <c r="J74" i="107"/>
  <c r="AG74" i="107" s="1"/>
  <c r="AD69" i="107"/>
  <c r="V69" i="107"/>
  <c r="J69" i="107"/>
  <c r="AG69" i="107" s="1"/>
  <c r="AD64" i="107"/>
  <c r="V64" i="107"/>
  <c r="J64" i="107"/>
  <c r="AG64" i="107" s="1"/>
  <c r="AD59" i="107"/>
  <c r="V59" i="107"/>
  <c r="J59" i="107"/>
  <c r="AG59" i="107" s="1"/>
  <c r="AD54" i="107"/>
  <c r="V54" i="107"/>
  <c r="J54" i="107"/>
  <c r="AG54" i="107" s="1"/>
  <c r="AD49" i="107"/>
  <c r="V49" i="107"/>
  <c r="J49" i="107"/>
  <c r="AG49" i="107" s="1"/>
  <c r="AD44" i="107"/>
  <c r="V44" i="107"/>
  <c r="J44" i="107"/>
  <c r="AG44" i="107" s="1"/>
  <c r="AD39" i="107"/>
  <c r="V39" i="107"/>
  <c r="J39" i="107"/>
  <c r="AG39" i="107" s="1"/>
  <c r="AD34" i="107"/>
  <c r="V34" i="107"/>
  <c r="J34" i="107"/>
  <c r="AG34" i="107" s="1"/>
  <c r="AD29" i="107"/>
  <c r="V29" i="107"/>
  <c r="J29" i="107"/>
  <c r="AG29" i="107" s="1"/>
  <c r="AD24" i="107"/>
  <c r="V24" i="107"/>
  <c r="J24" i="107"/>
  <c r="AG24" i="107" s="1"/>
  <c r="AL26" i="107"/>
  <c r="AG14" i="107"/>
  <c r="AG9" i="107"/>
  <c r="AG4" i="107"/>
  <c r="AE123" i="106"/>
  <c r="AB123" i="106"/>
  <c r="AA123" i="106"/>
  <c r="Z123" i="106"/>
  <c r="X123" i="106"/>
  <c r="K123" i="106"/>
  <c r="H123" i="106"/>
  <c r="G123" i="106"/>
  <c r="F123" i="106"/>
  <c r="AD119" i="106"/>
  <c r="V119" i="106"/>
  <c r="J119" i="106"/>
  <c r="AG119" i="106" s="1"/>
  <c r="AD114" i="106"/>
  <c r="V114" i="106"/>
  <c r="J114" i="106"/>
  <c r="AG114" i="106" s="1"/>
  <c r="AD109" i="106"/>
  <c r="V109" i="106"/>
  <c r="J109" i="106"/>
  <c r="AG109" i="106" s="1"/>
  <c r="AD104" i="106"/>
  <c r="V104" i="106"/>
  <c r="J104" i="106"/>
  <c r="AG104" i="106" s="1"/>
  <c r="AD84" i="106"/>
  <c r="V84" i="106"/>
  <c r="J84" i="106"/>
  <c r="AG84" i="106" s="1"/>
  <c r="K66" i="105"/>
  <c r="K61" i="105"/>
  <c r="K56" i="105"/>
  <c r="K51" i="105"/>
  <c r="AD9" i="106"/>
  <c r="V9" i="106"/>
  <c r="J9" i="106"/>
  <c r="AG9" i="106" s="1"/>
  <c r="AD4" i="106"/>
  <c r="V4" i="106"/>
  <c r="AG4" i="106"/>
  <c r="AL7" i="106" l="1"/>
  <c r="AJ113" i="109"/>
  <c r="AF64" i="107"/>
  <c r="AM8" i="109"/>
  <c r="AL28" i="109"/>
  <c r="AM28" i="109" s="1"/>
  <c r="AI113" i="109"/>
  <c r="AM3" i="109" s="1"/>
  <c r="AM4" i="109" s="1"/>
  <c r="AL7" i="107"/>
  <c r="AF84" i="107"/>
  <c r="AH84" i="107" s="1"/>
  <c r="AC123" i="106"/>
  <c r="AF114" i="106"/>
  <c r="AH114" i="106" s="1"/>
  <c r="AF59" i="107"/>
  <c r="AH59" i="107" s="1"/>
  <c r="AH60" i="107" s="1"/>
  <c r="AF79" i="107"/>
  <c r="AH79" i="107" s="1"/>
  <c r="AF104" i="106"/>
  <c r="AH104" i="106" s="1"/>
  <c r="AF44" i="107"/>
  <c r="AH44" i="107" s="1"/>
  <c r="AF109" i="106"/>
  <c r="AH109" i="106" s="1"/>
  <c r="AF39" i="107"/>
  <c r="AH39" i="107" s="1"/>
  <c r="AF49" i="107"/>
  <c r="AH49" i="107" s="1"/>
  <c r="AH50" i="107" s="1"/>
  <c r="AF54" i="107"/>
  <c r="AH54" i="107" s="1"/>
  <c r="AF29" i="107"/>
  <c r="AH29" i="107" s="1"/>
  <c r="AH31" i="107" s="1"/>
  <c r="AF89" i="107"/>
  <c r="AH89" i="107" s="1"/>
  <c r="AH91" i="107" s="1"/>
  <c r="AF34" i="107"/>
  <c r="AH34" i="107" s="1"/>
  <c r="AF99" i="107"/>
  <c r="AH99" i="107" s="1"/>
  <c r="AF84" i="106"/>
  <c r="AH84" i="106" s="1"/>
  <c r="AF74" i="107"/>
  <c r="AH74" i="107" s="1"/>
  <c r="AF94" i="107"/>
  <c r="AH94" i="107" s="1"/>
  <c r="AF119" i="106"/>
  <c r="AH119" i="106" s="1"/>
  <c r="AF69" i="107"/>
  <c r="AH69" i="107" s="1"/>
  <c r="AF24" i="107"/>
  <c r="AH24" i="107" s="1"/>
  <c r="AH26" i="107" s="1"/>
  <c r="AF14" i="107"/>
  <c r="AH14" i="107" s="1"/>
  <c r="V103" i="107"/>
  <c r="AD103" i="107"/>
  <c r="Y103" i="107"/>
  <c r="AF9" i="107"/>
  <c r="AH9" i="107" s="1"/>
  <c r="AF4" i="107"/>
  <c r="AH64" i="107"/>
  <c r="AG103" i="107"/>
  <c r="AF9" i="106"/>
  <c r="AH9" i="106" s="1"/>
  <c r="AF4" i="106"/>
  <c r="AF46" i="105"/>
  <c r="AF41" i="105"/>
  <c r="Y46" i="105"/>
  <c r="Y41" i="105"/>
  <c r="X46" i="105"/>
  <c r="X41" i="105"/>
  <c r="L46" i="105"/>
  <c r="L41" i="105"/>
  <c r="K41" i="105" s="1"/>
  <c r="AL28" i="103"/>
  <c r="AM24" i="105"/>
  <c r="AL26" i="106"/>
  <c r="AL14" i="103"/>
  <c r="AD79" i="106"/>
  <c r="V79" i="106"/>
  <c r="J79" i="106"/>
  <c r="AG79" i="106" s="1"/>
  <c r="AD69" i="106"/>
  <c r="J69" i="106"/>
  <c r="AG69" i="106" s="1"/>
  <c r="AD64" i="106"/>
  <c r="V64" i="106"/>
  <c r="J64" i="106"/>
  <c r="AG64" i="106" s="1"/>
  <c r="AD59" i="106"/>
  <c r="V59" i="106"/>
  <c r="J59" i="106"/>
  <c r="AG59" i="106" s="1"/>
  <c r="AD54" i="106"/>
  <c r="V54" i="106"/>
  <c r="J54" i="106"/>
  <c r="AG54" i="106" s="1"/>
  <c r="AD49" i="106"/>
  <c r="V49" i="106"/>
  <c r="J49" i="106"/>
  <c r="AG49" i="106" s="1"/>
  <c r="AD44" i="106"/>
  <c r="V44" i="106"/>
  <c r="J44" i="106"/>
  <c r="AG44" i="106" s="1"/>
  <c r="AD39" i="106"/>
  <c r="V39" i="106"/>
  <c r="J39" i="106"/>
  <c r="AG39" i="106" s="1"/>
  <c r="AD34" i="106"/>
  <c r="V34" i="106"/>
  <c r="J34" i="106"/>
  <c r="AG34" i="106" s="1"/>
  <c r="AD29" i="106"/>
  <c r="V29" i="106"/>
  <c r="J29" i="106"/>
  <c r="AG29" i="106" s="1"/>
  <c r="AD24" i="106"/>
  <c r="V24" i="106"/>
  <c r="J24" i="106"/>
  <c r="AG24" i="106" s="1"/>
  <c r="AD19" i="106"/>
  <c r="V19" i="106"/>
  <c r="J19" i="106"/>
  <c r="AG19" i="106" s="1"/>
  <c r="AD14" i="106"/>
  <c r="V14" i="106"/>
  <c r="J14" i="106"/>
  <c r="AG14" i="106" s="1"/>
  <c r="AB79" i="103"/>
  <c r="AB74" i="103"/>
  <c r="AB69" i="103"/>
  <c r="AC10" i="105"/>
  <c r="AC4" i="105"/>
  <c r="AA4" i="105"/>
  <c r="AA21" i="105"/>
  <c r="AH85" i="107" l="1"/>
  <c r="AI99" i="107"/>
  <c r="AJ99" i="107" s="1"/>
  <c r="AI74" i="107"/>
  <c r="AJ74" i="107" s="1"/>
  <c r="AI39" i="107"/>
  <c r="AJ39" i="107" s="1"/>
  <c r="AI4" i="107"/>
  <c r="AI84" i="107"/>
  <c r="AJ84" i="107" s="1"/>
  <c r="AI49" i="107"/>
  <c r="AJ49" i="107" s="1"/>
  <c r="AI9" i="107"/>
  <c r="AJ9" i="107" s="1"/>
  <c r="AI69" i="107"/>
  <c r="AJ69" i="107" s="1"/>
  <c r="AI44" i="107"/>
  <c r="AJ44" i="107" s="1"/>
  <c r="AI94" i="107"/>
  <c r="AI34" i="107"/>
  <c r="AI59" i="107"/>
  <c r="AJ59" i="107" s="1"/>
  <c r="AI79" i="107"/>
  <c r="AJ79" i="107" s="1"/>
  <c r="AI14" i="107"/>
  <c r="AJ14" i="107" s="1"/>
  <c r="AI89" i="107"/>
  <c r="AJ89" i="107" s="1"/>
  <c r="AI64" i="107"/>
  <c r="AJ64" i="107" s="1"/>
  <c r="AI29" i="107"/>
  <c r="AJ29" i="107" s="1"/>
  <c r="AI24" i="107"/>
  <c r="AJ24" i="107" s="1"/>
  <c r="AI19" i="107"/>
  <c r="AJ19" i="107" s="1"/>
  <c r="AI54" i="107"/>
  <c r="AJ54" i="107" s="1"/>
  <c r="AJ34" i="107"/>
  <c r="AH95" i="107"/>
  <c r="AJ94" i="107"/>
  <c r="AI84" i="106"/>
  <c r="AJ84" i="106" s="1"/>
  <c r="AI29" i="106"/>
  <c r="AI79" i="106"/>
  <c r="AI24" i="106"/>
  <c r="AI19" i="106"/>
  <c r="AI74" i="106"/>
  <c r="AJ74" i="106" s="1"/>
  <c r="AI14" i="106"/>
  <c r="AI69" i="106"/>
  <c r="AI4" i="106"/>
  <c r="AI119" i="106"/>
  <c r="AJ119" i="106" s="1"/>
  <c r="AI64" i="106"/>
  <c r="AI9" i="106"/>
  <c r="AJ9" i="106" s="1"/>
  <c r="AI114" i="106"/>
  <c r="AJ114" i="106" s="1"/>
  <c r="AI59" i="106"/>
  <c r="AI109" i="106"/>
  <c r="AJ109" i="106" s="1"/>
  <c r="AI54" i="106"/>
  <c r="AI104" i="106"/>
  <c r="AJ104" i="106" s="1"/>
  <c r="AI49" i="106"/>
  <c r="AI99" i="106"/>
  <c r="AJ99" i="106" s="1"/>
  <c r="AI44" i="106"/>
  <c r="AI94" i="106"/>
  <c r="AJ94" i="106" s="1"/>
  <c r="AI39" i="106"/>
  <c r="AI89" i="106"/>
  <c r="AJ89" i="106" s="1"/>
  <c r="AI34" i="106"/>
  <c r="AH106" i="106"/>
  <c r="AH115" i="106"/>
  <c r="AH4" i="107"/>
  <c r="AH103" i="107" s="1"/>
  <c r="AF103" i="107"/>
  <c r="AL3" i="107" s="1"/>
  <c r="AH86" i="107"/>
  <c r="AH80" i="107"/>
  <c r="AH81" i="107"/>
  <c r="AH105" i="106"/>
  <c r="AD123" i="106"/>
  <c r="AH90" i="107"/>
  <c r="AH111" i="106"/>
  <c r="AH110" i="106"/>
  <c r="AH101" i="106"/>
  <c r="AH100" i="106"/>
  <c r="AH46" i="107"/>
  <c r="AH45" i="107"/>
  <c r="L75" i="105"/>
  <c r="AH116" i="106"/>
  <c r="AH51" i="107"/>
  <c r="AH61" i="107"/>
  <c r="AH120" i="106"/>
  <c r="AH121" i="106"/>
  <c r="AH56" i="107"/>
  <c r="AH55" i="107"/>
  <c r="AH86" i="106"/>
  <c r="AH85" i="106"/>
  <c r="AH96" i="107"/>
  <c r="AG123" i="106"/>
  <c r="V123" i="106"/>
  <c r="Y123" i="106"/>
  <c r="AH30" i="107"/>
  <c r="AH25" i="107"/>
  <c r="AH21" i="107"/>
  <c r="AH20" i="107"/>
  <c r="AH11" i="107"/>
  <c r="AH10" i="107"/>
  <c r="AH40" i="107"/>
  <c r="AH41" i="107"/>
  <c r="AH66" i="107"/>
  <c r="AH65" i="107"/>
  <c r="AH76" i="107"/>
  <c r="AH75" i="107"/>
  <c r="AH101" i="107"/>
  <c r="AH100" i="107"/>
  <c r="AH15" i="107"/>
  <c r="AH16" i="107"/>
  <c r="AH71" i="107"/>
  <c r="AH70" i="107"/>
  <c r="AH36" i="107"/>
  <c r="AH35" i="107"/>
  <c r="AH4" i="106"/>
  <c r="AH90" i="106"/>
  <c r="AH91" i="106"/>
  <c r="AH11" i="106"/>
  <c r="AH10" i="106"/>
  <c r="AF69" i="106"/>
  <c r="AH69" i="106" s="1"/>
  <c r="AF64" i="106"/>
  <c r="AH64" i="106" s="1"/>
  <c r="AF49" i="106"/>
  <c r="AH49" i="106" s="1"/>
  <c r="AF59" i="106"/>
  <c r="AH59" i="106" s="1"/>
  <c r="AF79" i="106"/>
  <c r="AH79" i="106" s="1"/>
  <c r="AF54" i="106"/>
  <c r="AH54" i="106" s="1"/>
  <c r="AF44" i="106"/>
  <c r="AH44" i="106" s="1"/>
  <c r="AF39" i="106"/>
  <c r="AH39" i="106" s="1"/>
  <c r="AF34" i="106"/>
  <c r="AH34" i="106" s="1"/>
  <c r="AF29" i="106"/>
  <c r="AH29" i="106" s="1"/>
  <c r="AF24" i="106"/>
  <c r="AH24" i="106" s="1"/>
  <c r="AF19" i="106"/>
  <c r="AH19" i="106" s="1"/>
  <c r="AF14" i="106"/>
  <c r="AH14" i="106" s="1"/>
  <c r="AA16" i="105"/>
  <c r="AJ19" i="106" l="1"/>
  <c r="AJ24" i="106"/>
  <c r="AJ64" i="106"/>
  <c r="AJ79" i="106"/>
  <c r="AJ49" i="106"/>
  <c r="AJ29" i="106"/>
  <c r="AJ4" i="106"/>
  <c r="AJ34" i="106"/>
  <c r="AJ54" i="106"/>
  <c r="AJ69" i="106"/>
  <c r="AJ14" i="106"/>
  <c r="AJ39" i="106"/>
  <c r="AJ59" i="106"/>
  <c r="AH123" i="106"/>
  <c r="AL8" i="106" s="1"/>
  <c r="AL30" i="106" s="1"/>
  <c r="AJ44" i="106"/>
  <c r="AL8" i="107"/>
  <c r="AH5" i="106"/>
  <c r="AH61" i="106"/>
  <c r="AH36" i="106"/>
  <c r="AH81" i="106"/>
  <c r="AJ4" i="107"/>
  <c r="AH5" i="107"/>
  <c r="AH6" i="107"/>
  <c r="AH6" i="106"/>
  <c r="AF123" i="106"/>
  <c r="AL3" i="106" s="1"/>
  <c r="D68" i="83" s="1"/>
  <c r="AH66" i="106"/>
  <c r="AH65" i="106"/>
  <c r="AH51" i="106"/>
  <c r="AH50" i="106"/>
  <c r="AH60" i="106"/>
  <c r="AH80" i="106"/>
  <c r="AH71" i="106"/>
  <c r="AH70" i="106"/>
  <c r="AH56" i="106"/>
  <c r="AH55" i="106"/>
  <c r="AH45" i="106"/>
  <c r="AH46" i="106"/>
  <c r="AH40" i="106"/>
  <c r="AH41" i="106"/>
  <c r="AH35" i="106"/>
  <c r="AH21" i="106"/>
  <c r="AH20" i="106"/>
  <c r="AH31" i="106"/>
  <c r="AH30" i="106"/>
  <c r="AH16" i="106"/>
  <c r="AH15" i="106"/>
  <c r="AH25" i="106"/>
  <c r="AH26" i="106"/>
  <c r="Z64" i="103"/>
  <c r="AM8" i="107" l="1"/>
  <c r="AL29" i="107"/>
  <c r="AM29" i="107" s="1"/>
  <c r="AM30" i="106"/>
  <c r="AM8" i="106"/>
  <c r="AJ103" i="107"/>
  <c r="AI103" i="107"/>
  <c r="AM3" i="107" s="1"/>
  <c r="AM4" i="107" s="1"/>
  <c r="AF4" i="105"/>
  <c r="AF16" i="105"/>
  <c r="AF21" i="105"/>
  <c r="Y4" i="105"/>
  <c r="Y16" i="105"/>
  <c r="I10" i="105"/>
  <c r="I4" i="105"/>
  <c r="K11" i="105"/>
  <c r="W10" i="105" l="1"/>
  <c r="I75" i="105"/>
  <c r="AJ123" i="106"/>
  <c r="AI123" i="106"/>
  <c r="AE10" i="105"/>
  <c r="AA10" i="105"/>
  <c r="K10" i="105"/>
  <c r="Y10" i="105" s="1"/>
  <c r="AF10" i="105" s="1"/>
  <c r="AH41" i="105"/>
  <c r="W41" i="105"/>
  <c r="AE41" i="105"/>
  <c r="AE31" i="105"/>
  <c r="W31" i="105"/>
  <c r="K31" i="105"/>
  <c r="AM3" i="106" l="1"/>
  <c r="E68" i="83" s="1"/>
  <c r="F68" i="83" s="1"/>
  <c r="Y31" i="105"/>
  <c r="AF31" i="105" s="1"/>
  <c r="AH31" i="105" s="1"/>
  <c r="AH10" i="105"/>
  <c r="AG10" i="105"/>
  <c r="AG41" i="105"/>
  <c r="AI41" i="105" s="1"/>
  <c r="AG31" i="105"/>
  <c r="K4" i="105"/>
  <c r="AE36" i="105"/>
  <c r="W36" i="105"/>
  <c r="K36" i="105"/>
  <c r="AH36" i="105" s="1"/>
  <c r="AI10" i="105" l="1"/>
  <c r="AI11" i="105" s="1"/>
  <c r="AI13" i="105" s="1"/>
  <c r="AM4" i="106"/>
  <c r="AI31" i="105"/>
  <c r="AG36" i="105"/>
  <c r="AI36" i="105" s="1"/>
  <c r="AE26" i="105"/>
  <c r="W26" i="105"/>
  <c r="K26" i="105"/>
  <c r="AB54" i="103"/>
  <c r="AB64" i="103"/>
  <c r="AI12" i="105" l="1"/>
  <c r="Y26" i="105"/>
  <c r="AG26" i="105"/>
  <c r="Z29" i="103"/>
  <c r="Z54" i="103"/>
  <c r="Z79" i="103"/>
  <c r="Z74" i="103"/>
  <c r="X79" i="103"/>
  <c r="X74" i="103"/>
  <c r="K79" i="103"/>
  <c r="K74" i="103"/>
  <c r="AE74" i="103"/>
  <c r="AE79" i="103"/>
  <c r="AE69" i="103"/>
  <c r="X69" i="103"/>
  <c r="AE21" i="105"/>
  <c r="W21" i="105"/>
  <c r="K21" i="105"/>
  <c r="AH21" i="105" s="1"/>
  <c r="K5" i="105"/>
  <c r="AE4" i="105"/>
  <c r="W4" i="105"/>
  <c r="AH4" i="105"/>
  <c r="V84" i="103"/>
  <c r="AF26" i="105" l="1"/>
  <c r="AH26" i="105" s="1"/>
  <c r="AI26" i="105" s="1"/>
  <c r="Y75" i="105"/>
  <c r="AG4" i="105"/>
  <c r="AI4" i="105" s="1"/>
  <c r="AG21" i="105"/>
  <c r="AI21" i="105" s="1"/>
  <c r="AI6" i="105" l="1"/>
  <c r="AI5" i="105"/>
  <c r="AI7" i="105" s="1"/>
  <c r="AI23" i="105"/>
  <c r="AI22" i="105"/>
  <c r="AD75" i="105" l="1"/>
  <c r="AB75" i="105"/>
  <c r="H75" i="105"/>
  <c r="G75" i="105"/>
  <c r="AE71" i="105"/>
  <c r="W71" i="105"/>
  <c r="K71" i="105"/>
  <c r="AH71" i="105" s="1"/>
  <c r="AE66" i="105"/>
  <c r="W66" i="105"/>
  <c r="AH66" i="105"/>
  <c r="AE61" i="105"/>
  <c r="W61" i="105"/>
  <c r="AH61" i="105"/>
  <c r="AE56" i="105"/>
  <c r="W56" i="105"/>
  <c r="AH56" i="105"/>
  <c r="AE51" i="105"/>
  <c r="W51" i="105"/>
  <c r="AH51" i="105"/>
  <c r="AE46" i="105"/>
  <c r="W46" i="105"/>
  <c r="K46" i="105"/>
  <c r="AH46" i="105" s="1"/>
  <c r="AE16" i="105"/>
  <c r="W16" i="105"/>
  <c r="K16" i="105"/>
  <c r="AH16" i="105" s="1"/>
  <c r="AF75" i="105"/>
  <c r="AC75" i="105"/>
  <c r="AA75" i="105"/>
  <c r="AM7" i="105" l="1"/>
  <c r="AG71" i="105"/>
  <c r="AI71" i="105" s="1"/>
  <c r="AG51" i="105"/>
  <c r="AI51" i="105" s="1"/>
  <c r="AG61" i="105"/>
  <c r="AI61" i="105" s="1"/>
  <c r="AI62" i="105" s="1"/>
  <c r="Z75" i="105"/>
  <c r="AE75" i="105"/>
  <c r="AG16" i="105"/>
  <c r="AI16" i="105" s="1"/>
  <c r="AI38" i="105"/>
  <c r="AG46" i="105"/>
  <c r="AI46" i="105" s="1"/>
  <c r="AG66" i="105"/>
  <c r="AI66" i="105" s="1"/>
  <c r="W75" i="105"/>
  <c r="AG56" i="105"/>
  <c r="AI56" i="105" s="1"/>
  <c r="AI27" i="105"/>
  <c r="AI43" i="105"/>
  <c r="AI75" i="105" l="1"/>
  <c r="AM8" i="105" s="1"/>
  <c r="AI63" i="105"/>
  <c r="AI53" i="105"/>
  <c r="AI52" i="105"/>
  <c r="AI42" i="105"/>
  <c r="AI72" i="105"/>
  <c r="AI73" i="105"/>
  <c r="AI17" i="105"/>
  <c r="AI18" i="105"/>
  <c r="AI67" i="105"/>
  <c r="AI68" i="105"/>
  <c r="AG75" i="105"/>
  <c r="AM3" i="105" s="1"/>
  <c r="AI37" i="105"/>
  <c r="AI58" i="105"/>
  <c r="AI57" i="105"/>
  <c r="AI33" i="105"/>
  <c r="AI32" i="105"/>
  <c r="AI28" i="105"/>
  <c r="AI48" i="105"/>
  <c r="AI47" i="105"/>
  <c r="AH75" i="105"/>
  <c r="AM29" i="105" l="1"/>
  <c r="AN29" i="105" s="1"/>
  <c r="AN33" i="105" s="1"/>
  <c r="AN35" i="105" s="1"/>
  <c r="AM32" i="106" s="1"/>
  <c r="AM34" i="106" s="1"/>
  <c r="AM32" i="107" s="1"/>
  <c r="AM34" i="107" s="1"/>
  <c r="AM33" i="108" s="1"/>
  <c r="AM35" i="108" s="1"/>
  <c r="AM30" i="109" s="1"/>
  <c r="AM32" i="109" s="1"/>
  <c r="AM36" i="110" s="1"/>
  <c r="AM38" i="110" s="1"/>
  <c r="AM36" i="111" s="1"/>
  <c r="AM38" i="111" s="1"/>
  <c r="AM35" i="112" s="1"/>
  <c r="AM37" i="112" s="1"/>
  <c r="AJ51" i="105"/>
  <c r="AK51" i="105" s="1"/>
  <c r="AN8" i="105"/>
  <c r="D67" i="83"/>
  <c r="AJ10" i="105"/>
  <c r="AK10" i="105" s="1"/>
  <c r="AJ16" i="105"/>
  <c r="AK16" i="105" s="1"/>
  <c r="AJ46" i="105"/>
  <c r="AK46" i="105" s="1"/>
  <c r="AJ4" i="105"/>
  <c r="AK4" i="105" s="1"/>
  <c r="AJ41" i="105"/>
  <c r="AK41" i="105" s="1"/>
  <c r="AJ36" i="105"/>
  <c r="AJ56" i="105"/>
  <c r="AK56" i="105" s="1"/>
  <c r="AJ71" i="105"/>
  <c r="AK71" i="105" s="1"/>
  <c r="AJ31" i="105"/>
  <c r="AK31" i="105" s="1"/>
  <c r="AJ66" i="105"/>
  <c r="AK66" i="105" s="1"/>
  <c r="AJ26" i="105"/>
  <c r="AK26" i="105" s="1"/>
  <c r="AJ21" i="105"/>
  <c r="AK21" i="105" s="1"/>
  <c r="AJ61" i="105"/>
  <c r="AK61" i="105" s="1"/>
  <c r="AK36" i="105" l="1"/>
  <c r="AK77" i="105" s="1"/>
  <c r="AJ77" i="105"/>
  <c r="AJ75" i="105"/>
  <c r="AN3" i="105" s="1"/>
  <c r="AN4" i="105" s="1"/>
  <c r="AK75" i="105" l="1"/>
  <c r="AE64" i="103"/>
  <c r="AE54" i="103"/>
  <c r="X64" i="103"/>
  <c r="X54" i="103"/>
  <c r="J24" i="102"/>
  <c r="J29" i="102"/>
  <c r="K24" i="102"/>
  <c r="K29" i="102"/>
  <c r="J34" i="102"/>
  <c r="E67" i="83" l="1"/>
  <c r="F67" i="83" s="1"/>
  <c r="AC29" i="102"/>
  <c r="AC24" i="102"/>
  <c r="AC34" i="102"/>
  <c r="AE59" i="103" l="1"/>
  <c r="AE29" i="103"/>
  <c r="X59" i="103"/>
  <c r="X29" i="103"/>
  <c r="AE49" i="103"/>
  <c r="AE44" i="103"/>
  <c r="AE39" i="103"/>
  <c r="AE34" i="103"/>
  <c r="AE19" i="103"/>
  <c r="AE14" i="103"/>
  <c r="X49" i="103"/>
  <c r="X44" i="103"/>
  <c r="X39" i="103"/>
  <c r="X34" i="103"/>
  <c r="X19" i="103"/>
  <c r="X14" i="103"/>
  <c r="K49" i="103"/>
  <c r="K44" i="103"/>
  <c r="K39" i="103"/>
  <c r="J34" i="103"/>
  <c r="Z24" i="103" l="1"/>
  <c r="Z49" i="103"/>
  <c r="Z44" i="103"/>
  <c r="Z39" i="103"/>
  <c r="Z34" i="103"/>
  <c r="Z14" i="103" l="1"/>
  <c r="AB49" i="103" l="1"/>
  <c r="AB44" i="103"/>
  <c r="AB39" i="103"/>
  <c r="AB34" i="103"/>
  <c r="AC59" i="101"/>
  <c r="AC54" i="101"/>
  <c r="AC49" i="101"/>
  <c r="AC44" i="101"/>
  <c r="AC29" i="101"/>
  <c r="AC19" i="101"/>
  <c r="AC14" i="101"/>
  <c r="AC29" i="100"/>
  <c r="AC19" i="100"/>
  <c r="AC14" i="100"/>
  <c r="AE44" i="102" l="1"/>
  <c r="AE39" i="102"/>
  <c r="X44" i="102"/>
  <c r="X39" i="102"/>
  <c r="K44" i="102"/>
  <c r="K39" i="102"/>
  <c r="Z9" i="103" l="1"/>
  <c r="Z4" i="103"/>
  <c r="H9" i="103"/>
  <c r="V9" i="103" s="1"/>
  <c r="H4" i="103"/>
  <c r="V4" i="103" s="1"/>
  <c r="J9" i="103" l="1"/>
  <c r="AG9" i="103" s="1"/>
  <c r="Y9" i="103"/>
  <c r="AB9" i="103"/>
  <c r="AD9" i="103"/>
  <c r="J14" i="103"/>
  <c r="AG14" i="103" s="1"/>
  <c r="V14" i="103"/>
  <c r="Y14" i="103"/>
  <c r="AD14" i="103"/>
  <c r="J19" i="103"/>
  <c r="AG19" i="103" s="1"/>
  <c r="V19" i="103"/>
  <c r="Y19" i="103"/>
  <c r="AD19" i="103"/>
  <c r="J24" i="103"/>
  <c r="AG24" i="103" s="1"/>
  <c r="V24" i="103"/>
  <c r="Y24" i="103"/>
  <c r="AD24" i="103"/>
  <c r="J29" i="103"/>
  <c r="AG29" i="103" s="1"/>
  <c r="V29" i="103"/>
  <c r="Y29" i="103"/>
  <c r="AD29" i="103"/>
  <c r="AG34" i="103"/>
  <c r="V34" i="103"/>
  <c r="Y34" i="103"/>
  <c r="AD34" i="103"/>
  <c r="J39" i="103"/>
  <c r="AG39" i="103" s="1"/>
  <c r="V39" i="103"/>
  <c r="Y39" i="103"/>
  <c r="AD39" i="103"/>
  <c r="J44" i="103"/>
  <c r="AG44" i="103" s="1"/>
  <c r="V44" i="103"/>
  <c r="Y44" i="103"/>
  <c r="AD44" i="103"/>
  <c r="J49" i="103"/>
  <c r="AG49" i="103" s="1"/>
  <c r="V49" i="103"/>
  <c r="Y49" i="103"/>
  <c r="AD49" i="103"/>
  <c r="AF39" i="103" l="1"/>
  <c r="AF19" i="103"/>
  <c r="AF9" i="103"/>
  <c r="AF24" i="103"/>
  <c r="AF44" i="103"/>
  <c r="AF14" i="103"/>
  <c r="AF49" i="103"/>
  <c r="AF29" i="103"/>
  <c r="AF34" i="103"/>
  <c r="AE19" i="102"/>
  <c r="AE14" i="102"/>
  <c r="X19" i="102"/>
  <c r="X14" i="102"/>
  <c r="K19" i="102"/>
  <c r="K14" i="102"/>
  <c r="AE34" i="102" l="1"/>
  <c r="AE29" i="102"/>
  <c r="AE24" i="102"/>
  <c r="X34" i="102"/>
  <c r="X29" i="102"/>
  <c r="X24" i="102"/>
  <c r="K34" i="102"/>
  <c r="Z29" i="102"/>
  <c r="Z24" i="102"/>
  <c r="Z4" i="102"/>
  <c r="Z34" i="102"/>
  <c r="AE9" i="102" l="1"/>
  <c r="AE4" i="102"/>
  <c r="X9" i="102"/>
  <c r="X4" i="102"/>
  <c r="Z74" i="101" l="1"/>
  <c r="Z69" i="101"/>
  <c r="AB4" i="103"/>
  <c r="AB14" i="102"/>
  <c r="AD4" i="103" l="1"/>
  <c r="Y4" i="103"/>
  <c r="J4" i="103"/>
  <c r="AG4" i="103" s="1"/>
  <c r="AE143" i="103"/>
  <c r="AC143" i="103"/>
  <c r="AB143" i="103"/>
  <c r="AA143" i="103"/>
  <c r="Z143" i="103"/>
  <c r="G143" i="103"/>
  <c r="F143" i="103"/>
  <c r="AD139" i="103"/>
  <c r="Y139" i="103"/>
  <c r="V139" i="103"/>
  <c r="J139" i="103"/>
  <c r="AG139" i="103" s="1"/>
  <c r="AD134" i="103"/>
  <c r="Y134" i="103"/>
  <c r="V134" i="103"/>
  <c r="J134" i="103"/>
  <c r="AG134" i="103" s="1"/>
  <c r="AD129" i="103"/>
  <c r="Y129" i="103"/>
  <c r="V129" i="103"/>
  <c r="J129" i="103"/>
  <c r="AG129" i="103" s="1"/>
  <c r="AD124" i="103"/>
  <c r="Y124" i="103"/>
  <c r="V124" i="103"/>
  <c r="J124" i="103"/>
  <c r="AG124" i="103" s="1"/>
  <c r="AD119" i="103"/>
  <c r="Y119" i="103"/>
  <c r="V119" i="103"/>
  <c r="J119" i="103"/>
  <c r="AG119" i="103" s="1"/>
  <c r="AD114" i="103"/>
  <c r="Y114" i="103"/>
  <c r="V114" i="103"/>
  <c r="J114" i="103"/>
  <c r="AG114" i="103" s="1"/>
  <c r="AD109" i="103"/>
  <c r="Y109" i="103"/>
  <c r="V109" i="103"/>
  <c r="J109" i="103"/>
  <c r="AG109" i="103" s="1"/>
  <c r="AD104" i="103"/>
  <c r="Y104" i="103"/>
  <c r="V104" i="103"/>
  <c r="J104" i="103"/>
  <c r="AG104" i="103" s="1"/>
  <c r="AD99" i="103"/>
  <c r="Y99" i="103"/>
  <c r="V99" i="103"/>
  <c r="J99" i="103"/>
  <c r="AG99" i="103" s="1"/>
  <c r="AD94" i="103"/>
  <c r="Y94" i="103"/>
  <c r="V94" i="103"/>
  <c r="J94" i="103"/>
  <c r="AG94" i="103" s="1"/>
  <c r="AD89" i="103"/>
  <c r="Y89" i="103"/>
  <c r="V89" i="103"/>
  <c r="J89" i="103"/>
  <c r="AG89" i="103" s="1"/>
  <c r="AD84" i="103"/>
  <c r="Y84" i="103"/>
  <c r="J84" i="103"/>
  <c r="AG84" i="103" s="1"/>
  <c r="AD79" i="103"/>
  <c r="Y79" i="103"/>
  <c r="V79" i="103"/>
  <c r="J79" i="103"/>
  <c r="AG79" i="103" s="1"/>
  <c r="AD74" i="103"/>
  <c r="Y74" i="103"/>
  <c r="V74" i="103"/>
  <c r="J74" i="103"/>
  <c r="AG74" i="103" s="1"/>
  <c r="AD69" i="103"/>
  <c r="Y69" i="103"/>
  <c r="V69" i="103"/>
  <c r="J69" i="103"/>
  <c r="AG69" i="103" s="1"/>
  <c r="AD64" i="103"/>
  <c r="Y64" i="103"/>
  <c r="V64" i="103"/>
  <c r="J64" i="103"/>
  <c r="AG64" i="103" s="1"/>
  <c r="AD59" i="103"/>
  <c r="Y59" i="103"/>
  <c r="V59" i="103"/>
  <c r="J59" i="103"/>
  <c r="AG59" i="103" s="1"/>
  <c r="AD54" i="103"/>
  <c r="Y54" i="103"/>
  <c r="V54" i="103"/>
  <c r="J54" i="103"/>
  <c r="AG54" i="103" s="1"/>
  <c r="AF109" i="103" l="1"/>
  <c r="AH109" i="103" s="1"/>
  <c r="AF119" i="103"/>
  <c r="AH119" i="103" s="1"/>
  <c r="AF99" i="103"/>
  <c r="AH99" i="103" s="1"/>
  <c r="AF139" i="103"/>
  <c r="AH139" i="103" s="1"/>
  <c r="AF94" i="103"/>
  <c r="AH94" i="103" s="1"/>
  <c r="AF104" i="103"/>
  <c r="AH104" i="103" s="1"/>
  <c r="AF79" i="103"/>
  <c r="AH79" i="103" s="1"/>
  <c r="AF69" i="103"/>
  <c r="AH69" i="103" s="1"/>
  <c r="AF134" i="103"/>
  <c r="AH134" i="103" s="1"/>
  <c r="AF74" i="103"/>
  <c r="AH74" i="103" s="1"/>
  <c r="AF89" i="103"/>
  <c r="AH89" i="103" s="1"/>
  <c r="AF129" i="103"/>
  <c r="AH129" i="103" s="1"/>
  <c r="AF84" i="103"/>
  <c r="AH84" i="103" s="1"/>
  <c r="AF114" i="103"/>
  <c r="AH114" i="103" s="1"/>
  <c r="AF124" i="103"/>
  <c r="AH124" i="103" s="1"/>
  <c r="AF64" i="103"/>
  <c r="AH64" i="103" s="1"/>
  <c r="AF59" i="103"/>
  <c r="AH59" i="103" s="1"/>
  <c r="AF54" i="103"/>
  <c r="AH54" i="103" s="1"/>
  <c r="AH39" i="103"/>
  <c r="AH34" i="103"/>
  <c r="AH44" i="103"/>
  <c r="AH29" i="103"/>
  <c r="AH24" i="103"/>
  <c r="V143" i="103"/>
  <c r="AD143" i="103"/>
  <c r="Y143" i="103"/>
  <c r="AH14" i="103"/>
  <c r="AH9" i="103"/>
  <c r="AF4" i="103"/>
  <c r="AG143" i="103"/>
  <c r="AH49" i="103"/>
  <c r="AH19" i="103"/>
  <c r="AH70" i="103" l="1"/>
  <c r="AH81" i="103"/>
  <c r="AH86" i="103"/>
  <c r="AH31" i="103"/>
  <c r="AH35" i="103"/>
  <c r="AH130" i="103"/>
  <c r="AH91" i="103"/>
  <c r="AH55" i="103"/>
  <c r="AH76" i="103"/>
  <c r="AH15" i="103"/>
  <c r="AH41" i="103"/>
  <c r="AH111" i="103"/>
  <c r="AH121" i="103"/>
  <c r="AH120" i="103"/>
  <c r="AH110" i="103"/>
  <c r="AH131" i="103"/>
  <c r="AH135" i="103"/>
  <c r="AH136" i="103"/>
  <c r="AH140" i="103"/>
  <c r="AH141" i="103"/>
  <c r="AH80" i="103"/>
  <c r="AH71" i="103"/>
  <c r="AH126" i="103"/>
  <c r="AH125" i="103"/>
  <c r="AH116" i="103"/>
  <c r="AH115" i="103"/>
  <c r="AH85" i="103"/>
  <c r="AH90" i="103"/>
  <c r="AH75" i="103"/>
  <c r="AH56" i="103"/>
  <c r="AH46" i="103"/>
  <c r="AH45" i="103"/>
  <c r="AH40" i="103"/>
  <c r="AH36" i="103"/>
  <c r="AH30" i="103"/>
  <c r="AH25" i="103"/>
  <c r="AH26" i="103"/>
  <c r="AH16" i="103"/>
  <c r="AH11" i="103"/>
  <c r="AH10" i="103"/>
  <c r="AF143" i="103"/>
  <c r="AH21" i="103"/>
  <c r="AH20" i="103"/>
  <c r="AH66" i="103"/>
  <c r="AH65" i="103"/>
  <c r="AH106" i="103"/>
  <c r="AH105" i="103"/>
  <c r="AH60" i="103"/>
  <c r="AH61" i="103"/>
  <c r="AH100" i="103"/>
  <c r="AH101" i="103"/>
  <c r="AH51" i="103"/>
  <c r="AH50" i="103"/>
  <c r="AH96" i="103"/>
  <c r="AH95" i="103"/>
  <c r="AH4" i="103"/>
  <c r="AH143" i="103" s="1"/>
  <c r="AI99" i="103" s="1"/>
  <c r="AI129" i="103" l="1"/>
  <c r="AI9" i="103"/>
  <c r="AI54" i="103"/>
  <c r="AI84" i="103"/>
  <c r="AI109" i="103"/>
  <c r="AI139" i="103"/>
  <c r="AI104" i="103"/>
  <c r="AI89" i="103"/>
  <c r="AI79" i="103"/>
  <c r="AI134" i="103"/>
  <c r="AI49" i="103"/>
  <c r="AI34" i="103"/>
  <c r="AI59" i="103"/>
  <c r="AI19" i="103"/>
  <c r="AI114" i="103"/>
  <c r="AI69" i="103"/>
  <c r="AI39" i="103"/>
  <c r="AI119" i="103"/>
  <c r="AI24" i="103"/>
  <c r="AI29" i="103"/>
  <c r="AI74" i="103"/>
  <c r="AI44" i="103"/>
  <c r="AI64" i="103"/>
  <c r="AI14" i="103"/>
  <c r="AI124" i="103"/>
  <c r="AI94" i="103"/>
  <c r="AL3" i="103"/>
  <c r="D66" i="83" s="1"/>
  <c r="AI4" i="103"/>
  <c r="AH6" i="103"/>
  <c r="AH5" i="103"/>
  <c r="AJ4" i="103" l="1"/>
  <c r="AL15" i="103"/>
  <c r="AJ134" i="103"/>
  <c r="AJ24" i="103"/>
  <c r="AJ34" i="103"/>
  <c r="AJ69" i="103"/>
  <c r="AJ139" i="103"/>
  <c r="AJ84" i="103"/>
  <c r="AJ54" i="103"/>
  <c r="AJ119" i="103"/>
  <c r="AJ9" i="103"/>
  <c r="AJ29" i="103"/>
  <c r="AJ124" i="103"/>
  <c r="AJ74" i="103"/>
  <c r="AJ129" i="103"/>
  <c r="AJ14" i="103"/>
  <c r="AJ39" i="103"/>
  <c r="AJ44" i="103"/>
  <c r="AJ114" i="103"/>
  <c r="AJ89" i="103"/>
  <c r="AJ109" i="103"/>
  <c r="AJ79" i="103"/>
  <c r="AJ99" i="103"/>
  <c r="AJ49" i="103"/>
  <c r="AJ94" i="103"/>
  <c r="AJ59" i="103"/>
  <c r="AJ19" i="103"/>
  <c r="AJ104" i="103"/>
  <c r="AJ64" i="103"/>
  <c r="AL31" i="103" l="1"/>
  <c r="AM31" i="103" s="1"/>
  <c r="AM15" i="103"/>
  <c r="AJ143" i="103"/>
  <c r="AK78" i="105" s="1"/>
  <c r="AI143" i="103"/>
  <c r="AM3" i="103" l="1"/>
  <c r="AM4" i="103" s="1"/>
  <c r="AJ78" i="105"/>
  <c r="E66" i="83"/>
  <c r="F66" i="83" s="1"/>
  <c r="AE69" i="101"/>
  <c r="AE54" i="101"/>
  <c r="X69" i="101"/>
  <c r="X54" i="101"/>
  <c r="AL14" i="101" l="1"/>
  <c r="AL14" i="100"/>
  <c r="Z54" i="101" l="1"/>
  <c r="Z49" i="101"/>
  <c r="AE59" i="101"/>
  <c r="AE49" i="101"/>
  <c r="X59" i="101"/>
  <c r="X49" i="101"/>
  <c r="K49" i="101"/>
  <c r="K59" i="101"/>
  <c r="AD4" i="102"/>
  <c r="Y4" i="102"/>
  <c r="V4" i="102"/>
  <c r="J4" i="102"/>
  <c r="AG4" i="102" s="1"/>
  <c r="AD9" i="102"/>
  <c r="Y9" i="102"/>
  <c r="V9" i="102"/>
  <c r="J9" i="102"/>
  <c r="AG9" i="102" s="1"/>
  <c r="AD14" i="102"/>
  <c r="Y14" i="102"/>
  <c r="V14" i="102"/>
  <c r="J14" i="102"/>
  <c r="AG14" i="102" s="1"/>
  <c r="AD19" i="102"/>
  <c r="Y19" i="102"/>
  <c r="V19" i="102"/>
  <c r="J19" i="102"/>
  <c r="AG19" i="102" s="1"/>
  <c r="AD24" i="102"/>
  <c r="Y24" i="102"/>
  <c r="V24" i="102"/>
  <c r="AG24" i="102"/>
  <c r="AD29" i="102"/>
  <c r="Y29" i="102"/>
  <c r="V29" i="102"/>
  <c r="AG29" i="102"/>
  <c r="AD34" i="102"/>
  <c r="Y34" i="102"/>
  <c r="V34" i="102"/>
  <c r="AG34" i="102"/>
  <c r="AD39" i="102"/>
  <c r="Y39" i="102"/>
  <c r="V39" i="102"/>
  <c r="J39" i="102"/>
  <c r="AG39" i="102" s="1"/>
  <c r="AD44" i="102"/>
  <c r="Y44" i="102"/>
  <c r="V44" i="102"/>
  <c r="J44" i="102"/>
  <c r="AG44" i="102" s="1"/>
  <c r="AD49" i="102"/>
  <c r="Y49" i="102"/>
  <c r="V49" i="102"/>
  <c r="J49" i="102"/>
  <c r="AG49" i="102" s="1"/>
  <c r="AD54" i="102"/>
  <c r="Y54" i="102"/>
  <c r="V54" i="102"/>
  <c r="J54" i="102"/>
  <c r="AG54" i="102" s="1"/>
  <c r="AD59" i="102"/>
  <c r="Y59" i="102"/>
  <c r="V59" i="102"/>
  <c r="J59" i="102"/>
  <c r="AG59" i="102" s="1"/>
  <c r="AD64" i="102"/>
  <c r="Y64" i="102"/>
  <c r="V64" i="102"/>
  <c r="J64" i="102"/>
  <c r="AG64" i="102" s="1"/>
  <c r="AD69" i="102"/>
  <c r="Y69" i="102"/>
  <c r="V69" i="102"/>
  <c r="J69" i="102"/>
  <c r="AG69" i="102" s="1"/>
  <c r="AC143" i="102"/>
  <c r="AA143" i="102"/>
  <c r="G143" i="102"/>
  <c r="F143" i="102"/>
  <c r="AD139" i="102"/>
  <c r="Y139" i="102"/>
  <c r="V139" i="102"/>
  <c r="J139" i="102"/>
  <c r="AG139" i="102" s="1"/>
  <c r="AD134" i="102"/>
  <c r="Y134" i="102"/>
  <c r="V134" i="102"/>
  <c r="J134" i="102"/>
  <c r="AG134" i="102" s="1"/>
  <c r="AD129" i="102"/>
  <c r="Y129" i="102"/>
  <c r="V129" i="102"/>
  <c r="J129" i="102"/>
  <c r="AG129" i="102" s="1"/>
  <c r="AD124" i="102"/>
  <c r="Y124" i="102"/>
  <c r="V124" i="102"/>
  <c r="J124" i="102"/>
  <c r="AG124" i="102" s="1"/>
  <c r="AD119" i="102"/>
  <c r="Y119" i="102"/>
  <c r="V119" i="102"/>
  <c r="J119" i="102"/>
  <c r="AG119" i="102" s="1"/>
  <c r="AD114" i="102"/>
  <c r="Y114" i="102"/>
  <c r="V114" i="102"/>
  <c r="J114" i="102"/>
  <c r="AG114" i="102" s="1"/>
  <c r="AD109" i="102"/>
  <c r="Y109" i="102"/>
  <c r="V109" i="102"/>
  <c r="J109" i="102"/>
  <c r="AG109" i="102" s="1"/>
  <c r="AD104" i="102"/>
  <c r="Y104" i="102"/>
  <c r="V104" i="102"/>
  <c r="J104" i="102"/>
  <c r="AG104" i="102" s="1"/>
  <c r="AD99" i="102"/>
  <c r="Y99" i="102"/>
  <c r="V99" i="102"/>
  <c r="J99" i="102"/>
  <c r="AG99" i="102" s="1"/>
  <c r="AD94" i="102"/>
  <c r="Y94" i="102"/>
  <c r="V94" i="102"/>
  <c r="J94" i="102"/>
  <c r="AG94" i="102" s="1"/>
  <c r="AD89" i="102"/>
  <c r="Y89" i="102"/>
  <c r="V89" i="102"/>
  <c r="J89" i="102"/>
  <c r="AG89" i="102" s="1"/>
  <c r="AD84" i="102"/>
  <c r="Y84" i="102"/>
  <c r="V84" i="102"/>
  <c r="J84" i="102"/>
  <c r="AG84" i="102" s="1"/>
  <c r="AD79" i="102"/>
  <c r="Y79" i="102"/>
  <c r="V79" i="102"/>
  <c r="J79" i="102"/>
  <c r="AG79" i="102" s="1"/>
  <c r="AD74" i="102"/>
  <c r="Y74" i="102"/>
  <c r="V74" i="102"/>
  <c r="J74" i="102"/>
  <c r="AG74" i="102" s="1"/>
  <c r="AB143" i="102"/>
  <c r="AL30" i="102"/>
  <c r="AL14" i="102"/>
  <c r="AE143" i="102"/>
  <c r="Z143" i="102"/>
  <c r="Z19" i="100"/>
  <c r="Z9" i="100"/>
  <c r="Z39" i="99"/>
  <c r="AF74" i="102" l="1"/>
  <c r="AH74" i="102" s="1"/>
  <c r="AF84" i="102"/>
  <c r="AH84" i="102" s="1"/>
  <c r="AH86" i="102" s="1"/>
  <c r="AF114" i="102"/>
  <c r="AH114" i="102" s="1"/>
  <c r="AF124" i="102"/>
  <c r="AH124" i="102" s="1"/>
  <c r="AF109" i="102"/>
  <c r="AH109" i="102" s="1"/>
  <c r="AH111" i="102" s="1"/>
  <c r="AF129" i="102"/>
  <c r="AH129" i="102" s="1"/>
  <c r="AH130" i="102" s="1"/>
  <c r="AF139" i="102"/>
  <c r="AH139" i="102" s="1"/>
  <c r="AF69" i="102"/>
  <c r="AH69" i="102" s="1"/>
  <c r="AF104" i="102"/>
  <c r="AH104" i="102" s="1"/>
  <c r="AH105" i="102" s="1"/>
  <c r="AF64" i="102"/>
  <c r="AH64" i="102" s="1"/>
  <c r="AH65" i="102" s="1"/>
  <c r="AF89" i="102"/>
  <c r="AH89" i="102" s="1"/>
  <c r="AF134" i="102"/>
  <c r="AH134" i="102" s="1"/>
  <c r="AF59" i="102"/>
  <c r="AH59" i="102" s="1"/>
  <c r="AF49" i="102"/>
  <c r="AF79" i="102"/>
  <c r="AH79" i="102" s="1"/>
  <c r="AF99" i="102"/>
  <c r="AH99" i="102" s="1"/>
  <c r="AF54" i="102"/>
  <c r="AH54" i="102" s="1"/>
  <c r="AF94" i="102"/>
  <c r="AH94" i="102" s="1"/>
  <c r="AF119" i="102"/>
  <c r="AH119" i="102" s="1"/>
  <c r="AF44" i="102"/>
  <c r="AH44" i="102" s="1"/>
  <c r="AF39" i="102"/>
  <c r="AH39" i="102" s="1"/>
  <c r="AF34" i="102"/>
  <c r="AH34" i="102" s="1"/>
  <c r="AH35" i="102" s="1"/>
  <c r="AF29" i="102"/>
  <c r="AH29" i="102" s="1"/>
  <c r="AF24" i="102"/>
  <c r="AH24" i="102" s="1"/>
  <c r="AF19" i="102"/>
  <c r="AH19" i="102" s="1"/>
  <c r="AF14" i="102"/>
  <c r="AH14" i="102" s="1"/>
  <c r="AF9" i="102"/>
  <c r="AH9" i="102" s="1"/>
  <c r="AF4" i="102"/>
  <c r="AH4" i="102" s="1"/>
  <c r="AD143" i="102"/>
  <c r="Y143" i="102"/>
  <c r="V143" i="102"/>
  <c r="Z79" i="96"/>
  <c r="AH116" i="102" l="1"/>
  <c r="AH115" i="102"/>
  <c r="AH76" i="102"/>
  <c r="AH75" i="102"/>
  <c r="AH125" i="102"/>
  <c r="AH126" i="102"/>
  <c r="AH110" i="102"/>
  <c r="AH85" i="102"/>
  <c r="AH81" i="102"/>
  <c r="AH80" i="102"/>
  <c r="AH70" i="102"/>
  <c r="AH71" i="102"/>
  <c r="AH91" i="102"/>
  <c r="AH90" i="102"/>
  <c r="AH131" i="102"/>
  <c r="AH106" i="102"/>
  <c r="AH100" i="102"/>
  <c r="AH101" i="102"/>
  <c r="AH66" i="102"/>
  <c r="AH46" i="102"/>
  <c r="AH45" i="102"/>
  <c r="AH41" i="102"/>
  <c r="AH40" i="102"/>
  <c r="AH36" i="102"/>
  <c r="AH11" i="102"/>
  <c r="AH10" i="102"/>
  <c r="AF143" i="102"/>
  <c r="AL3" i="102" s="1"/>
  <c r="D65" i="83" s="1"/>
  <c r="AH55" i="102"/>
  <c r="AH56" i="102"/>
  <c r="AH49" i="102"/>
  <c r="AH143" i="102" s="1"/>
  <c r="AI54" i="102" s="1"/>
  <c r="AJ54" i="102" s="1"/>
  <c r="AG143" i="102"/>
  <c r="AH140" i="102"/>
  <c r="AH141" i="102"/>
  <c r="AH136" i="102"/>
  <c r="AH135" i="102"/>
  <c r="AH25" i="102"/>
  <c r="AH26" i="102"/>
  <c r="AH6" i="102"/>
  <c r="AH5" i="102"/>
  <c r="AH21" i="102"/>
  <c r="AH20" i="102"/>
  <c r="AH61" i="102"/>
  <c r="AH60" i="102"/>
  <c r="AH16" i="102"/>
  <c r="AH15" i="102"/>
  <c r="AH31" i="102"/>
  <c r="AH30" i="102"/>
  <c r="AH121" i="102"/>
  <c r="AH120" i="102"/>
  <c r="AH96" i="102"/>
  <c r="AH95" i="102"/>
  <c r="AE64" i="101"/>
  <c r="AE39" i="101"/>
  <c r="AE34" i="101"/>
  <c r="AE29" i="101"/>
  <c r="AE24" i="101"/>
  <c r="X64" i="101"/>
  <c r="X39" i="101"/>
  <c r="X34" i="101"/>
  <c r="X29" i="101"/>
  <c r="X24" i="101"/>
  <c r="Z34" i="101"/>
  <c r="AI29" i="102" l="1"/>
  <c r="AJ29" i="102" s="1"/>
  <c r="AI4" i="102"/>
  <c r="AJ4" i="102" s="1"/>
  <c r="AI59" i="102"/>
  <c r="AJ59" i="102" s="1"/>
  <c r="AI94" i="102"/>
  <c r="AJ94" i="102" s="1"/>
  <c r="AI14" i="102"/>
  <c r="AJ14" i="102" s="1"/>
  <c r="AI24" i="102"/>
  <c r="AJ24" i="102" s="1"/>
  <c r="AH51" i="102"/>
  <c r="AH50" i="102"/>
  <c r="AI49" i="102"/>
  <c r="AJ49" i="102" s="1"/>
  <c r="AI134" i="102"/>
  <c r="AJ134" i="102" s="1"/>
  <c r="AL15" i="102"/>
  <c r="AI89" i="102"/>
  <c r="AJ89" i="102" s="1"/>
  <c r="AI129" i="102"/>
  <c r="AJ129" i="102" s="1"/>
  <c r="AI104" i="102"/>
  <c r="AJ104" i="102" s="1"/>
  <c r="AI44" i="102"/>
  <c r="AJ44" i="102" s="1"/>
  <c r="AI114" i="102"/>
  <c r="AJ114" i="102" s="1"/>
  <c r="AI109" i="102"/>
  <c r="AJ109" i="102" s="1"/>
  <c r="AI124" i="102"/>
  <c r="AJ124" i="102" s="1"/>
  <c r="AI74" i="102"/>
  <c r="AJ74" i="102" s="1"/>
  <c r="AI9" i="102"/>
  <c r="AJ9" i="102" s="1"/>
  <c r="AI69" i="102"/>
  <c r="AJ69" i="102" s="1"/>
  <c r="AI64" i="102"/>
  <c r="AJ64" i="102" s="1"/>
  <c r="AI79" i="102"/>
  <c r="AJ79" i="102" s="1"/>
  <c r="AI34" i="102"/>
  <c r="AJ34" i="102" s="1"/>
  <c r="AI39" i="102"/>
  <c r="AJ39" i="102" s="1"/>
  <c r="AI99" i="102"/>
  <c r="AJ99" i="102" s="1"/>
  <c r="AI84" i="102"/>
  <c r="AJ84" i="102" s="1"/>
  <c r="AI119" i="102"/>
  <c r="AJ119" i="102" s="1"/>
  <c r="AI19" i="102"/>
  <c r="AJ19" i="102" s="1"/>
  <c r="AI139" i="102"/>
  <c r="AJ139" i="102" s="1"/>
  <c r="AB54" i="101"/>
  <c r="AB49" i="101"/>
  <c r="H54" i="101"/>
  <c r="J54" i="101" s="1"/>
  <c r="H49" i="101"/>
  <c r="Y54" i="101"/>
  <c r="AD54" i="101"/>
  <c r="H59" i="101"/>
  <c r="J59" i="101" s="1"/>
  <c r="AG59" i="101" s="1"/>
  <c r="Y59" i="101"/>
  <c r="AB59" i="101"/>
  <c r="AD59" i="101"/>
  <c r="J64" i="101"/>
  <c r="AG64" i="101" s="1"/>
  <c r="V64" i="101"/>
  <c r="Y64" i="101"/>
  <c r="AD64" i="101"/>
  <c r="AF64" i="101" l="1"/>
  <c r="AI143" i="102"/>
  <c r="AM15" i="102"/>
  <c r="AL33" i="102"/>
  <c r="AM33" i="102" s="1"/>
  <c r="AJ143" i="102"/>
  <c r="AK79" i="105" s="1"/>
  <c r="V59" i="101"/>
  <c r="AF59" i="101" s="1"/>
  <c r="AG54" i="101"/>
  <c r="V54" i="101"/>
  <c r="AF54" i="101" s="1"/>
  <c r="AM3" i="102" l="1"/>
  <c r="AJ79" i="105"/>
  <c r="AM4" i="102"/>
  <c r="E65" i="83"/>
  <c r="F65" i="83" s="1"/>
  <c r="AB19" i="100"/>
  <c r="AB14" i="100"/>
  <c r="AB9" i="100"/>
  <c r="AB4" i="100"/>
  <c r="AE19" i="101" l="1"/>
  <c r="AE14" i="101"/>
  <c r="AE4" i="101"/>
  <c r="AE19" i="100"/>
  <c r="X19" i="101"/>
  <c r="X14" i="101"/>
  <c r="X4" i="101"/>
  <c r="X19" i="100"/>
  <c r="K19" i="101"/>
  <c r="K14" i="101"/>
  <c r="K19" i="100"/>
  <c r="K4" i="101"/>
  <c r="AE9" i="101" l="1"/>
  <c r="AE24" i="100"/>
  <c r="AE14" i="100"/>
  <c r="X14" i="100"/>
  <c r="X9" i="101"/>
  <c r="X24" i="100"/>
  <c r="Z14" i="100"/>
  <c r="H19" i="100"/>
  <c r="V19" i="100" s="1"/>
  <c r="H14" i="100"/>
  <c r="Y19" i="100"/>
  <c r="AD19" i="100"/>
  <c r="J24" i="100"/>
  <c r="V24" i="100"/>
  <c r="Y24" i="100"/>
  <c r="AD24" i="100"/>
  <c r="J29" i="100"/>
  <c r="V29" i="100"/>
  <c r="X29" i="100"/>
  <c r="Y29" i="100"/>
  <c r="AD29" i="100"/>
  <c r="AE29" i="100"/>
  <c r="Z9" i="101"/>
  <c r="Z19" i="101"/>
  <c r="Z14" i="101"/>
  <c r="Z4" i="101"/>
  <c r="AG29" i="100" l="1"/>
  <c r="J19" i="100"/>
  <c r="AG19" i="100" s="1"/>
  <c r="AF24" i="100"/>
  <c r="AF29" i="100"/>
  <c r="AG24" i="100"/>
  <c r="AF19" i="100"/>
  <c r="Z4" i="100" l="1"/>
  <c r="AE9" i="100" l="1"/>
  <c r="AE4" i="100"/>
  <c r="X9" i="100"/>
  <c r="X4" i="100"/>
  <c r="K9" i="100" l="1"/>
  <c r="K4" i="100"/>
  <c r="AA48" i="99"/>
  <c r="G48" i="99"/>
  <c r="F48" i="99"/>
  <c r="AL14" i="99"/>
  <c r="J9" i="101"/>
  <c r="AD4" i="101" l="1"/>
  <c r="Y4" i="101"/>
  <c r="V4" i="101"/>
  <c r="J4" i="101"/>
  <c r="AG4" i="101" s="1"/>
  <c r="AD9" i="101"/>
  <c r="Y9" i="101"/>
  <c r="V9" i="101"/>
  <c r="AG9" i="101"/>
  <c r="AD14" i="101"/>
  <c r="Y14" i="101"/>
  <c r="V14" i="101"/>
  <c r="J14" i="101"/>
  <c r="AG14" i="101" s="1"/>
  <c r="AD19" i="101"/>
  <c r="Y19" i="101"/>
  <c r="V19" i="101"/>
  <c r="J19" i="101"/>
  <c r="AG19" i="101" s="1"/>
  <c r="AD24" i="101"/>
  <c r="Y24" i="101"/>
  <c r="V24" i="101"/>
  <c r="J24" i="101"/>
  <c r="AG24" i="101" s="1"/>
  <c r="AF24" i="101" l="1"/>
  <c r="AF19" i="101"/>
  <c r="AF14" i="101"/>
  <c r="AF9" i="101"/>
  <c r="AF4" i="101"/>
  <c r="AE78" i="101" l="1"/>
  <c r="AC78" i="101"/>
  <c r="AB78" i="101"/>
  <c r="AA78" i="101"/>
  <c r="Z78" i="101"/>
  <c r="G78" i="101"/>
  <c r="F78" i="101"/>
  <c r="AD74" i="101"/>
  <c r="Y74" i="101"/>
  <c r="V74" i="101"/>
  <c r="J74" i="101"/>
  <c r="AG74" i="101" s="1"/>
  <c r="AD69" i="101"/>
  <c r="Y69" i="101"/>
  <c r="V69" i="101"/>
  <c r="J69" i="101"/>
  <c r="AG69" i="101" s="1"/>
  <c r="AD49" i="101"/>
  <c r="Y49" i="101"/>
  <c r="V49" i="101"/>
  <c r="J49" i="101"/>
  <c r="AG49" i="101" s="1"/>
  <c r="AD44" i="101"/>
  <c r="Y44" i="101"/>
  <c r="V44" i="101"/>
  <c r="J44" i="101"/>
  <c r="AG44" i="101" s="1"/>
  <c r="AD39" i="101"/>
  <c r="Y39" i="101"/>
  <c r="V39" i="101"/>
  <c r="J39" i="101"/>
  <c r="AG39" i="101" s="1"/>
  <c r="AD34" i="101"/>
  <c r="Y34" i="101"/>
  <c r="V34" i="101"/>
  <c r="J34" i="101"/>
  <c r="AG34" i="101" s="1"/>
  <c r="AL30" i="101"/>
  <c r="AD29" i="101"/>
  <c r="Y29" i="101"/>
  <c r="V29" i="101"/>
  <c r="J29" i="101"/>
  <c r="AG29" i="101" s="1"/>
  <c r="AH24" i="101"/>
  <c r="AH19" i="101"/>
  <c r="AF74" i="101" l="1"/>
  <c r="AH74" i="101" s="1"/>
  <c r="AH76" i="101" s="1"/>
  <c r="AF69" i="101"/>
  <c r="AH69" i="101" s="1"/>
  <c r="AH64" i="101"/>
  <c r="AH59" i="101"/>
  <c r="AH61" i="101" s="1"/>
  <c r="AH54" i="101"/>
  <c r="AH56" i="101" s="1"/>
  <c r="AF49" i="101"/>
  <c r="AH49" i="101" s="1"/>
  <c r="AH51" i="101" s="1"/>
  <c r="AF44" i="101"/>
  <c r="AH44" i="101" s="1"/>
  <c r="AH46" i="101" s="1"/>
  <c r="AF39" i="101"/>
  <c r="AH39" i="101" s="1"/>
  <c r="AH41" i="101" s="1"/>
  <c r="Y78" i="101"/>
  <c r="AF34" i="101"/>
  <c r="AH34" i="101" s="1"/>
  <c r="AF29" i="101"/>
  <c r="AH29" i="101" s="1"/>
  <c r="AH25" i="101"/>
  <c r="AH26" i="101"/>
  <c r="AH21" i="101"/>
  <c r="AH20" i="101"/>
  <c r="AH14" i="101"/>
  <c r="V78" i="101"/>
  <c r="AD78" i="101"/>
  <c r="AH4" i="101"/>
  <c r="AH71" i="101" l="1"/>
  <c r="AH75" i="101"/>
  <c r="AH70" i="101"/>
  <c r="AH60" i="101"/>
  <c r="AH55" i="101"/>
  <c r="AH50" i="101"/>
  <c r="AH45" i="101"/>
  <c r="AH40" i="101"/>
  <c r="AH36" i="101"/>
  <c r="AH35" i="101"/>
  <c r="AF78" i="101"/>
  <c r="AL3" i="101" s="1"/>
  <c r="D64" i="83" s="1"/>
  <c r="AH9" i="101"/>
  <c r="AH78" i="101" s="1"/>
  <c r="AG78" i="101"/>
  <c r="AH5" i="101"/>
  <c r="AH6" i="101"/>
  <c r="AH15" i="101"/>
  <c r="AH16" i="101"/>
  <c r="AH31" i="101"/>
  <c r="AH30" i="101"/>
  <c r="AH66" i="101"/>
  <c r="AH65" i="101"/>
  <c r="AI29" i="101" l="1"/>
  <c r="AJ29" i="101" s="1"/>
  <c r="AI64" i="101"/>
  <c r="AJ64" i="101" s="1"/>
  <c r="AI4" i="101"/>
  <c r="AL15" i="101"/>
  <c r="AI34" i="101"/>
  <c r="AJ34" i="101" s="1"/>
  <c r="AI44" i="101"/>
  <c r="AJ44" i="101" s="1"/>
  <c r="AI24" i="101"/>
  <c r="AJ24" i="101" s="1"/>
  <c r="AI59" i="101"/>
  <c r="AJ59" i="101" s="1"/>
  <c r="AI49" i="101"/>
  <c r="AJ49" i="101" s="1"/>
  <c r="AI69" i="101"/>
  <c r="AJ69" i="101" s="1"/>
  <c r="AI74" i="101"/>
  <c r="AJ74" i="101" s="1"/>
  <c r="AI19" i="101"/>
  <c r="AJ19" i="101" s="1"/>
  <c r="AI39" i="101"/>
  <c r="AJ39" i="101" s="1"/>
  <c r="AI54" i="101"/>
  <c r="AJ54" i="101" s="1"/>
  <c r="AI14" i="101"/>
  <c r="AJ14" i="101" s="1"/>
  <c r="AH11" i="101"/>
  <c r="AH10" i="101"/>
  <c r="AI9" i="101"/>
  <c r="AJ9" i="101" s="1"/>
  <c r="AL33" i="101" l="1"/>
  <c r="AM33" i="101" s="1"/>
  <c r="AM15" i="101"/>
  <c r="AI78" i="101"/>
  <c r="AJ4" i="101"/>
  <c r="AJ78" i="101" s="1"/>
  <c r="AK80" i="105" s="1"/>
  <c r="AM3" i="101" l="1"/>
  <c r="AM4" i="101" s="1"/>
  <c r="AJ80" i="105"/>
  <c r="E64" i="83"/>
  <c r="F64" i="83" s="1"/>
  <c r="AC29" i="99"/>
  <c r="AC14" i="99"/>
  <c r="AC59" i="98"/>
  <c r="AC9" i="99"/>
  <c r="AB9" i="99"/>
  <c r="AB4" i="99"/>
  <c r="Z9" i="99"/>
  <c r="Z4" i="99"/>
  <c r="H9" i="99"/>
  <c r="J9" i="99" s="1"/>
  <c r="AG9" i="99" s="1"/>
  <c r="Y9" i="99"/>
  <c r="AD9" i="99"/>
  <c r="J14" i="99"/>
  <c r="AG14" i="99" s="1"/>
  <c r="V14" i="99"/>
  <c r="Y14" i="99"/>
  <c r="AD14" i="99"/>
  <c r="K19" i="99"/>
  <c r="J19" i="99" s="1"/>
  <c r="V19" i="99"/>
  <c r="X19" i="99"/>
  <c r="AE19" i="99" s="1"/>
  <c r="Y19" i="99"/>
  <c r="Z19" i="99"/>
  <c r="AD19" i="99"/>
  <c r="K24" i="99"/>
  <c r="J24" i="99" s="1"/>
  <c r="V24" i="99"/>
  <c r="X24" i="99"/>
  <c r="AE24" i="99" s="1"/>
  <c r="Y24" i="99"/>
  <c r="Z24" i="99"/>
  <c r="AD24" i="99"/>
  <c r="J29" i="99"/>
  <c r="AG29" i="99" s="1"/>
  <c r="V29" i="99"/>
  <c r="Y29" i="99"/>
  <c r="Z29" i="99"/>
  <c r="AD29" i="99"/>
  <c r="K34" i="99"/>
  <c r="J34" i="99" s="1"/>
  <c r="V34" i="99"/>
  <c r="X34" i="99"/>
  <c r="AE34" i="99" s="1"/>
  <c r="Y34" i="99"/>
  <c r="Z34" i="99"/>
  <c r="AD34" i="99"/>
  <c r="K39" i="99"/>
  <c r="J39" i="99" s="1"/>
  <c r="V39" i="99"/>
  <c r="X39" i="99"/>
  <c r="AE39" i="99" s="1"/>
  <c r="Y39" i="99"/>
  <c r="AD39" i="99"/>
  <c r="J44" i="99"/>
  <c r="AG44" i="99" s="1"/>
  <c r="V44" i="99"/>
  <c r="Y44" i="99"/>
  <c r="AD44" i="99"/>
  <c r="AA73" i="98"/>
  <c r="G73" i="98"/>
  <c r="F73" i="98"/>
  <c r="AL14" i="98"/>
  <c r="H19" i="98"/>
  <c r="V19" i="98" s="1"/>
  <c r="K19" i="98"/>
  <c r="X19" i="98"/>
  <c r="Y19" i="98"/>
  <c r="Z19" i="98"/>
  <c r="AB19" i="98"/>
  <c r="AC19" i="98"/>
  <c r="AD19" i="98"/>
  <c r="AE19" i="98"/>
  <c r="H24" i="98"/>
  <c r="V24" i="98" s="1"/>
  <c r="K24" i="98"/>
  <c r="X24" i="98"/>
  <c r="Y24" i="98"/>
  <c r="Z24" i="98"/>
  <c r="AB24" i="98"/>
  <c r="AC24" i="98"/>
  <c r="AD24" i="98"/>
  <c r="AE24" i="98"/>
  <c r="J29" i="98"/>
  <c r="V29" i="98"/>
  <c r="X29" i="98"/>
  <c r="Y29" i="98"/>
  <c r="AD29" i="98"/>
  <c r="AE29" i="98"/>
  <c r="J34" i="98"/>
  <c r="V34" i="98"/>
  <c r="X34" i="98"/>
  <c r="Y34" i="98"/>
  <c r="AC34" i="98"/>
  <c r="AD34" i="98"/>
  <c r="AE34" i="98"/>
  <c r="J39" i="98"/>
  <c r="V39" i="98"/>
  <c r="X39" i="98"/>
  <c r="Y39" i="98"/>
  <c r="AD39" i="98"/>
  <c r="AE39" i="98"/>
  <c r="H44" i="98"/>
  <c r="J44" i="98" s="1"/>
  <c r="X44" i="98"/>
  <c r="Y44" i="98"/>
  <c r="Z44" i="98"/>
  <c r="AB44" i="98"/>
  <c r="AC44" i="98"/>
  <c r="AD44" i="98"/>
  <c r="AE44" i="98"/>
  <c r="J49" i="98"/>
  <c r="V49" i="98"/>
  <c r="X49" i="98"/>
  <c r="Y49" i="98"/>
  <c r="Z49" i="98"/>
  <c r="AD49" i="98"/>
  <c r="AE49" i="98"/>
  <c r="J54" i="98"/>
  <c r="V54" i="98"/>
  <c r="X54" i="98"/>
  <c r="Y54" i="98"/>
  <c r="AD54" i="98"/>
  <c r="AE54" i="98"/>
  <c r="J59" i="98"/>
  <c r="V59" i="98"/>
  <c r="X59" i="98"/>
  <c r="Y59" i="98"/>
  <c r="AD59" i="98"/>
  <c r="AE59" i="98"/>
  <c r="H64" i="98"/>
  <c r="V64" i="98" s="1"/>
  <c r="X64" i="98"/>
  <c r="Y64" i="98"/>
  <c r="Z64" i="98"/>
  <c r="AB64" i="98"/>
  <c r="AD64" i="98"/>
  <c r="AE64" i="98"/>
  <c r="H69" i="98"/>
  <c r="K69" i="98"/>
  <c r="X69" i="98"/>
  <c r="AE69" i="98" s="1"/>
  <c r="Y69" i="98"/>
  <c r="Z69" i="98"/>
  <c r="AB69" i="98"/>
  <c r="AD69" i="98"/>
  <c r="AC14" i="98"/>
  <c r="AC9" i="98"/>
  <c r="H9" i="100"/>
  <c r="H4" i="100"/>
  <c r="AF64" i="98" l="1"/>
  <c r="J69" i="98"/>
  <c r="AG69" i="98" s="1"/>
  <c r="AG39" i="98"/>
  <c r="AG29" i="98"/>
  <c r="J24" i="98"/>
  <c r="AG24" i="98" s="1"/>
  <c r="AG49" i="98"/>
  <c r="AF19" i="99"/>
  <c r="AG59" i="98"/>
  <c r="Z48" i="99"/>
  <c r="AF34" i="98"/>
  <c r="AC48" i="99"/>
  <c r="AF39" i="98"/>
  <c r="AC73" i="98"/>
  <c r="J64" i="98"/>
  <c r="AG64" i="98" s="1"/>
  <c r="AG54" i="98"/>
  <c r="AF44" i="99"/>
  <c r="AH44" i="99" s="1"/>
  <c r="AF49" i="98"/>
  <c r="AF34" i="99"/>
  <c r="AE48" i="99"/>
  <c r="AF29" i="98"/>
  <c r="AG34" i="99"/>
  <c r="AF14" i="99"/>
  <c r="AB48" i="99"/>
  <c r="V69" i="98"/>
  <c r="AF69" i="98" s="1"/>
  <c r="AF54" i="98"/>
  <c r="V44" i="98"/>
  <c r="AF44" i="98" s="1"/>
  <c r="AF19" i="98"/>
  <c r="AG44" i="98"/>
  <c r="AG34" i="98"/>
  <c r="AF24" i="99"/>
  <c r="AD48" i="99"/>
  <c r="AF39" i="99"/>
  <c r="AF59" i="98"/>
  <c r="AF24" i="98"/>
  <c r="J19" i="98"/>
  <c r="AG19" i="98" s="1"/>
  <c r="AG24" i="99"/>
  <c r="AG19" i="99"/>
  <c r="AF29" i="99"/>
  <c r="AG39" i="99"/>
  <c r="V9" i="99"/>
  <c r="AF9" i="99" s="1"/>
  <c r="AH69" i="98" l="1"/>
  <c r="AH71" i="98" s="1"/>
  <c r="AH45" i="99"/>
  <c r="AH46" i="99"/>
  <c r="AD4" i="100"/>
  <c r="Y4" i="100"/>
  <c r="V4" i="100"/>
  <c r="J4" i="100"/>
  <c r="AG4" i="100" s="1"/>
  <c r="AD9" i="100"/>
  <c r="Y9" i="100"/>
  <c r="V9" i="100"/>
  <c r="J9" i="100"/>
  <c r="AG9" i="100" s="1"/>
  <c r="AD14" i="100"/>
  <c r="Y14" i="100"/>
  <c r="V14" i="100"/>
  <c r="J14" i="100"/>
  <c r="AG14" i="100" s="1"/>
  <c r="AC33" i="100"/>
  <c r="AB33" i="100"/>
  <c r="AA33" i="100"/>
  <c r="G33" i="100"/>
  <c r="F33" i="100"/>
  <c r="AL30" i="100"/>
  <c r="Z33" i="100"/>
  <c r="AH70" i="98" l="1"/>
  <c r="AH29" i="100"/>
  <c r="AH31" i="100" s="1"/>
  <c r="AH24" i="100"/>
  <c r="AH25" i="100" s="1"/>
  <c r="AH19" i="100"/>
  <c r="AD33" i="100"/>
  <c r="AF14" i="100"/>
  <c r="AH14" i="100" s="1"/>
  <c r="AF9" i="100"/>
  <c r="AH9" i="100" s="1"/>
  <c r="Y33" i="100"/>
  <c r="AF4" i="100"/>
  <c r="V33" i="100"/>
  <c r="AE33" i="100"/>
  <c r="AG33" i="100"/>
  <c r="AH30" i="100" l="1"/>
  <c r="AH26" i="100"/>
  <c r="AH21" i="100"/>
  <c r="AH20" i="100"/>
  <c r="AH16" i="100"/>
  <c r="AH15" i="100"/>
  <c r="AF33" i="100"/>
  <c r="AL3" i="100" s="1"/>
  <c r="D63" i="83" s="1"/>
  <c r="AH10" i="100"/>
  <c r="AH11" i="100"/>
  <c r="AH4" i="100"/>
  <c r="AH33" i="100" s="1"/>
  <c r="AH6" i="100" l="1"/>
  <c r="AH5" i="100"/>
  <c r="AI4" i="100"/>
  <c r="AJ4" i="100" l="1"/>
  <c r="AL15" i="100"/>
  <c r="AI14" i="100"/>
  <c r="AJ14" i="100" s="1"/>
  <c r="AI24" i="100"/>
  <c r="AJ24" i="100" s="1"/>
  <c r="AI29" i="100"/>
  <c r="AJ29" i="100" s="1"/>
  <c r="AI19" i="100"/>
  <c r="AJ19" i="100" s="1"/>
  <c r="AI9" i="100"/>
  <c r="AJ9" i="100" s="1"/>
  <c r="AM15" i="100" l="1"/>
  <c r="AL33" i="100"/>
  <c r="AM33" i="100" s="1"/>
  <c r="AM35" i="101" s="1"/>
  <c r="AM37" i="101" s="1"/>
  <c r="AJ33" i="100"/>
  <c r="AK81" i="105" s="1"/>
  <c r="AK82" i="105" s="1"/>
  <c r="AI33" i="100"/>
  <c r="AM3" i="100" l="1"/>
  <c r="E63" i="83" s="1"/>
  <c r="F63" i="83" s="1"/>
  <c r="AJ81" i="105"/>
  <c r="AJ82" i="105" s="1"/>
  <c r="AM35" i="102"/>
  <c r="AM37" i="102" s="1"/>
  <c r="AM34" i="103" s="1"/>
  <c r="AM36" i="103" s="1"/>
  <c r="Z49" i="97"/>
  <c r="Z39" i="97"/>
  <c r="AM4" i="100" l="1"/>
  <c r="H4" i="99"/>
  <c r="Z74" i="97" l="1"/>
  <c r="Z14" i="98" l="1"/>
  <c r="Z73" i="98" s="1"/>
  <c r="AE4" i="98" l="1"/>
  <c r="X4" i="98"/>
  <c r="AL14" i="97"/>
  <c r="AC39" i="97"/>
  <c r="AC19" i="97"/>
  <c r="AC14" i="97"/>
  <c r="AC4" i="97"/>
  <c r="O69" i="97" l="1"/>
  <c r="N69" i="97"/>
  <c r="M69" i="97"/>
  <c r="L69" i="97"/>
  <c r="P69" i="97"/>
  <c r="K69" i="97"/>
  <c r="AB74" i="97"/>
  <c r="AB69" i="97"/>
  <c r="Z69" i="97"/>
  <c r="X74" i="97"/>
  <c r="AE74" i="97"/>
  <c r="AE9" i="98"/>
  <c r="AE73" i="98" s="1"/>
  <c r="X9" i="98"/>
  <c r="H14" i="98"/>
  <c r="H9" i="98"/>
  <c r="AE44" i="97" l="1"/>
  <c r="X44" i="97"/>
  <c r="H74" i="97" l="1"/>
  <c r="V74" i="97" s="1"/>
  <c r="H69" i="97"/>
  <c r="AD74" i="97"/>
  <c r="Y74" i="97"/>
  <c r="AF74" i="97" l="1"/>
  <c r="J74" i="97"/>
  <c r="AG74" i="97" s="1"/>
  <c r="AB14" i="98" l="1"/>
  <c r="AB73" i="98" s="1"/>
  <c r="AB39" i="97"/>
  <c r="Z64" i="97" l="1"/>
  <c r="Z44" i="97" l="1"/>
  <c r="Z74" i="96"/>
  <c r="Z19" i="97"/>
  <c r="AE64" i="97" l="1"/>
  <c r="AE59" i="97"/>
  <c r="X64" i="97"/>
  <c r="X59" i="97"/>
  <c r="AB49" i="97" l="1"/>
  <c r="AB44" i="97"/>
  <c r="AE54" i="97"/>
  <c r="AE49" i="97"/>
  <c r="X54" i="97"/>
  <c r="X49" i="97"/>
  <c r="H49" i="97"/>
  <c r="J49" i="97" s="1"/>
  <c r="H44" i="97"/>
  <c r="Y49" i="97"/>
  <c r="AD49" i="97"/>
  <c r="J54" i="97"/>
  <c r="V54" i="97"/>
  <c r="Y54" i="97"/>
  <c r="AD54" i="97"/>
  <c r="J59" i="97"/>
  <c r="AG59" i="97" s="1"/>
  <c r="V59" i="97"/>
  <c r="AF59" i="97" s="1"/>
  <c r="Y59" i="97"/>
  <c r="AD59" i="97"/>
  <c r="J64" i="97"/>
  <c r="AG64" i="97" s="1"/>
  <c r="V64" i="97"/>
  <c r="Y64" i="97"/>
  <c r="AD64" i="97"/>
  <c r="J69" i="97"/>
  <c r="AG69" i="97" s="1"/>
  <c r="V69" i="97"/>
  <c r="Y69" i="97"/>
  <c r="AD69" i="97"/>
  <c r="Y4" i="99"/>
  <c r="Y48" i="99" s="1"/>
  <c r="V4" i="99"/>
  <c r="J4" i="99"/>
  <c r="AG4" i="99" s="1"/>
  <c r="AG48" i="99" s="1"/>
  <c r="AL30" i="99"/>
  <c r="AG54" i="97" l="1"/>
  <c r="AH39" i="99"/>
  <c r="AH34" i="99"/>
  <c r="AH29" i="99"/>
  <c r="AH24" i="99"/>
  <c r="AH19" i="99"/>
  <c r="AH14" i="99"/>
  <c r="AH9" i="99"/>
  <c r="AH10" i="99" s="1"/>
  <c r="V48" i="99"/>
  <c r="AF64" i="97"/>
  <c r="AF54" i="97"/>
  <c r="AF69" i="97"/>
  <c r="AG49" i="97"/>
  <c r="V49" i="97"/>
  <c r="AF49" i="97" s="1"/>
  <c r="AF4" i="99"/>
  <c r="AF48" i="99" s="1"/>
  <c r="AH40" i="99" l="1"/>
  <c r="AH41" i="99"/>
  <c r="AL3" i="99"/>
  <c r="D62" i="83" s="1"/>
  <c r="AH35" i="99"/>
  <c r="AH36" i="99"/>
  <c r="AH30" i="99"/>
  <c r="AH31" i="99"/>
  <c r="AH26" i="99"/>
  <c r="AH25" i="99"/>
  <c r="AH20" i="99"/>
  <c r="AH21" i="99"/>
  <c r="AH11" i="99"/>
  <c r="AH15" i="99"/>
  <c r="AH16" i="99"/>
  <c r="AH4" i="99"/>
  <c r="AH48" i="99" l="1"/>
  <c r="AI44" i="99" s="1"/>
  <c r="AJ44" i="99" s="1"/>
  <c r="AH5" i="99"/>
  <c r="AH6" i="99"/>
  <c r="AI4" i="99" l="1"/>
  <c r="AJ4" i="99" s="1"/>
  <c r="AL15" i="99"/>
  <c r="AI24" i="99"/>
  <c r="AJ24" i="99" s="1"/>
  <c r="AI9" i="99"/>
  <c r="AJ9" i="99" s="1"/>
  <c r="AI29" i="99"/>
  <c r="AJ29" i="99" s="1"/>
  <c r="AI39" i="99"/>
  <c r="AJ39" i="99" s="1"/>
  <c r="AI34" i="99"/>
  <c r="AJ34" i="99" s="1"/>
  <c r="AI19" i="99"/>
  <c r="AJ19" i="99" s="1"/>
  <c r="AI14" i="99"/>
  <c r="AJ14" i="99" s="1"/>
  <c r="AJ48" i="99" l="1"/>
  <c r="AI48" i="99"/>
  <c r="AM3" i="99" s="1"/>
  <c r="AL33" i="99"/>
  <c r="AM33" i="99" s="1"/>
  <c r="AM15" i="99"/>
  <c r="AM4" i="99" l="1"/>
  <c r="E62" i="83"/>
  <c r="F62" i="83" s="1"/>
  <c r="Y14" i="98"/>
  <c r="V14" i="98"/>
  <c r="J14" i="98"/>
  <c r="AG14" i="98" s="1"/>
  <c r="AD9" i="98"/>
  <c r="Y9" i="98"/>
  <c r="V9" i="98"/>
  <c r="J9" i="98"/>
  <c r="AG9" i="98" s="1"/>
  <c r="AD4" i="98"/>
  <c r="Y4" i="98"/>
  <c r="V4" i="98"/>
  <c r="J4" i="98"/>
  <c r="AG4" i="98" s="1"/>
  <c r="AL30" i="98"/>
  <c r="AE34" i="97"/>
  <c r="AE29" i="97"/>
  <c r="AE24" i="97"/>
  <c r="X34" i="97"/>
  <c r="X29" i="97"/>
  <c r="X24" i="97"/>
  <c r="AD73" i="98" l="1"/>
  <c r="AG73" i="98"/>
  <c r="V73" i="98"/>
  <c r="Y73" i="98"/>
  <c r="AH59" i="98"/>
  <c r="AH54" i="98"/>
  <c r="AH56" i="98" s="1"/>
  <c r="AH49" i="98"/>
  <c r="AH44" i="98"/>
  <c r="AH39" i="98"/>
  <c r="AH34" i="98"/>
  <c r="AH29" i="98"/>
  <c r="AH24" i="98"/>
  <c r="AH19" i="98"/>
  <c r="AF14" i="98"/>
  <c r="AF9" i="98"/>
  <c r="AH9" i="98" s="1"/>
  <c r="AF4" i="98"/>
  <c r="AH4" i="98" s="1"/>
  <c r="AH64" i="98"/>
  <c r="Z9" i="97"/>
  <c r="AH14" i="98" l="1"/>
  <c r="AH73" i="98" s="1"/>
  <c r="AI69" i="98" s="1"/>
  <c r="AJ69" i="98" s="1"/>
  <c r="AF73" i="98"/>
  <c r="AL3" i="98" s="1"/>
  <c r="D61" i="83" s="1"/>
  <c r="AH61" i="98"/>
  <c r="AH55" i="98"/>
  <c r="AH51" i="98"/>
  <c r="AH50" i="98"/>
  <c r="AH46" i="98"/>
  <c r="AH45" i="98"/>
  <c r="AH36" i="98"/>
  <c r="AH35" i="98"/>
  <c r="AH31" i="98"/>
  <c r="AH30" i="98"/>
  <c r="AH60" i="98"/>
  <c r="AH66" i="98"/>
  <c r="AH65" i="98"/>
  <c r="AH41" i="98"/>
  <c r="AH40" i="98"/>
  <c r="AH6" i="98"/>
  <c r="AH5" i="98"/>
  <c r="AH26" i="98"/>
  <c r="AH25" i="98"/>
  <c r="AH21" i="98"/>
  <c r="AH20" i="98"/>
  <c r="AH11" i="98"/>
  <c r="AH10" i="98"/>
  <c r="Z14" i="97"/>
  <c r="AH16" i="98" l="1"/>
  <c r="AH15" i="98"/>
  <c r="AL15" i="98"/>
  <c r="AI59" i="98"/>
  <c r="AJ59" i="98" s="1"/>
  <c r="AI44" i="98"/>
  <c r="AJ44" i="98" s="1"/>
  <c r="AI29" i="98"/>
  <c r="AJ29" i="98" s="1"/>
  <c r="AI34" i="98"/>
  <c r="AJ34" i="98" s="1"/>
  <c r="AI54" i="98"/>
  <c r="AJ54" i="98" s="1"/>
  <c r="AI49" i="98"/>
  <c r="AJ49" i="98" s="1"/>
  <c r="AI14" i="98"/>
  <c r="AJ14" i="98" s="1"/>
  <c r="AI19" i="98"/>
  <c r="AJ19" i="98" s="1"/>
  <c r="AI64" i="98"/>
  <c r="AJ64" i="98" s="1"/>
  <c r="AI9" i="98"/>
  <c r="AJ9" i="98" s="1"/>
  <c r="AI4" i="98"/>
  <c r="AI39" i="98"/>
  <c r="AJ39" i="98" s="1"/>
  <c r="AI24" i="98"/>
  <c r="AJ24" i="98" s="1"/>
  <c r="AE19" i="97"/>
  <c r="AE9" i="97"/>
  <c r="X19" i="97"/>
  <c r="X9" i="97"/>
  <c r="Z44" i="96"/>
  <c r="Z9" i="96"/>
  <c r="AI73" i="98" l="1"/>
  <c r="AM3" i="98" s="1"/>
  <c r="AJ4" i="98"/>
  <c r="AJ73" i="98" s="1"/>
  <c r="AM15" i="98"/>
  <c r="AL33" i="98"/>
  <c r="AM33" i="98" s="1"/>
  <c r="AM38" i="98" s="1"/>
  <c r="AL14" i="96"/>
  <c r="AC79" i="96"/>
  <c r="AC74" i="96"/>
  <c r="AC64" i="96"/>
  <c r="AC59" i="96"/>
  <c r="AC89" i="96"/>
  <c r="AC44" i="96"/>
  <c r="AC29" i="96"/>
  <c r="AC19" i="96"/>
  <c r="AC9" i="96"/>
  <c r="AC4" i="96"/>
  <c r="AM4" i="98" l="1"/>
  <c r="E61" i="83"/>
  <c r="F61" i="83" s="1"/>
  <c r="AB79" i="96"/>
  <c r="AB74" i="96"/>
  <c r="AB39" i="96" l="1"/>
  <c r="AB34" i="96"/>
  <c r="X74" i="96" l="1"/>
  <c r="AE79" i="96"/>
  <c r="X79" i="96"/>
  <c r="H79" i="96"/>
  <c r="V79" i="96" s="1"/>
  <c r="H74" i="96"/>
  <c r="Y79" i="96"/>
  <c r="AD79" i="96"/>
  <c r="J84" i="96"/>
  <c r="V84" i="96"/>
  <c r="X84" i="96"/>
  <c r="Y84" i="96"/>
  <c r="AD84" i="96"/>
  <c r="AE84" i="96"/>
  <c r="H89" i="96"/>
  <c r="K89" i="96"/>
  <c r="X89" i="96"/>
  <c r="Y89" i="96"/>
  <c r="AD89" i="96"/>
  <c r="AE89" i="96"/>
  <c r="H94" i="96"/>
  <c r="V94" i="96" s="1"/>
  <c r="K94" i="96"/>
  <c r="X94" i="96"/>
  <c r="Y94" i="96"/>
  <c r="Z94" i="96"/>
  <c r="AD94" i="96"/>
  <c r="AE94" i="96"/>
  <c r="J99" i="96"/>
  <c r="AG99" i="96" s="1"/>
  <c r="V99" i="96"/>
  <c r="Y99" i="96"/>
  <c r="AD99" i="96"/>
  <c r="AA103" i="96"/>
  <c r="AB103" i="96"/>
  <c r="AC103" i="96"/>
  <c r="G103" i="96"/>
  <c r="F103" i="96"/>
  <c r="J94" i="96" l="1"/>
  <c r="AG94" i="96" s="1"/>
  <c r="AG84" i="96"/>
  <c r="AF99" i="96"/>
  <c r="AH99" i="96" s="1"/>
  <c r="AH101" i="96" s="1"/>
  <c r="J89" i="96"/>
  <c r="AG89" i="96" s="1"/>
  <c r="AF94" i="96"/>
  <c r="AF84" i="96"/>
  <c r="J79" i="96"/>
  <c r="AG79" i="96" s="1"/>
  <c r="AF79" i="96"/>
  <c r="V89" i="96"/>
  <c r="AF89" i="96" s="1"/>
  <c r="AH100" i="96" l="1"/>
  <c r="AE14" i="97"/>
  <c r="AE4" i="97"/>
  <c r="X14" i="97"/>
  <c r="X4" i="97"/>
  <c r="Y9" i="97" l="1"/>
  <c r="Y54" i="96"/>
  <c r="Y49" i="96"/>
  <c r="Y39" i="96"/>
  <c r="Y34" i="96"/>
  <c r="J9" i="97" l="1"/>
  <c r="AG9" i="97" s="1"/>
  <c r="V9" i="97"/>
  <c r="AD9" i="97"/>
  <c r="AF9" i="97" s="1"/>
  <c r="J14" i="97"/>
  <c r="AG14" i="97" s="1"/>
  <c r="V14" i="97"/>
  <c r="Y14" i="97"/>
  <c r="AD14" i="97"/>
  <c r="J19" i="97"/>
  <c r="AG19" i="97" s="1"/>
  <c r="V19" i="97"/>
  <c r="Y19" i="97"/>
  <c r="AD19" i="97"/>
  <c r="J24" i="97"/>
  <c r="AG24" i="97" s="1"/>
  <c r="V24" i="97"/>
  <c r="Y24" i="97"/>
  <c r="AD24" i="97"/>
  <c r="J29" i="97"/>
  <c r="AG29" i="97" s="1"/>
  <c r="V29" i="97"/>
  <c r="Y29" i="97"/>
  <c r="AD29" i="97"/>
  <c r="J34" i="97"/>
  <c r="AG34" i="97" s="1"/>
  <c r="V34" i="97"/>
  <c r="Y34" i="97"/>
  <c r="AD34" i="97"/>
  <c r="H39" i="97"/>
  <c r="V39" i="97" s="1"/>
  <c r="Y39" i="97"/>
  <c r="AD39" i="97"/>
  <c r="AF39" i="97" l="1"/>
  <c r="AF29" i="97"/>
  <c r="AF19" i="97"/>
  <c r="AF14" i="97"/>
  <c r="AF34" i="97"/>
  <c r="AF24" i="97"/>
  <c r="J39" i="97"/>
  <c r="AG39" i="97" s="1"/>
  <c r="AD74" i="96" l="1"/>
  <c r="Y74" i="96"/>
  <c r="V74" i="96"/>
  <c r="J74" i="96"/>
  <c r="AG74" i="96" s="1"/>
  <c r="AE69" i="96"/>
  <c r="AD69" i="96"/>
  <c r="Y69" i="96"/>
  <c r="X69" i="96"/>
  <c r="V69" i="96"/>
  <c r="J69" i="96"/>
  <c r="AE64" i="96"/>
  <c r="AD64" i="96"/>
  <c r="Y64" i="96"/>
  <c r="X64" i="96"/>
  <c r="V64" i="96"/>
  <c r="J64" i="96"/>
  <c r="AE59" i="96"/>
  <c r="AD59" i="96"/>
  <c r="Y59" i="96"/>
  <c r="X59" i="96"/>
  <c r="V59" i="96"/>
  <c r="J59" i="96"/>
  <c r="AE54" i="96"/>
  <c r="AD54" i="96"/>
  <c r="X54" i="96"/>
  <c r="V54" i="96"/>
  <c r="J54" i="96"/>
  <c r="AE49" i="96"/>
  <c r="AD49" i="96"/>
  <c r="X49" i="96"/>
  <c r="V49" i="96"/>
  <c r="AF49" i="96" s="1"/>
  <c r="J49" i="96"/>
  <c r="AF64" i="96" l="1"/>
  <c r="AF54" i="96"/>
  <c r="AF69" i="96"/>
  <c r="AF59" i="96"/>
  <c r="AG64" i="96"/>
  <c r="AG59" i="96"/>
  <c r="AG54" i="96"/>
  <c r="AG49" i="96"/>
  <c r="AH49" i="96" s="1"/>
  <c r="AH50" i="96" s="1"/>
  <c r="AG69" i="96"/>
  <c r="AF74" i="96"/>
  <c r="Z29" i="96"/>
  <c r="Z39" i="96"/>
  <c r="Z34" i="96"/>
  <c r="Z103" i="96" l="1"/>
  <c r="AH51" i="96"/>
  <c r="AD4" i="97" l="1"/>
  <c r="Y4" i="97"/>
  <c r="V4" i="97"/>
  <c r="J4" i="97"/>
  <c r="AG4" i="97" s="1"/>
  <c r="AF4" i="97" l="1"/>
  <c r="AE29" i="96" l="1"/>
  <c r="AE24" i="96"/>
  <c r="X24" i="96"/>
  <c r="X29" i="96"/>
  <c r="K29" i="96"/>
  <c r="K24" i="96"/>
  <c r="AH69" i="97" l="1"/>
  <c r="AD44" i="97"/>
  <c r="Y44" i="97"/>
  <c r="V44" i="97"/>
  <c r="J44" i="97"/>
  <c r="AG44" i="97" s="1"/>
  <c r="AH39" i="97"/>
  <c r="AC78" i="97"/>
  <c r="AB78" i="97"/>
  <c r="AA78" i="97"/>
  <c r="Z78" i="97"/>
  <c r="G78" i="97"/>
  <c r="F78" i="97"/>
  <c r="AH74" i="97"/>
  <c r="AL30" i="97"/>
  <c r="AE78" i="97"/>
  <c r="AH64" i="97" l="1"/>
  <c r="AH59" i="97"/>
  <c r="AH54" i="97"/>
  <c r="AF44" i="97"/>
  <c r="AH44" i="97" s="1"/>
  <c r="AH46" i="97" s="1"/>
  <c r="AH34" i="97"/>
  <c r="AD78" i="97"/>
  <c r="AH24" i="97"/>
  <c r="AH26" i="97" s="1"/>
  <c r="Y78" i="97"/>
  <c r="V78" i="97"/>
  <c r="AH9" i="97"/>
  <c r="AH29" i="97"/>
  <c r="AH14" i="97"/>
  <c r="AH76" i="97"/>
  <c r="AH75" i="97"/>
  <c r="AH19" i="97"/>
  <c r="AH49" i="97"/>
  <c r="AH41" i="97"/>
  <c r="AH40" i="97"/>
  <c r="AH71" i="97"/>
  <c r="AH70" i="97"/>
  <c r="AH4" i="97"/>
  <c r="AH78" i="97" l="1"/>
  <c r="AI4" i="97" s="1"/>
  <c r="AH66" i="97"/>
  <c r="AH65" i="97"/>
  <c r="AH61" i="97"/>
  <c r="AH60" i="97"/>
  <c r="AH55" i="97"/>
  <c r="AH56" i="97"/>
  <c r="AH45" i="97"/>
  <c r="AH25" i="97"/>
  <c r="AH15" i="97"/>
  <c r="AH16" i="97"/>
  <c r="AH36" i="97"/>
  <c r="AH35" i="97"/>
  <c r="AH5" i="97"/>
  <c r="AH6" i="97"/>
  <c r="AH11" i="97"/>
  <c r="AH10" i="97"/>
  <c r="AH51" i="97"/>
  <c r="AH50" i="97"/>
  <c r="AH31" i="97"/>
  <c r="AH30" i="97"/>
  <c r="AH21" i="97"/>
  <c r="AH20" i="97"/>
  <c r="AG78" i="97"/>
  <c r="AF78" i="97"/>
  <c r="AL3" i="97" s="1"/>
  <c r="D60" i="83" s="1"/>
  <c r="AI9" i="97" l="1"/>
  <c r="AJ9" i="97" s="1"/>
  <c r="AI19" i="97"/>
  <c r="AJ19" i="97" s="1"/>
  <c r="AI34" i="97"/>
  <c r="AJ34" i="97" s="1"/>
  <c r="AI14" i="97"/>
  <c r="AJ14" i="97" s="1"/>
  <c r="AJ4" i="97"/>
  <c r="AI49" i="97"/>
  <c r="AJ49" i="97" s="1"/>
  <c r="AI29" i="97"/>
  <c r="AJ29" i="97" s="1"/>
  <c r="AL15" i="97"/>
  <c r="AI54" i="97"/>
  <c r="AJ54" i="97" s="1"/>
  <c r="AI74" i="97"/>
  <c r="AJ74" i="97" s="1"/>
  <c r="AI44" i="97"/>
  <c r="AJ44" i="97" s="1"/>
  <c r="AI24" i="97"/>
  <c r="AJ24" i="97" s="1"/>
  <c r="AI59" i="97"/>
  <c r="AJ59" i="97" s="1"/>
  <c r="AI39" i="97"/>
  <c r="AJ39" i="97" s="1"/>
  <c r="AI64" i="97"/>
  <c r="AJ64" i="97" s="1"/>
  <c r="AI69" i="97"/>
  <c r="AJ69" i="97" s="1"/>
  <c r="AL33" i="97" l="1"/>
  <c r="AM33" i="97" s="1"/>
  <c r="AM37" i="97" s="1"/>
  <c r="AM15" i="97"/>
  <c r="AJ78" i="97"/>
  <c r="AI78" i="97"/>
  <c r="AM3" i="97" s="1"/>
  <c r="AM4" i="97" l="1"/>
  <c r="E60" i="83"/>
  <c r="F60" i="83" s="1"/>
  <c r="AE44" i="96"/>
  <c r="AE39" i="96"/>
  <c r="AE34" i="96"/>
  <c r="X44" i="96"/>
  <c r="X39" i="96"/>
  <c r="X34" i="96"/>
  <c r="AB49" i="95" l="1"/>
  <c r="AB44" i="95"/>
  <c r="H9" i="96" l="1"/>
  <c r="H39" i="96"/>
  <c r="V39" i="96" s="1"/>
  <c r="H34" i="96"/>
  <c r="J39" i="96" l="1"/>
  <c r="Y24" i="96" l="1"/>
  <c r="AB34" i="95" l="1"/>
  <c r="AB29" i="95"/>
  <c r="Z39" i="95"/>
  <c r="AE4" i="96" l="1"/>
  <c r="AE103" i="96" s="1"/>
  <c r="X4" i="96"/>
  <c r="AE54" i="95"/>
  <c r="X54" i="95"/>
  <c r="Z59" i="95"/>
  <c r="Z34" i="95"/>
  <c r="Z29" i="95"/>
  <c r="Z49" i="95"/>
  <c r="Z44" i="95"/>
  <c r="AE49" i="95" l="1"/>
  <c r="AE44" i="95"/>
  <c r="X49" i="95"/>
  <c r="X44" i="95"/>
  <c r="K49" i="95"/>
  <c r="K44" i="95"/>
  <c r="AD4" i="96" l="1"/>
  <c r="Y4" i="96"/>
  <c r="V4" i="96"/>
  <c r="J4" i="96"/>
  <c r="AG4" i="96" s="1"/>
  <c r="AD9" i="96"/>
  <c r="Y9" i="96"/>
  <c r="V9" i="96"/>
  <c r="J9" i="96"/>
  <c r="AG9" i="96" s="1"/>
  <c r="AD14" i="96"/>
  <c r="Y14" i="96"/>
  <c r="V14" i="96"/>
  <c r="J14" i="96"/>
  <c r="AG14" i="96" s="1"/>
  <c r="AD19" i="96"/>
  <c r="Y19" i="96"/>
  <c r="V19" i="96"/>
  <c r="J19" i="96"/>
  <c r="AG19" i="96" s="1"/>
  <c r="AD24" i="96"/>
  <c r="V24" i="96"/>
  <c r="J24" i="96"/>
  <c r="AG24" i="96" s="1"/>
  <c r="AD29" i="96"/>
  <c r="Y29" i="96"/>
  <c r="V29" i="96"/>
  <c r="J29" i="96"/>
  <c r="AG29" i="96" s="1"/>
  <c r="AG34" i="96"/>
  <c r="AD34" i="96"/>
  <c r="V34" i="96"/>
  <c r="J34" i="96"/>
  <c r="AG39" i="96"/>
  <c r="AD39" i="96"/>
  <c r="AF39" i="96" s="1"/>
  <c r="AD44" i="96"/>
  <c r="Y44" i="96"/>
  <c r="V44" i="96"/>
  <c r="J44" i="96"/>
  <c r="AG44" i="96" s="1"/>
  <c r="AL30" i="96"/>
  <c r="AG103" i="96" l="1"/>
  <c r="Y103" i="96"/>
  <c r="AD103" i="96"/>
  <c r="V103" i="96"/>
  <c r="AH39" i="96"/>
  <c r="AH41" i="96" s="1"/>
  <c r="AF4" i="96"/>
  <c r="AH94" i="96"/>
  <c r="AH89" i="96"/>
  <c r="AH84" i="96"/>
  <c r="AH79" i="96"/>
  <c r="AH74" i="96"/>
  <c r="AH76" i="96" s="1"/>
  <c r="AH69" i="96"/>
  <c r="AH70" i="96" s="1"/>
  <c r="AH59" i="96"/>
  <c r="AH60" i="96" s="1"/>
  <c r="AH54" i="96"/>
  <c r="AF44" i="96"/>
  <c r="AF34" i="96"/>
  <c r="AH34" i="96" s="1"/>
  <c r="AF29" i="96"/>
  <c r="AH29" i="96" s="1"/>
  <c r="AF24" i="96"/>
  <c r="AH24" i="96" s="1"/>
  <c r="AF19" i="96"/>
  <c r="AH19" i="96" s="1"/>
  <c r="AF14" i="96"/>
  <c r="AF9" i="96"/>
  <c r="AH9" i="96" s="1"/>
  <c r="AH64" i="96"/>
  <c r="AH40" i="96" l="1"/>
  <c r="AH14" i="96"/>
  <c r="AH16" i="96" s="1"/>
  <c r="AF103" i="96"/>
  <c r="AL3" i="96" s="1"/>
  <c r="D59" i="83" s="1"/>
  <c r="AH91" i="96"/>
  <c r="AH4" i="96"/>
  <c r="AH6" i="96" s="1"/>
  <c r="AH95" i="96"/>
  <c r="AH96" i="96"/>
  <c r="AH90" i="96"/>
  <c r="AH86" i="96"/>
  <c r="AH85" i="96"/>
  <c r="AH80" i="96"/>
  <c r="AH81" i="96"/>
  <c r="AH75" i="96"/>
  <c r="AH71" i="96"/>
  <c r="AH61" i="96"/>
  <c r="AH56" i="96"/>
  <c r="AH55" i="96"/>
  <c r="AH21" i="96"/>
  <c r="AH20" i="96"/>
  <c r="AH44" i="96"/>
  <c r="AH11" i="96"/>
  <c r="AH10" i="96"/>
  <c r="AH31" i="96"/>
  <c r="AH30" i="96"/>
  <c r="AH25" i="96"/>
  <c r="AH26" i="96"/>
  <c r="AH66" i="96"/>
  <c r="AH65" i="96"/>
  <c r="AH36" i="96"/>
  <c r="AH35" i="96"/>
  <c r="AH15" i="96" l="1"/>
  <c r="AH103" i="96"/>
  <c r="AI79" i="96" s="1"/>
  <c r="AJ79" i="96" s="1"/>
  <c r="AH5" i="96"/>
  <c r="AH45" i="96"/>
  <c r="AH46" i="96"/>
  <c r="AI24" i="96" l="1"/>
  <c r="AJ24" i="96" s="1"/>
  <c r="AI44" i="96"/>
  <c r="AJ44" i="96" s="1"/>
  <c r="AI4" i="96"/>
  <c r="AJ4" i="96" s="1"/>
  <c r="AI39" i="96"/>
  <c r="AJ39" i="96" s="1"/>
  <c r="AI54" i="96"/>
  <c r="AJ54" i="96" s="1"/>
  <c r="AI84" i="96"/>
  <c r="AJ84" i="96" s="1"/>
  <c r="AI89" i="96"/>
  <c r="AJ89" i="96" s="1"/>
  <c r="AI69" i="96"/>
  <c r="AJ69" i="96" s="1"/>
  <c r="AI34" i="96"/>
  <c r="AJ34" i="96" s="1"/>
  <c r="AI59" i="96"/>
  <c r="AJ59" i="96" s="1"/>
  <c r="AI9" i="96"/>
  <c r="AJ9" i="96" s="1"/>
  <c r="AL15" i="96"/>
  <c r="AM15" i="96" s="1"/>
  <c r="AI29" i="96"/>
  <c r="AJ29" i="96" s="1"/>
  <c r="AI14" i="96"/>
  <c r="AJ14" i="96" s="1"/>
  <c r="AI64" i="96"/>
  <c r="AJ64" i="96" s="1"/>
  <c r="AI49" i="96"/>
  <c r="AJ49" i="96" s="1"/>
  <c r="AI19" i="96"/>
  <c r="AJ19" i="96" s="1"/>
  <c r="AI94" i="96"/>
  <c r="AJ94" i="96" s="1"/>
  <c r="AI74" i="96"/>
  <c r="AJ74" i="96" s="1"/>
  <c r="AI99" i="96"/>
  <c r="AJ99" i="96" s="1"/>
  <c r="AL33" i="96" l="1"/>
  <c r="AM33" i="96" s="1"/>
  <c r="AM36" i="96" s="1"/>
  <c r="AI103" i="96"/>
  <c r="AM3" i="96" s="1"/>
  <c r="AJ103" i="96"/>
  <c r="AE39" i="95"/>
  <c r="AE34" i="95"/>
  <c r="X39" i="95"/>
  <c r="X34" i="95"/>
  <c r="H49" i="95"/>
  <c r="V49" i="95" s="1"/>
  <c r="H44" i="95"/>
  <c r="AM4" i="96" l="1"/>
  <c r="E59" i="83"/>
  <c r="F59" i="83" s="1"/>
  <c r="J49" i="95"/>
  <c r="AE29" i="95"/>
  <c r="AE24" i="95"/>
  <c r="X29" i="95"/>
  <c r="X24" i="95"/>
  <c r="H34" i="95"/>
  <c r="J34" i="95" s="1"/>
  <c r="AG34" i="95" s="1"/>
  <c r="H29" i="95"/>
  <c r="Y34" i="95"/>
  <c r="AD34" i="95"/>
  <c r="J39" i="95"/>
  <c r="AG39" i="95" s="1"/>
  <c r="V39" i="95"/>
  <c r="Y39" i="95"/>
  <c r="AD39" i="95"/>
  <c r="AF39" i="95" l="1"/>
  <c r="V34" i="95"/>
  <c r="AF34" i="95" s="1"/>
  <c r="Z14" i="95" l="1"/>
  <c r="Z9" i="95"/>
  <c r="AC54" i="94" l="1"/>
  <c r="AC49" i="94"/>
  <c r="AC44" i="94"/>
  <c r="AC39" i="94"/>
  <c r="AC34" i="94"/>
  <c r="AC29" i="94"/>
  <c r="AB54" i="94" l="1"/>
  <c r="AB49" i="94"/>
  <c r="AB39" i="94"/>
  <c r="AB34" i="94"/>
  <c r="AB29" i="94"/>
  <c r="AB14" i="93"/>
  <c r="AB9" i="93"/>
  <c r="AE19" i="95" l="1"/>
  <c r="AE14" i="95"/>
  <c r="AE9" i="95"/>
  <c r="X19" i="95" l="1"/>
  <c r="X14" i="95"/>
  <c r="X9" i="95"/>
  <c r="AE49" i="94"/>
  <c r="X49" i="94"/>
  <c r="K14" i="95"/>
  <c r="K9" i="95"/>
  <c r="Z54" i="94"/>
  <c r="Z49" i="94"/>
  <c r="Z4" i="95" l="1"/>
  <c r="Z39" i="94" l="1"/>
  <c r="Z34" i="94"/>
  <c r="Z29" i="94"/>
  <c r="AE44" i="94" l="1"/>
  <c r="AE39" i="94"/>
  <c r="X44" i="94"/>
  <c r="X39" i="94"/>
  <c r="K44" i="94"/>
  <c r="K39" i="94"/>
  <c r="Z4" i="94"/>
  <c r="H54" i="94" l="1"/>
  <c r="J54" i="94" s="1"/>
  <c r="H49" i="94"/>
  <c r="AD4" i="95" l="1"/>
  <c r="Y4" i="95"/>
  <c r="V4" i="95"/>
  <c r="J4" i="95"/>
  <c r="AG4" i="95" s="1"/>
  <c r="AD9" i="95"/>
  <c r="Y9" i="95"/>
  <c r="V9" i="95"/>
  <c r="J9" i="95"/>
  <c r="AG9" i="95" s="1"/>
  <c r="AD14" i="95"/>
  <c r="Y14" i="95"/>
  <c r="V14" i="95"/>
  <c r="J14" i="95"/>
  <c r="AG14" i="95" s="1"/>
  <c r="AD19" i="95"/>
  <c r="Y19" i="95"/>
  <c r="V19" i="95"/>
  <c r="J19" i="95"/>
  <c r="AG19" i="95" s="1"/>
  <c r="AD24" i="95"/>
  <c r="Y24" i="95"/>
  <c r="V24" i="95"/>
  <c r="J24" i="95"/>
  <c r="AG24" i="95" s="1"/>
  <c r="AD29" i="95"/>
  <c r="Y29" i="95"/>
  <c r="V29" i="95"/>
  <c r="J29" i="95"/>
  <c r="AG29" i="95" s="1"/>
  <c r="AD44" i="95"/>
  <c r="Y44" i="95"/>
  <c r="V44" i="95"/>
  <c r="J44" i="95"/>
  <c r="AG44" i="95" s="1"/>
  <c r="AD49" i="95"/>
  <c r="Y49" i="95"/>
  <c r="AG49" i="95"/>
  <c r="AC63" i="95"/>
  <c r="AA63" i="95"/>
  <c r="Z63" i="95"/>
  <c r="G63" i="95"/>
  <c r="F63" i="95"/>
  <c r="AD59" i="95"/>
  <c r="Y59" i="95"/>
  <c r="V59" i="95"/>
  <c r="J59" i="95"/>
  <c r="AG59" i="95" s="1"/>
  <c r="AD54" i="95"/>
  <c r="Y54" i="95"/>
  <c r="V54" i="95"/>
  <c r="J54" i="95"/>
  <c r="AG54" i="95" s="1"/>
  <c r="AL30" i="95"/>
  <c r="AB63" i="95"/>
  <c r="AL14" i="95"/>
  <c r="AE63" i="95"/>
  <c r="AF49" i="95" l="1"/>
  <c r="AH49" i="95" s="1"/>
  <c r="AF59" i="95"/>
  <c r="AH59" i="95" s="1"/>
  <c r="AF54" i="95"/>
  <c r="AH54" i="95" s="1"/>
  <c r="AF44" i="95"/>
  <c r="AH44" i="95" s="1"/>
  <c r="AH34" i="95"/>
  <c r="AF29" i="95"/>
  <c r="AH29" i="95" s="1"/>
  <c r="AF24" i="95"/>
  <c r="AH24" i="95" s="1"/>
  <c r="AF19" i="95"/>
  <c r="AH19" i="95" s="1"/>
  <c r="AF14" i="95"/>
  <c r="AH14" i="95" s="1"/>
  <c r="AF9" i="95"/>
  <c r="AH9" i="95" s="1"/>
  <c r="Y63" i="95"/>
  <c r="AF4" i="95"/>
  <c r="AH4" i="95" s="1"/>
  <c r="AD63" i="95"/>
  <c r="V63" i="95"/>
  <c r="AH39" i="95"/>
  <c r="AH63" i="95" l="1"/>
  <c r="AI39" i="95" s="1"/>
  <c r="AJ39" i="95" s="1"/>
  <c r="AH56" i="95"/>
  <c r="AH55" i="95"/>
  <c r="AH46" i="95"/>
  <c r="AH45" i="95"/>
  <c r="AF63" i="95"/>
  <c r="AL3" i="95" s="1"/>
  <c r="D58" i="83" s="1"/>
  <c r="AH41" i="95"/>
  <c r="AH40" i="95"/>
  <c r="AH20" i="95"/>
  <c r="AH21" i="95"/>
  <c r="AH11" i="95"/>
  <c r="AH10" i="95"/>
  <c r="AH50" i="95"/>
  <c r="AH51" i="95"/>
  <c r="AH26" i="95"/>
  <c r="AH25" i="95"/>
  <c r="AH35" i="95"/>
  <c r="AH36" i="95"/>
  <c r="AH16" i="95"/>
  <c r="AH15" i="95"/>
  <c r="AH30" i="95"/>
  <c r="AH31" i="95"/>
  <c r="AH5" i="95"/>
  <c r="AH6" i="95"/>
  <c r="AH60" i="95"/>
  <c r="AH61" i="95"/>
  <c r="AG63" i="95"/>
  <c r="AI9" i="95" l="1"/>
  <c r="AJ9" i="95" s="1"/>
  <c r="AI29" i="95"/>
  <c r="AJ29" i="95" s="1"/>
  <c r="AI59" i="95"/>
  <c r="AJ59" i="95" s="1"/>
  <c r="AI19" i="95"/>
  <c r="AJ19" i="95" s="1"/>
  <c r="AI34" i="95"/>
  <c r="AJ34" i="95" s="1"/>
  <c r="AI14" i="95"/>
  <c r="AJ14" i="95" s="1"/>
  <c r="AI49" i="95"/>
  <c r="AJ49" i="95" s="1"/>
  <c r="AI4" i="95"/>
  <c r="AL15" i="95"/>
  <c r="AI54" i="95"/>
  <c r="AJ54" i="95" s="1"/>
  <c r="AI44" i="95"/>
  <c r="AJ44" i="95" s="1"/>
  <c r="AI24" i="95"/>
  <c r="AJ24" i="95" s="1"/>
  <c r="AM15" i="95" l="1"/>
  <c r="AL33" i="95"/>
  <c r="AM33" i="95" s="1"/>
  <c r="AI63" i="95"/>
  <c r="AM3" i="95" s="1"/>
  <c r="AJ4" i="95"/>
  <c r="AJ63" i="95" s="1"/>
  <c r="AM4" i="95" l="1"/>
  <c r="E58" i="83"/>
  <c r="F58" i="83" s="1"/>
  <c r="AE34" i="94"/>
  <c r="AE29" i="94"/>
  <c r="AE24" i="94"/>
  <c r="X34" i="94"/>
  <c r="X29" i="94"/>
  <c r="X24" i="94"/>
  <c r="AD49" i="94"/>
  <c r="Y49" i="94"/>
  <c r="V49" i="94"/>
  <c r="J49" i="94"/>
  <c r="AG49" i="94" s="1"/>
  <c r="AD44" i="94"/>
  <c r="Y44" i="94"/>
  <c r="V44" i="94"/>
  <c r="J44" i="94"/>
  <c r="AG44" i="94" s="1"/>
  <c r="AD39" i="94"/>
  <c r="Y39" i="94"/>
  <c r="H39" i="94"/>
  <c r="V39" i="94" s="1"/>
  <c r="AD34" i="94"/>
  <c r="Y34" i="94"/>
  <c r="H34" i="94"/>
  <c r="H29" i="94"/>
  <c r="AF44" i="94" l="1"/>
  <c r="AF39" i="94"/>
  <c r="AF49" i="94"/>
  <c r="J39" i="94"/>
  <c r="AG39" i="94" s="1"/>
  <c r="J34" i="94"/>
  <c r="AG34" i="94" s="1"/>
  <c r="V34" i="94"/>
  <c r="AF34" i="94" s="1"/>
  <c r="H24" i="94" l="1"/>
  <c r="Z14" i="93"/>
  <c r="AE19" i="94" l="1"/>
  <c r="AE14" i="94"/>
  <c r="AE9" i="94"/>
  <c r="X19" i="94"/>
  <c r="X14" i="94"/>
  <c r="X9" i="94"/>
  <c r="AD29" i="94" l="1"/>
  <c r="Y29" i="94"/>
  <c r="V29" i="94"/>
  <c r="J29" i="94"/>
  <c r="AG29" i="94" s="1"/>
  <c r="AB19" i="94"/>
  <c r="AD24" i="94"/>
  <c r="Y24" i="94"/>
  <c r="V24" i="94"/>
  <c r="J24" i="94"/>
  <c r="AG24" i="94" s="1"/>
  <c r="AF29" i="94" l="1"/>
  <c r="AF24" i="94"/>
  <c r="Z9" i="93" l="1"/>
  <c r="H14" i="93" l="1"/>
  <c r="V14" i="93" s="1"/>
  <c r="H9" i="93"/>
  <c r="J14" i="93" l="1"/>
  <c r="AD9" i="94"/>
  <c r="Y9" i="94"/>
  <c r="V9" i="94"/>
  <c r="J9" i="94"/>
  <c r="AG9" i="94" s="1"/>
  <c r="AD4" i="94"/>
  <c r="Y4" i="94"/>
  <c r="V4" i="94"/>
  <c r="J4" i="94"/>
  <c r="AG4" i="94" s="1"/>
  <c r="AE58" i="94"/>
  <c r="AC58" i="94"/>
  <c r="AB58" i="94"/>
  <c r="AA58" i="94"/>
  <c r="Z58" i="94"/>
  <c r="G58" i="94"/>
  <c r="F58" i="94"/>
  <c r="AD54" i="94"/>
  <c r="Y54" i="94"/>
  <c r="V54" i="94"/>
  <c r="AG54" i="94"/>
  <c r="AL28" i="94"/>
  <c r="AD19" i="94"/>
  <c r="Y19" i="94"/>
  <c r="V19" i="94"/>
  <c r="J19" i="94"/>
  <c r="AG19" i="94" s="1"/>
  <c r="AL14" i="94"/>
  <c r="AD14" i="94"/>
  <c r="Y14" i="94"/>
  <c r="V14" i="94"/>
  <c r="J14" i="94"/>
  <c r="AG14" i="94" s="1"/>
  <c r="Z14" i="92"/>
  <c r="Z9" i="92"/>
  <c r="Z29" i="92"/>
  <c r="AF54" i="94" l="1"/>
  <c r="AH54" i="94" s="1"/>
  <c r="AH56" i="94" s="1"/>
  <c r="AH34" i="94"/>
  <c r="AH35" i="94" s="1"/>
  <c r="AH39" i="94"/>
  <c r="AH44" i="94"/>
  <c r="AH46" i="94" s="1"/>
  <c r="AF19" i="94"/>
  <c r="AH19" i="94" s="1"/>
  <c r="AH29" i="94"/>
  <c r="AH30" i="94" s="1"/>
  <c r="AF14" i="94"/>
  <c r="AH14" i="94" s="1"/>
  <c r="AH16" i="94" s="1"/>
  <c r="V58" i="94"/>
  <c r="AF4" i="94"/>
  <c r="Y58" i="94"/>
  <c r="AF9" i="94"/>
  <c r="AH9" i="94" s="1"/>
  <c r="AG58" i="94"/>
  <c r="AH24" i="94"/>
  <c r="AH49" i="94"/>
  <c r="AD58" i="94"/>
  <c r="AD139" i="93"/>
  <c r="Y139" i="93"/>
  <c r="AD134" i="93"/>
  <c r="Y134" i="93"/>
  <c r="AD129" i="93"/>
  <c r="Y129" i="93"/>
  <c r="AD124" i="93"/>
  <c r="Y124" i="93"/>
  <c r="AD119" i="93"/>
  <c r="Y119" i="93"/>
  <c r="AD114" i="93"/>
  <c r="Y114" i="93"/>
  <c r="AD109" i="93"/>
  <c r="Y109" i="93"/>
  <c r="AD104" i="93"/>
  <c r="Y104" i="93"/>
  <c r="AD99" i="93"/>
  <c r="Y99" i="93"/>
  <c r="AD94" i="93"/>
  <c r="Y94" i="93"/>
  <c r="AD89" i="93"/>
  <c r="Y89" i="93"/>
  <c r="AD84" i="93"/>
  <c r="Y84" i="93"/>
  <c r="AD79" i="93"/>
  <c r="Y79" i="93"/>
  <c r="AD74" i="93"/>
  <c r="Y74" i="93"/>
  <c r="AD69" i="93"/>
  <c r="Y69" i="93"/>
  <c r="AD64" i="93"/>
  <c r="Y64" i="93"/>
  <c r="J64" i="93"/>
  <c r="AG64" i="93" s="1"/>
  <c r="AD59" i="93"/>
  <c r="Y59" i="93"/>
  <c r="AD54" i="93"/>
  <c r="Y54" i="93"/>
  <c r="AD49" i="93"/>
  <c r="Y49" i="93"/>
  <c r="AD44" i="93"/>
  <c r="Y44" i="93"/>
  <c r="AD39" i="93"/>
  <c r="Y39" i="93"/>
  <c r="AD34" i="93"/>
  <c r="Y34" i="93"/>
  <c r="AD29" i="93"/>
  <c r="Y29" i="93"/>
  <c r="AD24" i="93"/>
  <c r="Y24" i="93"/>
  <c r="V24" i="93"/>
  <c r="AD19" i="93"/>
  <c r="Y19" i="93"/>
  <c r="AD14" i="93"/>
  <c r="Y14" i="93"/>
  <c r="AD9" i="93"/>
  <c r="Y9" i="93"/>
  <c r="Y4" i="93"/>
  <c r="AC143" i="93"/>
  <c r="AA143" i="93"/>
  <c r="G143" i="93"/>
  <c r="F143" i="93"/>
  <c r="AL28" i="93"/>
  <c r="AL14" i="93"/>
  <c r="AE143" i="93"/>
  <c r="AD4" i="93"/>
  <c r="AB143" i="93"/>
  <c r="Z143" i="93"/>
  <c r="AH55" i="94" l="1"/>
  <c r="AH31" i="94"/>
  <c r="AH45" i="94"/>
  <c r="AH36" i="94"/>
  <c r="AH41" i="94"/>
  <c r="AH40" i="94"/>
  <c r="AF24" i="93"/>
  <c r="AH15" i="94"/>
  <c r="AF58" i="94"/>
  <c r="AL3" i="94" s="1"/>
  <c r="D57" i="83" s="1"/>
  <c r="AH4" i="94"/>
  <c r="AH51" i="94"/>
  <c r="AH50" i="94"/>
  <c r="AH21" i="94"/>
  <c r="AH20" i="94"/>
  <c r="AH10" i="94"/>
  <c r="AH11" i="94"/>
  <c r="AH25" i="94"/>
  <c r="AH26" i="94"/>
  <c r="J139" i="93"/>
  <c r="AG139" i="93" s="1"/>
  <c r="V139" i="93"/>
  <c r="AF139" i="93" s="1"/>
  <c r="J134" i="93"/>
  <c r="AG134" i="93" s="1"/>
  <c r="V134" i="93"/>
  <c r="AF134" i="93" s="1"/>
  <c r="J129" i="93"/>
  <c r="AG129" i="93" s="1"/>
  <c r="V129" i="93"/>
  <c r="AF129" i="93" s="1"/>
  <c r="J124" i="93"/>
  <c r="AG124" i="93" s="1"/>
  <c r="V124" i="93"/>
  <c r="AF124" i="93" s="1"/>
  <c r="J119" i="93"/>
  <c r="AG119" i="93" s="1"/>
  <c r="V119" i="93"/>
  <c r="AF119" i="93" s="1"/>
  <c r="V114" i="93"/>
  <c r="AF114" i="93" s="1"/>
  <c r="J114" i="93"/>
  <c r="AG114" i="93" s="1"/>
  <c r="J109" i="93"/>
  <c r="AG109" i="93" s="1"/>
  <c r="V109" i="93"/>
  <c r="AF109" i="93" s="1"/>
  <c r="J104" i="93"/>
  <c r="AG104" i="93" s="1"/>
  <c r="V104" i="93"/>
  <c r="AF104" i="93" s="1"/>
  <c r="J99" i="93"/>
  <c r="AG99" i="93" s="1"/>
  <c r="V99" i="93"/>
  <c r="AF99" i="93" s="1"/>
  <c r="J94" i="93"/>
  <c r="AG94" i="93" s="1"/>
  <c r="V94" i="93"/>
  <c r="AF94" i="93" s="1"/>
  <c r="V89" i="93"/>
  <c r="AF89" i="93" s="1"/>
  <c r="J89" i="93"/>
  <c r="AG89" i="93" s="1"/>
  <c r="J84" i="93"/>
  <c r="AG84" i="93" s="1"/>
  <c r="V84" i="93"/>
  <c r="AF84" i="93" s="1"/>
  <c r="J79" i="93"/>
  <c r="AG79" i="93" s="1"/>
  <c r="V79" i="93"/>
  <c r="AF79" i="93" s="1"/>
  <c r="J74" i="93"/>
  <c r="AG74" i="93" s="1"/>
  <c r="V74" i="93"/>
  <c r="AF74" i="93" s="1"/>
  <c r="J69" i="93"/>
  <c r="AG69" i="93" s="1"/>
  <c r="V69" i="93"/>
  <c r="AF69" i="93" s="1"/>
  <c r="V64" i="93"/>
  <c r="AF64" i="93" s="1"/>
  <c r="AH64" i="93" s="1"/>
  <c r="J59" i="93"/>
  <c r="AG59" i="93" s="1"/>
  <c r="V59" i="93"/>
  <c r="AF59" i="93" s="1"/>
  <c r="V54" i="93"/>
  <c r="AF54" i="93" s="1"/>
  <c r="J54" i="93"/>
  <c r="AG54" i="93" s="1"/>
  <c r="AH54" i="93" s="1"/>
  <c r="J49" i="93"/>
  <c r="AG49" i="93" s="1"/>
  <c r="V49" i="93"/>
  <c r="AF49" i="93" s="1"/>
  <c r="J44" i="93"/>
  <c r="AG44" i="93" s="1"/>
  <c r="V44" i="93"/>
  <c r="AF44" i="93" s="1"/>
  <c r="J39" i="93"/>
  <c r="AG39" i="93" s="1"/>
  <c r="V39" i="93"/>
  <c r="AF39" i="93" s="1"/>
  <c r="J34" i="93"/>
  <c r="AG34" i="93" s="1"/>
  <c r="V34" i="93"/>
  <c r="AF34" i="93" s="1"/>
  <c r="J29" i="93"/>
  <c r="AG29" i="93" s="1"/>
  <c r="V29" i="93"/>
  <c r="AF29" i="93" s="1"/>
  <c r="J24" i="93"/>
  <c r="AG24" i="93" s="1"/>
  <c r="J19" i="93"/>
  <c r="AG19" i="93" s="1"/>
  <c r="V19" i="93"/>
  <c r="AF19" i="93" s="1"/>
  <c r="AG14" i="93"/>
  <c r="Y143" i="93"/>
  <c r="AD143" i="93"/>
  <c r="AF14" i="93"/>
  <c r="V9" i="93"/>
  <c r="AF9" i="93" s="1"/>
  <c r="J9" i="93"/>
  <c r="AG9" i="93" s="1"/>
  <c r="J4" i="93"/>
  <c r="AG4" i="93" s="1"/>
  <c r="V4" i="93"/>
  <c r="AH84" i="93" l="1"/>
  <c r="AH85" i="93" s="1"/>
  <c r="AH79" i="93"/>
  <c r="AH99" i="93"/>
  <c r="AH101" i="93" s="1"/>
  <c r="AH119" i="93"/>
  <c r="AH104" i="93"/>
  <c r="AH24" i="93"/>
  <c r="AH44" i="93"/>
  <c r="AH45" i="93" s="1"/>
  <c r="AH139" i="93"/>
  <c r="AH141" i="93" s="1"/>
  <c r="AH19" i="93"/>
  <c r="AH20" i="93" s="1"/>
  <c r="AH114" i="93"/>
  <c r="AH116" i="93" s="1"/>
  <c r="AH89" i="93"/>
  <c r="AH91" i="93" s="1"/>
  <c r="AH5" i="94"/>
  <c r="AH58" i="94"/>
  <c r="AH39" i="93"/>
  <c r="AH41" i="93" s="1"/>
  <c r="AH59" i="93"/>
  <c r="AH61" i="93" s="1"/>
  <c r="AH124" i="93"/>
  <c r="AH125" i="93" s="1"/>
  <c r="AH29" i="93"/>
  <c r="AH31" i="93" s="1"/>
  <c r="AH49" i="93"/>
  <c r="AH51" i="93" s="1"/>
  <c r="AH69" i="93"/>
  <c r="AH71" i="93" s="1"/>
  <c r="AH129" i="93"/>
  <c r="AH130" i="93" s="1"/>
  <c r="AH74" i="93"/>
  <c r="AH75" i="93" s="1"/>
  <c r="AH94" i="93"/>
  <c r="AH96" i="93" s="1"/>
  <c r="AH134" i="93"/>
  <c r="AH135" i="93" s="1"/>
  <c r="AH109" i="93"/>
  <c r="AH111" i="93" s="1"/>
  <c r="AH34" i="93"/>
  <c r="AH36" i="93" s="1"/>
  <c r="AH6" i="94"/>
  <c r="AH14" i="93"/>
  <c r="AH15" i="93" s="1"/>
  <c r="AH9" i="93"/>
  <c r="AH11" i="93" s="1"/>
  <c r="AH121" i="93"/>
  <c r="AH120" i="93"/>
  <c r="AH105" i="93"/>
  <c r="AH106" i="93"/>
  <c r="AH100" i="93"/>
  <c r="AH81" i="93"/>
  <c r="AH80" i="93"/>
  <c r="AH66" i="93"/>
  <c r="AH65" i="93"/>
  <c r="AH56" i="93"/>
  <c r="AH55" i="93"/>
  <c r="AH26" i="93"/>
  <c r="AH25" i="93"/>
  <c r="AG143" i="93"/>
  <c r="AF4" i="93"/>
  <c r="AF143" i="93" s="1"/>
  <c r="AL3" i="93" s="1"/>
  <c r="D56" i="83" s="1"/>
  <c r="V143" i="93"/>
  <c r="AH140" i="93" l="1"/>
  <c r="AH86" i="93"/>
  <c r="AH21" i="93"/>
  <c r="AH46" i="93"/>
  <c r="AH95" i="93"/>
  <c r="AH115" i="93"/>
  <c r="AH70" i="93"/>
  <c r="AH90" i="93"/>
  <c r="AH131" i="93"/>
  <c r="AH60" i="93"/>
  <c r="AH40" i="93"/>
  <c r="AH30" i="93"/>
  <c r="AH76" i="93"/>
  <c r="AH126" i="93"/>
  <c r="AH110" i="93"/>
  <c r="AH136" i="93"/>
  <c r="AH35" i="93"/>
  <c r="AH50" i="93"/>
  <c r="AI29" i="94"/>
  <c r="AJ29" i="94" s="1"/>
  <c r="AI4" i="94"/>
  <c r="AJ4" i="94" s="1"/>
  <c r="AI34" i="94"/>
  <c r="AJ34" i="94" s="1"/>
  <c r="AI14" i="94"/>
  <c r="AJ14" i="94" s="1"/>
  <c r="AI44" i="94"/>
  <c r="AJ44" i="94" s="1"/>
  <c r="AI49" i="94"/>
  <c r="AJ49" i="94" s="1"/>
  <c r="AI54" i="94"/>
  <c r="AJ54" i="94" s="1"/>
  <c r="AI39" i="94"/>
  <c r="AJ39" i="94" s="1"/>
  <c r="AL15" i="94"/>
  <c r="AL31" i="94" s="1"/>
  <c r="AM31" i="94" s="1"/>
  <c r="AI24" i="94"/>
  <c r="AJ24" i="94" s="1"/>
  <c r="AI19" i="94"/>
  <c r="AJ19" i="94" s="1"/>
  <c r="AI9" i="94"/>
  <c r="AJ9" i="94" s="1"/>
  <c r="AH16" i="93"/>
  <c r="AH10" i="93"/>
  <c r="AH4" i="93"/>
  <c r="AM15" i="94" l="1"/>
  <c r="AI58" i="94"/>
  <c r="AM3" i="94" s="1"/>
  <c r="AJ58" i="94"/>
  <c r="AH6" i="93"/>
  <c r="AH5" i="93"/>
  <c r="AH143" i="93"/>
  <c r="AI4" i="93" s="1"/>
  <c r="AM4" i="94" l="1"/>
  <c r="E57" i="83"/>
  <c r="F57" i="83" s="1"/>
  <c r="AJ4" i="93"/>
  <c r="AL15" i="93"/>
  <c r="AI94" i="93"/>
  <c r="AJ94" i="93" s="1"/>
  <c r="AI119" i="93"/>
  <c r="AJ119" i="93" s="1"/>
  <c r="AI74" i="93"/>
  <c r="AJ74" i="93" s="1"/>
  <c r="AI14" i="93"/>
  <c r="AJ14" i="93" s="1"/>
  <c r="AI39" i="93"/>
  <c r="AJ39" i="93" s="1"/>
  <c r="AI124" i="93"/>
  <c r="AJ124" i="93" s="1"/>
  <c r="AI69" i="93"/>
  <c r="AJ69" i="93" s="1"/>
  <c r="AI79" i="93"/>
  <c r="AJ79" i="93" s="1"/>
  <c r="AI109" i="93"/>
  <c r="AJ109" i="93" s="1"/>
  <c r="AI24" i="93"/>
  <c r="AJ24" i="93" s="1"/>
  <c r="AI104" i="93"/>
  <c r="AJ104" i="93" s="1"/>
  <c r="AI84" i="93"/>
  <c r="AJ84" i="93" s="1"/>
  <c r="AI129" i="93"/>
  <c r="AJ129" i="93" s="1"/>
  <c r="AI134" i="93"/>
  <c r="AJ134" i="93" s="1"/>
  <c r="AI99" i="93"/>
  <c r="AJ99" i="93" s="1"/>
  <c r="AI54" i="93"/>
  <c r="AJ54" i="93" s="1"/>
  <c r="AI34" i="93"/>
  <c r="AJ34" i="93" s="1"/>
  <c r="AI44" i="93"/>
  <c r="AJ44" i="93" s="1"/>
  <c r="AI64" i="93"/>
  <c r="AJ64" i="93" s="1"/>
  <c r="AI9" i="93"/>
  <c r="AJ9" i="93" s="1"/>
  <c r="AI114" i="93"/>
  <c r="AJ114" i="93" s="1"/>
  <c r="AI19" i="93"/>
  <c r="AJ19" i="93" s="1"/>
  <c r="AI29" i="93"/>
  <c r="AJ29" i="93" s="1"/>
  <c r="AI59" i="93"/>
  <c r="AJ59" i="93" s="1"/>
  <c r="AI49" i="93"/>
  <c r="AJ49" i="93" s="1"/>
  <c r="AI139" i="93"/>
  <c r="AJ139" i="93" s="1"/>
  <c r="AI89" i="93"/>
  <c r="AJ89" i="93" s="1"/>
  <c r="AL31" i="93" l="1"/>
  <c r="AM31" i="93" s="1"/>
  <c r="AM15" i="93"/>
  <c r="AJ143" i="93"/>
  <c r="AI143" i="93"/>
  <c r="AM3" i="93" s="1"/>
  <c r="AM4" i="93" l="1"/>
  <c r="E56" i="83"/>
  <c r="F56" i="83" s="1"/>
  <c r="Z59" i="92"/>
  <c r="Z44" i="92" l="1"/>
  <c r="AE59" i="92"/>
  <c r="AE54" i="92"/>
  <c r="AE49" i="92"/>
  <c r="AE44" i="92"/>
  <c r="X59" i="92"/>
  <c r="X54" i="92"/>
  <c r="X49" i="92"/>
  <c r="X44" i="92"/>
  <c r="AD64" i="92"/>
  <c r="Y64" i="92"/>
  <c r="V64" i="92"/>
  <c r="J64" i="92"/>
  <c r="AG64" i="92" s="1"/>
  <c r="H59" i="92"/>
  <c r="AF64" i="92" l="1"/>
  <c r="J44" i="92"/>
  <c r="AG44" i="92" s="1"/>
  <c r="V44" i="92"/>
  <c r="Y44" i="92"/>
  <c r="AD44" i="92"/>
  <c r="J49" i="92"/>
  <c r="AG49" i="92" s="1"/>
  <c r="V49" i="92"/>
  <c r="Y49" i="92"/>
  <c r="AD49" i="92"/>
  <c r="J54" i="92"/>
  <c r="AG54" i="92" s="1"/>
  <c r="V54" i="92"/>
  <c r="Y54" i="92"/>
  <c r="AD54" i="92"/>
  <c r="AE34" i="92"/>
  <c r="AE29" i="92"/>
  <c r="X34" i="92"/>
  <c r="X29" i="92"/>
  <c r="K34" i="92"/>
  <c r="K29" i="92"/>
  <c r="AF54" i="92" l="1"/>
  <c r="AF44" i="92"/>
  <c r="AF49" i="92"/>
  <c r="Z34" i="92"/>
  <c r="Z24" i="92" l="1"/>
  <c r="AB14" i="92" l="1"/>
  <c r="AB9" i="92"/>
  <c r="AB4" i="92"/>
  <c r="AB34" i="91" l="1"/>
  <c r="AB29" i="91"/>
  <c r="AB24" i="91"/>
  <c r="AB19" i="92"/>
  <c r="AB19" i="91"/>
  <c r="Y14" i="91"/>
  <c r="Z14" i="90"/>
  <c r="Z9" i="90"/>
  <c r="AB39" i="90"/>
  <c r="AB34" i="90"/>
  <c r="AB24" i="90"/>
  <c r="AB19" i="90"/>
  <c r="Z34" i="91" l="1"/>
  <c r="Z19" i="91"/>
  <c r="Z19" i="92"/>
  <c r="Z4" i="92"/>
  <c r="H9" i="92" l="1"/>
  <c r="H4" i="92"/>
  <c r="H19" i="92" l="1"/>
  <c r="J19" i="92" s="1"/>
  <c r="AG19" i="92" s="1"/>
  <c r="Y19" i="92"/>
  <c r="AD19" i="92"/>
  <c r="J24" i="92"/>
  <c r="AG24" i="92" s="1"/>
  <c r="V24" i="92"/>
  <c r="Y24" i="92"/>
  <c r="AD24" i="92"/>
  <c r="J29" i="92"/>
  <c r="AG29" i="92" s="1"/>
  <c r="V29" i="92"/>
  <c r="Y29" i="92"/>
  <c r="AD29" i="92"/>
  <c r="J34" i="92"/>
  <c r="AG34" i="92" s="1"/>
  <c r="V34" i="92"/>
  <c r="Y34" i="92"/>
  <c r="AD34" i="92"/>
  <c r="AF24" i="92" l="1"/>
  <c r="AF34" i="92"/>
  <c r="AF29" i="92"/>
  <c r="V19" i="92"/>
  <c r="AF19" i="92" s="1"/>
  <c r="X4" i="92" l="1"/>
  <c r="X34" i="91"/>
  <c r="X29" i="91"/>
  <c r="AE4" i="92"/>
  <c r="AD14" i="92"/>
  <c r="Y14" i="92"/>
  <c r="V14" i="92"/>
  <c r="J14" i="92"/>
  <c r="AG14" i="92" s="1"/>
  <c r="AD9" i="92"/>
  <c r="Y9" i="92"/>
  <c r="V9" i="92"/>
  <c r="J9" i="92"/>
  <c r="AG9" i="92" s="1"/>
  <c r="AD4" i="92"/>
  <c r="Y4" i="92"/>
  <c r="V4" i="92"/>
  <c r="J4" i="92"/>
  <c r="AF4" i="92" l="1"/>
  <c r="AF14" i="92"/>
  <c r="AF9" i="92"/>
  <c r="AG4" i="92"/>
  <c r="AB14" i="91" l="1"/>
  <c r="AE34" i="91" l="1"/>
  <c r="AE29" i="91"/>
  <c r="AE24" i="91" l="1"/>
  <c r="AE19" i="91"/>
  <c r="AE14" i="91"/>
  <c r="X24" i="91"/>
  <c r="X19" i="91"/>
  <c r="X14" i="91"/>
  <c r="F143" i="88" l="1"/>
  <c r="F143" i="89"/>
  <c r="F143" i="90"/>
  <c r="F143" i="91"/>
  <c r="F143" i="87"/>
  <c r="F143" i="86"/>
  <c r="F133" i="85" l="1"/>
  <c r="F128" i="84"/>
  <c r="F128" i="81"/>
  <c r="F59" i="76"/>
  <c r="F49" i="77"/>
  <c r="F44" i="75"/>
  <c r="F79" i="74"/>
  <c r="F109" i="73"/>
  <c r="F104" i="72"/>
  <c r="F89" i="71"/>
  <c r="F99" i="70"/>
  <c r="F64" i="69"/>
  <c r="F115" i="68"/>
  <c r="F82" i="67"/>
  <c r="F75" i="66"/>
  <c r="F88" i="65"/>
  <c r="F135" i="64"/>
  <c r="F75" i="63"/>
  <c r="F139" i="62"/>
  <c r="F75" i="61"/>
  <c r="F64" i="60"/>
  <c r="F51" i="59"/>
  <c r="F99" i="58"/>
  <c r="F57" i="57"/>
  <c r="F81" i="56"/>
  <c r="F75" i="55"/>
  <c r="F122" i="54"/>
  <c r="F39" i="53"/>
  <c r="F22" i="52"/>
  <c r="F33" i="51"/>
  <c r="F45" i="50"/>
  <c r="F27" i="49"/>
  <c r="F51" i="48"/>
  <c r="F51" i="47"/>
  <c r="F75" i="46"/>
  <c r="F57" i="45"/>
  <c r="F87" i="44"/>
  <c r="F45" i="40"/>
  <c r="AC4" i="91"/>
  <c r="Y4" i="91"/>
  <c r="AE9" i="91" l="1"/>
  <c r="AE4" i="91"/>
  <c r="X9" i="91"/>
  <c r="X4" i="91"/>
  <c r="AE64" i="90"/>
  <c r="X64" i="90"/>
  <c r="H64" i="90"/>
  <c r="AE59" i="90"/>
  <c r="AE54" i="90"/>
  <c r="X59" i="90"/>
  <c r="X54" i="90"/>
  <c r="AC24" i="90"/>
  <c r="AC19" i="90"/>
  <c r="AD84" i="89"/>
  <c r="Y84" i="89"/>
  <c r="V84" i="89"/>
  <c r="J84" i="89"/>
  <c r="AG84" i="89" s="1"/>
  <c r="AD79" i="89"/>
  <c r="Y79" i="89"/>
  <c r="V79" i="89"/>
  <c r="J79" i="89"/>
  <c r="AG79" i="89" s="1"/>
  <c r="AE74" i="89"/>
  <c r="AD74" i="89"/>
  <c r="AC74" i="89"/>
  <c r="Y74" i="89"/>
  <c r="X74" i="89"/>
  <c r="V74" i="89"/>
  <c r="K74" i="89"/>
  <c r="J74" i="89" s="1"/>
  <c r="AE69" i="89"/>
  <c r="AD69" i="89"/>
  <c r="AC69" i="89"/>
  <c r="Y69" i="89"/>
  <c r="X69" i="89"/>
  <c r="V69" i="89"/>
  <c r="K69" i="89"/>
  <c r="J69" i="89" s="1"/>
  <c r="AD64" i="89"/>
  <c r="AB64" i="89"/>
  <c r="Z64" i="89"/>
  <c r="Y64" i="89"/>
  <c r="H64" i="89"/>
  <c r="V64" i="89" s="1"/>
  <c r="AE59" i="89"/>
  <c r="AD59" i="89"/>
  <c r="AB59" i="89"/>
  <c r="Z59" i="89"/>
  <c r="Y59" i="89"/>
  <c r="X59" i="89"/>
  <c r="H59" i="89"/>
  <c r="AE54" i="89"/>
  <c r="AD54" i="89"/>
  <c r="Z54" i="89"/>
  <c r="Y54" i="89"/>
  <c r="X54" i="89"/>
  <c r="H54" i="89"/>
  <c r="V54" i="89" s="1"/>
  <c r="AE49" i="89"/>
  <c r="AD49" i="89"/>
  <c r="Z49" i="89"/>
  <c r="Y49" i="89"/>
  <c r="X49" i="89"/>
  <c r="K49" i="89"/>
  <c r="H49" i="89"/>
  <c r="V49" i="89" s="1"/>
  <c r="AE44" i="89"/>
  <c r="AD44" i="89"/>
  <c r="Z44" i="89"/>
  <c r="Y44" i="89"/>
  <c r="X44" i="89"/>
  <c r="V44" i="89"/>
  <c r="J44" i="89"/>
  <c r="AE39" i="89"/>
  <c r="AD39" i="89"/>
  <c r="Y39" i="89"/>
  <c r="X39" i="89"/>
  <c r="V39" i="89"/>
  <c r="J39" i="89"/>
  <c r="AE34" i="89"/>
  <c r="AD34" i="89"/>
  <c r="Y34" i="89"/>
  <c r="X34" i="89"/>
  <c r="V34" i="89"/>
  <c r="J34" i="89"/>
  <c r="AE29" i="89"/>
  <c r="AD29" i="89"/>
  <c r="Z29" i="89"/>
  <c r="Y29" i="89"/>
  <c r="X29" i="89"/>
  <c r="V29" i="89"/>
  <c r="J29" i="89"/>
  <c r="AE24" i="89"/>
  <c r="AD24" i="89"/>
  <c r="Y24" i="89"/>
  <c r="X24" i="89"/>
  <c r="V24" i="89"/>
  <c r="J24" i="89"/>
  <c r="AE19" i="89"/>
  <c r="AD19" i="89"/>
  <c r="Z19" i="89"/>
  <c r="Y19" i="89"/>
  <c r="X19" i="89"/>
  <c r="V19" i="89"/>
  <c r="J19" i="89"/>
  <c r="AC143" i="92"/>
  <c r="AB143" i="92"/>
  <c r="AE143" i="92"/>
  <c r="AA143" i="92"/>
  <c r="G143" i="92"/>
  <c r="F143" i="92"/>
  <c r="AD139" i="92"/>
  <c r="Y139" i="92"/>
  <c r="V139" i="92"/>
  <c r="J139" i="92"/>
  <c r="AG139" i="92" s="1"/>
  <c r="AD134" i="92"/>
  <c r="Y134" i="92"/>
  <c r="V134" i="92"/>
  <c r="J134" i="92"/>
  <c r="AG134" i="92" s="1"/>
  <c r="AD129" i="92"/>
  <c r="Y129" i="92"/>
  <c r="V129" i="92"/>
  <c r="J129" i="92"/>
  <c r="AG129" i="92" s="1"/>
  <c r="AD124" i="92"/>
  <c r="Y124" i="92"/>
  <c r="V124" i="92"/>
  <c r="J124" i="92"/>
  <c r="AG124" i="92" s="1"/>
  <c r="AD119" i="92"/>
  <c r="Y119" i="92"/>
  <c r="V119" i="92"/>
  <c r="J119" i="92"/>
  <c r="AG119" i="92" s="1"/>
  <c r="AD114" i="92"/>
  <c r="Y114" i="92"/>
  <c r="V114" i="92"/>
  <c r="J114" i="92"/>
  <c r="AG114" i="92" s="1"/>
  <c r="AD109" i="92"/>
  <c r="Y109" i="92"/>
  <c r="V109" i="92"/>
  <c r="J109" i="92"/>
  <c r="AG109" i="92" s="1"/>
  <c r="AD104" i="92"/>
  <c r="Y104" i="92"/>
  <c r="V104" i="92"/>
  <c r="J104" i="92"/>
  <c r="AG104" i="92" s="1"/>
  <c r="AD99" i="92"/>
  <c r="Y99" i="92"/>
  <c r="V99" i="92"/>
  <c r="J99" i="92"/>
  <c r="AG99" i="92" s="1"/>
  <c r="AD94" i="92"/>
  <c r="Y94" i="92"/>
  <c r="V94" i="92"/>
  <c r="J94" i="92"/>
  <c r="AG94" i="92" s="1"/>
  <c r="AD89" i="92"/>
  <c r="Y89" i="92"/>
  <c r="V89" i="92"/>
  <c r="J89" i="92"/>
  <c r="AG89" i="92" s="1"/>
  <c r="AD84" i="92"/>
  <c r="Y84" i="92"/>
  <c r="V84" i="92"/>
  <c r="J84" i="92"/>
  <c r="AG84" i="92" s="1"/>
  <c r="AD79" i="92"/>
  <c r="Y79" i="92"/>
  <c r="V79" i="92"/>
  <c r="J79" i="92"/>
  <c r="AG79" i="92" s="1"/>
  <c r="AD74" i="92"/>
  <c r="Y74" i="92"/>
  <c r="V74" i="92"/>
  <c r="J74" i="92"/>
  <c r="AG74" i="92" s="1"/>
  <c r="AD69" i="92"/>
  <c r="Y69" i="92"/>
  <c r="V69" i="92"/>
  <c r="J69" i="92"/>
  <c r="AG69" i="92" s="1"/>
  <c r="AH64" i="92"/>
  <c r="AD59" i="92"/>
  <c r="Y59" i="92"/>
  <c r="V59" i="92"/>
  <c r="J59" i="92"/>
  <c r="AG59" i="92" s="1"/>
  <c r="AH54" i="92"/>
  <c r="AD39" i="92"/>
  <c r="Y39" i="92"/>
  <c r="V39" i="92"/>
  <c r="J39" i="92"/>
  <c r="AG39" i="92" s="1"/>
  <c r="AL28" i="92"/>
  <c r="AL14" i="92"/>
  <c r="AG34" i="89" l="1"/>
  <c r="AF79" i="92"/>
  <c r="AH79" i="92" s="1"/>
  <c r="AF89" i="92"/>
  <c r="AF109" i="92"/>
  <c r="AH109" i="92" s="1"/>
  <c r="AH110" i="92" s="1"/>
  <c r="J64" i="89"/>
  <c r="AF124" i="92"/>
  <c r="AH124" i="92" s="1"/>
  <c r="AF79" i="89"/>
  <c r="AF84" i="89"/>
  <c r="AG24" i="89"/>
  <c r="AF129" i="92"/>
  <c r="AF34" i="89"/>
  <c r="AF29" i="89"/>
  <c r="AF44" i="89"/>
  <c r="AF114" i="92"/>
  <c r="AH114" i="92" s="1"/>
  <c r="AF69" i="92"/>
  <c r="AH69" i="92" s="1"/>
  <c r="AG44" i="89"/>
  <c r="J49" i="89"/>
  <c r="AG49" i="89" s="1"/>
  <c r="AF54" i="89"/>
  <c r="AG39" i="89"/>
  <c r="AF39" i="89"/>
  <c r="AG19" i="89"/>
  <c r="AF94" i="92"/>
  <c r="AH94" i="92" s="1"/>
  <c r="AH95" i="92" s="1"/>
  <c r="AF139" i="92"/>
  <c r="AH139" i="92" s="1"/>
  <c r="AH89" i="92"/>
  <c r="AH91" i="92" s="1"/>
  <c r="AF104" i="92"/>
  <c r="AH104" i="92" s="1"/>
  <c r="AG29" i="89"/>
  <c r="AF39" i="92"/>
  <c r="AH39" i="92" s="1"/>
  <c r="AH41" i="92" s="1"/>
  <c r="AH44" i="92"/>
  <c r="AH29" i="92"/>
  <c r="AH31" i="92" s="1"/>
  <c r="AF99" i="92"/>
  <c r="AH99" i="92" s="1"/>
  <c r="AF134" i="92"/>
  <c r="AH134" i="92" s="1"/>
  <c r="AF19" i="89"/>
  <c r="AF24" i="89"/>
  <c r="AF49" i="89"/>
  <c r="AG69" i="89"/>
  <c r="AG74" i="89"/>
  <c r="AF74" i="92"/>
  <c r="AH74" i="92" s="1"/>
  <c r="AH75" i="92" s="1"/>
  <c r="AF74" i="89"/>
  <c r="AF59" i="92"/>
  <c r="AH59" i="92" s="1"/>
  <c r="AH60" i="92" s="1"/>
  <c r="AF64" i="89"/>
  <c r="AF69" i="89"/>
  <c r="AH34" i="92"/>
  <c r="AF84" i="92"/>
  <c r="AH84" i="92" s="1"/>
  <c r="AF119" i="92"/>
  <c r="AH119" i="92" s="1"/>
  <c r="AH121" i="92" s="1"/>
  <c r="AH129" i="92"/>
  <c r="AH131" i="92" s="1"/>
  <c r="Z143" i="92"/>
  <c r="AH24" i="92"/>
  <c r="AD143" i="92"/>
  <c r="AH19" i="92"/>
  <c r="AH21" i="92" s="1"/>
  <c r="V143" i="92"/>
  <c r="AH14" i="92"/>
  <c r="J59" i="89"/>
  <c r="AG59" i="89" s="1"/>
  <c r="V59" i="89"/>
  <c r="AF59" i="89" s="1"/>
  <c r="AG64" i="89"/>
  <c r="J54" i="89"/>
  <c r="AG54" i="89" s="1"/>
  <c r="Y143" i="92"/>
  <c r="AG143" i="92"/>
  <c r="AH56" i="92"/>
  <c r="AH55" i="92"/>
  <c r="AH9" i="92"/>
  <c r="AH66" i="92"/>
  <c r="AH65" i="92"/>
  <c r="AH49" i="92"/>
  <c r="AH111" i="92" l="1"/>
  <c r="AH80" i="92"/>
  <c r="AH81" i="92"/>
  <c r="AH120" i="92"/>
  <c r="AH71" i="92"/>
  <c r="AH70" i="92"/>
  <c r="AH141" i="92"/>
  <c r="AH140" i="92"/>
  <c r="AH115" i="92"/>
  <c r="AH116" i="92"/>
  <c r="AH90" i="92"/>
  <c r="AH96" i="92"/>
  <c r="AH30" i="92"/>
  <c r="AH61" i="92"/>
  <c r="AH40" i="92"/>
  <c r="AH130" i="92"/>
  <c r="AH76" i="92"/>
  <c r="AF143" i="92"/>
  <c r="AL3" i="92" s="1"/>
  <c r="D55" i="83" s="1"/>
  <c r="AH20" i="92"/>
  <c r="AH46" i="92"/>
  <c r="AH45" i="92"/>
  <c r="AH51" i="92"/>
  <c r="AH50" i="92"/>
  <c r="AH11" i="92"/>
  <c r="AH10" i="92"/>
  <c r="AH4" i="92"/>
  <c r="AH25" i="92"/>
  <c r="AH26" i="92"/>
  <c r="AH36" i="92"/>
  <c r="AH35" i="92"/>
  <c r="AH106" i="92"/>
  <c r="AH105" i="92"/>
  <c r="AH136" i="92"/>
  <c r="AH135" i="92"/>
  <c r="AH86" i="92"/>
  <c r="AH85" i="92"/>
  <c r="AH126" i="92"/>
  <c r="AH125" i="92"/>
  <c r="AH15" i="92"/>
  <c r="AH16" i="92"/>
  <c r="AH100" i="92"/>
  <c r="AH101" i="92"/>
  <c r="AH143" i="92" l="1"/>
  <c r="AI4" i="92" s="1"/>
  <c r="AH5" i="92"/>
  <c r="AH6" i="92"/>
  <c r="AJ4" i="92" l="1"/>
  <c r="AL15" i="92"/>
  <c r="AI54" i="92"/>
  <c r="AJ54" i="92" s="1"/>
  <c r="AI29" i="92"/>
  <c r="AJ29" i="92" s="1"/>
  <c r="AI94" i="92"/>
  <c r="AJ94" i="92" s="1"/>
  <c r="AI69" i="92"/>
  <c r="AJ69" i="92" s="1"/>
  <c r="AI139" i="92"/>
  <c r="AJ139" i="92" s="1"/>
  <c r="AI74" i="92"/>
  <c r="AJ74" i="92" s="1"/>
  <c r="AI89" i="92"/>
  <c r="AJ89" i="92" s="1"/>
  <c r="AI64" i="92"/>
  <c r="AJ64" i="92" s="1"/>
  <c r="AI119" i="92"/>
  <c r="AJ119" i="92" s="1"/>
  <c r="AI59" i="92"/>
  <c r="AJ59" i="92" s="1"/>
  <c r="AI129" i="92"/>
  <c r="AJ129" i="92" s="1"/>
  <c r="AI19" i="92"/>
  <c r="AJ19" i="92" s="1"/>
  <c r="AI109" i="92"/>
  <c r="AJ109" i="92" s="1"/>
  <c r="AI79" i="92"/>
  <c r="AJ79" i="92" s="1"/>
  <c r="AI39" i="92"/>
  <c r="AJ39" i="92" s="1"/>
  <c r="AI114" i="92"/>
  <c r="AJ114" i="92" s="1"/>
  <c r="AI84" i="92"/>
  <c r="AJ84" i="92" s="1"/>
  <c r="AI104" i="92"/>
  <c r="AJ104" i="92" s="1"/>
  <c r="AI34" i="92"/>
  <c r="AJ34" i="92" s="1"/>
  <c r="AI99" i="92"/>
  <c r="AJ99" i="92" s="1"/>
  <c r="AI124" i="92"/>
  <c r="AJ124" i="92" s="1"/>
  <c r="AI14" i="92"/>
  <c r="AJ14" i="92" s="1"/>
  <c r="AI44" i="92"/>
  <c r="AJ44" i="92" s="1"/>
  <c r="AI9" i="92"/>
  <c r="AJ9" i="92" s="1"/>
  <c r="AI24" i="92"/>
  <c r="AJ24" i="92" s="1"/>
  <c r="AI49" i="92"/>
  <c r="AJ49" i="92" s="1"/>
  <c r="AI134" i="92"/>
  <c r="AJ134" i="92" s="1"/>
  <c r="AL31" i="92" l="1"/>
  <c r="AM31" i="92" s="1"/>
  <c r="AM15" i="92"/>
  <c r="AJ143" i="92"/>
  <c r="AI143" i="92"/>
  <c r="AM3" i="92" s="1"/>
  <c r="AM4" i="92" l="1"/>
  <c r="E55" i="83"/>
  <c r="F55" i="83" s="1"/>
  <c r="AE9" i="89"/>
  <c r="X9" i="89"/>
  <c r="K9" i="89"/>
  <c r="AD139" i="91" l="1"/>
  <c r="Y139" i="91"/>
  <c r="V139" i="91"/>
  <c r="J139" i="91"/>
  <c r="AG139" i="91" s="1"/>
  <c r="AD134" i="91"/>
  <c r="Y134" i="91"/>
  <c r="V134" i="91"/>
  <c r="J134" i="91"/>
  <c r="AG134" i="91" s="1"/>
  <c r="AD129" i="91"/>
  <c r="Y129" i="91"/>
  <c r="V129" i="91"/>
  <c r="J129" i="91"/>
  <c r="AG129" i="91" s="1"/>
  <c r="AD124" i="91"/>
  <c r="Y124" i="91"/>
  <c r="V124" i="91"/>
  <c r="J124" i="91"/>
  <c r="AG124" i="91" s="1"/>
  <c r="AD119" i="91"/>
  <c r="Y119" i="91"/>
  <c r="V119" i="91"/>
  <c r="J119" i="91"/>
  <c r="AG119" i="91" s="1"/>
  <c r="AD114" i="91"/>
  <c r="Y114" i="91"/>
  <c r="V114" i="91"/>
  <c r="J114" i="91"/>
  <c r="AG114" i="91" s="1"/>
  <c r="AD109" i="91"/>
  <c r="Y109" i="91"/>
  <c r="V109" i="91"/>
  <c r="J109" i="91"/>
  <c r="AG109" i="91" s="1"/>
  <c r="AD104" i="91"/>
  <c r="Y104" i="91"/>
  <c r="V104" i="91"/>
  <c r="J104" i="91"/>
  <c r="AG104" i="91" s="1"/>
  <c r="AD99" i="91"/>
  <c r="Y99" i="91"/>
  <c r="V99" i="91"/>
  <c r="J99" i="91"/>
  <c r="AG99" i="91" s="1"/>
  <c r="AD94" i="91"/>
  <c r="Y94" i="91"/>
  <c r="V94" i="91"/>
  <c r="J94" i="91"/>
  <c r="AG94" i="91" s="1"/>
  <c r="AD89" i="91"/>
  <c r="Y89" i="91"/>
  <c r="V89" i="91"/>
  <c r="J89" i="91"/>
  <c r="AG89" i="91" s="1"/>
  <c r="AD84" i="91"/>
  <c r="Y84" i="91"/>
  <c r="V84" i="91"/>
  <c r="J84" i="91"/>
  <c r="AG84" i="91" s="1"/>
  <c r="AD79" i="91"/>
  <c r="Y79" i="91"/>
  <c r="V79" i="91"/>
  <c r="J79" i="91"/>
  <c r="AG79" i="91" s="1"/>
  <c r="AD74" i="91"/>
  <c r="Y74" i="91"/>
  <c r="V74" i="91"/>
  <c r="J74" i="91"/>
  <c r="AG74" i="91" s="1"/>
  <c r="AD69" i="91"/>
  <c r="Y69" i="91"/>
  <c r="V69" i="91"/>
  <c r="AF69" i="91" s="1"/>
  <c r="J69" i="91"/>
  <c r="AG69" i="91" s="1"/>
  <c r="AD64" i="91"/>
  <c r="Y64" i="91"/>
  <c r="V64" i="91"/>
  <c r="J64" i="91"/>
  <c r="AG64" i="91" s="1"/>
  <c r="AD59" i="91"/>
  <c r="Y59" i="91"/>
  <c r="V59" i="91"/>
  <c r="AF59" i="91" s="1"/>
  <c r="J59" i="91"/>
  <c r="AG59" i="91" s="1"/>
  <c r="AD54" i="91"/>
  <c r="Y54" i="91"/>
  <c r="V54" i="91"/>
  <c r="J54" i="91"/>
  <c r="AG54" i="91" s="1"/>
  <c r="AD49" i="91"/>
  <c r="Y49" i="91"/>
  <c r="V49" i="91"/>
  <c r="J49" i="91"/>
  <c r="AG49" i="91" s="1"/>
  <c r="AD44" i="91"/>
  <c r="Y44" i="91"/>
  <c r="V44" i="91"/>
  <c r="J44" i="91"/>
  <c r="AG44" i="91" s="1"/>
  <c r="AD39" i="91"/>
  <c r="Y39" i="91"/>
  <c r="V39" i="91"/>
  <c r="AF39" i="91" s="1"/>
  <c r="J39" i="91"/>
  <c r="AG39" i="91" s="1"/>
  <c r="AD34" i="91"/>
  <c r="Y34" i="91"/>
  <c r="V34" i="91"/>
  <c r="J34" i="91"/>
  <c r="AG34" i="91" s="1"/>
  <c r="AD29" i="91"/>
  <c r="Y29" i="91"/>
  <c r="V29" i="91"/>
  <c r="J29" i="91"/>
  <c r="AG29" i="91" s="1"/>
  <c r="AD24" i="91"/>
  <c r="Y24" i="91"/>
  <c r="V24" i="91"/>
  <c r="J24" i="91"/>
  <c r="AG24" i="91" s="1"/>
  <c r="AD19" i="91"/>
  <c r="Y19" i="91"/>
  <c r="V19" i="91"/>
  <c r="J19" i="91"/>
  <c r="AG19" i="91" s="1"/>
  <c r="AD14" i="91"/>
  <c r="V14" i="91"/>
  <c r="J14" i="91"/>
  <c r="AG14" i="91" s="1"/>
  <c r="AD9" i="91"/>
  <c r="Y9" i="91"/>
  <c r="V9" i="91"/>
  <c r="J9" i="91"/>
  <c r="AG9" i="91" s="1"/>
  <c r="J4" i="91"/>
  <c r="AC143" i="91"/>
  <c r="AA143" i="91"/>
  <c r="AL28" i="91"/>
  <c r="AB143" i="91"/>
  <c r="AL14" i="91"/>
  <c r="Z143" i="91"/>
  <c r="AE143" i="91"/>
  <c r="AD4" i="91"/>
  <c r="V4" i="91"/>
  <c r="AF79" i="91" l="1"/>
  <c r="AF74" i="91"/>
  <c r="AF84" i="91"/>
  <c r="AH84" i="91" s="1"/>
  <c r="AH85" i="91" s="1"/>
  <c r="AF104" i="91"/>
  <c r="AF114" i="91"/>
  <c r="AH114" i="91" s="1"/>
  <c r="AF124" i="91"/>
  <c r="AH124" i="91" s="1"/>
  <c r="AH126" i="91" s="1"/>
  <c r="AF134" i="91"/>
  <c r="AH134" i="91" s="1"/>
  <c r="AF44" i="91"/>
  <c r="AH44" i="91" s="1"/>
  <c r="AF64" i="91"/>
  <c r="AF94" i="91"/>
  <c r="AF89" i="91"/>
  <c r="AH89" i="91" s="1"/>
  <c r="AH91" i="91" s="1"/>
  <c r="AF99" i="91"/>
  <c r="AH99" i="91" s="1"/>
  <c r="AF109" i="91"/>
  <c r="AH109" i="91" s="1"/>
  <c r="AF119" i="91"/>
  <c r="AH119" i="91" s="1"/>
  <c r="AF129" i="91"/>
  <c r="AH129" i="91" s="1"/>
  <c r="AF139" i="91"/>
  <c r="AH139" i="91" s="1"/>
  <c r="AH39" i="91"/>
  <c r="AI79" i="91"/>
  <c r="AI4" i="91"/>
  <c r="AI114" i="91"/>
  <c r="AI14" i="91"/>
  <c r="AI24" i="91"/>
  <c r="AI119" i="91"/>
  <c r="AI54" i="91"/>
  <c r="AI74" i="91"/>
  <c r="AI29" i="91"/>
  <c r="AI44" i="91"/>
  <c r="AI94" i="91"/>
  <c r="AI109" i="91"/>
  <c r="AI84" i="91"/>
  <c r="AI134" i="91"/>
  <c r="AI59" i="91"/>
  <c r="AI139" i="91"/>
  <c r="AI39" i="91"/>
  <c r="AI124" i="91"/>
  <c r="AI19" i="91"/>
  <c r="AI104" i="91"/>
  <c r="AI64" i="91"/>
  <c r="AI49" i="91"/>
  <c r="AI34" i="91"/>
  <c r="AI69" i="91"/>
  <c r="AI89" i="91"/>
  <c r="AI99" i="91"/>
  <c r="AI9" i="91"/>
  <c r="AI129" i="91"/>
  <c r="AF34" i="91"/>
  <c r="AH34" i="91" s="1"/>
  <c r="AF49" i="91"/>
  <c r="AH49" i="91" s="1"/>
  <c r="AH69" i="91"/>
  <c r="AH70" i="91" s="1"/>
  <c r="AF54" i="91"/>
  <c r="AH54" i="91" s="1"/>
  <c r="AH94" i="91"/>
  <c r="AH95" i="91" s="1"/>
  <c r="AF29" i="91"/>
  <c r="AH29" i="91" s="1"/>
  <c r="AF24" i="91"/>
  <c r="AH24" i="91" s="1"/>
  <c r="AF19" i="91"/>
  <c r="AH19" i="91" s="1"/>
  <c r="AF14" i="91"/>
  <c r="AH14" i="91" s="1"/>
  <c r="AF9" i="91"/>
  <c r="AH9" i="91" s="1"/>
  <c r="AD143" i="91"/>
  <c r="V143" i="91"/>
  <c r="AF4" i="91"/>
  <c r="AG4" i="91"/>
  <c r="AH104" i="91"/>
  <c r="AH41" i="91"/>
  <c r="AH40" i="91"/>
  <c r="AH59" i="91"/>
  <c r="AH64" i="91"/>
  <c r="AH74" i="91"/>
  <c r="AH79" i="91"/>
  <c r="Y143" i="91"/>
  <c r="Z39" i="90"/>
  <c r="Z34" i="90"/>
  <c r="AE34" i="90"/>
  <c r="X34" i="90"/>
  <c r="K34" i="90"/>
  <c r="AH131" i="91" l="1"/>
  <c r="AH130" i="91"/>
  <c r="AH100" i="91"/>
  <c r="AH101" i="91"/>
  <c r="AH140" i="91"/>
  <c r="AH141" i="91"/>
  <c r="AH86" i="91"/>
  <c r="AH125" i="91"/>
  <c r="AH96" i="91"/>
  <c r="AH71" i="91"/>
  <c r="AH36" i="91"/>
  <c r="AH35" i="91"/>
  <c r="AH56" i="91"/>
  <c r="AH55" i="91"/>
  <c r="AH90" i="91"/>
  <c r="AH25" i="91"/>
  <c r="AH26" i="91"/>
  <c r="AF143" i="91"/>
  <c r="AL3" i="91" s="1"/>
  <c r="D54" i="83" s="1"/>
  <c r="AH4" i="91"/>
  <c r="AH143" i="91" s="1"/>
  <c r="AJ19" i="91" s="1"/>
  <c r="AH16" i="91"/>
  <c r="AH15" i="91"/>
  <c r="AH111" i="91"/>
  <c r="AH110" i="91"/>
  <c r="AH106" i="91"/>
  <c r="AH105" i="91"/>
  <c r="AH66" i="91"/>
  <c r="AH65" i="91"/>
  <c r="AH10" i="91"/>
  <c r="AH11" i="91"/>
  <c r="AH31" i="91"/>
  <c r="AH30" i="91"/>
  <c r="AH20" i="91"/>
  <c r="AH21" i="91"/>
  <c r="AH61" i="91"/>
  <c r="AH60" i="91"/>
  <c r="AH45" i="91"/>
  <c r="AH46" i="91"/>
  <c r="AH80" i="91"/>
  <c r="AH81" i="91"/>
  <c r="AH75" i="91"/>
  <c r="AH76" i="91"/>
  <c r="AG143" i="91"/>
  <c r="AH136" i="91"/>
  <c r="AH135" i="91"/>
  <c r="AH51" i="91"/>
  <c r="AH50" i="91"/>
  <c r="AH121" i="91"/>
  <c r="AH120" i="91"/>
  <c r="AH115" i="91"/>
  <c r="AH116" i="91"/>
  <c r="AH6" i="91" l="1"/>
  <c r="AH5" i="91"/>
  <c r="AJ134" i="91"/>
  <c r="AJ74" i="91"/>
  <c r="AJ9" i="91"/>
  <c r="AJ14" i="91"/>
  <c r="AJ79" i="91"/>
  <c r="AJ29" i="91"/>
  <c r="AJ109" i="91"/>
  <c r="AJ114" i="91"/>
  <c r="AJ119" i="91"/>
  <c r="AJ59" i="91"/>
  <c r="AJ64" i="91"/>
  <c r="AL15" i="91"/>
  <c r="AJ129" i="91"/>
  <c r="AJ69" i="91"/>
  <c r="AJ139" i="91"/>
  <c r="AJ99" i="91"/>
  <c r="AJ124" i="91"/>
  <c r="AJ84" i="91"/>
  <c r="AJ54" i="91"/>
  <c r="AJ89" i="91"/>
  <c r="AJ34" i="91"/>
  <c r="AJ39" i="91"/>
  <c r="AJ24" i="91"/>
  <c r="AJ94" i="91"/>
  <c r="AJ44" i="91"/>
  <c r="AJ104" i="91"/>
  <c r="AJ49" i="91"/>
  <c r="H44" i="90"/>
  <c r="AI143" i="91" l="1"/>
  <c r="AM3" i="91" s="1"/>
  <c r="AJ4" i="91"/>
  <c r="AJ143" i="91" s="1"/>
  <c r="AL31" i="91"/>
  <c r="AM31" i="91" s="1"/>
  <c r="AM33" i="92" s="1"/>
  <c r="AM34" i="92" s="1"/>
  <c r="AM15" i="91"/>
  <c r="H39" i="90"/>
  <c r="H34" i="90"/>
  <c r="AD39" i="90"/>
  <c r="Y39" i="90"/>
  <c r="AM4" i="91" l="1"/>
  <c r="E54" i="83"/>
  <c r="F54" i="83" s="1"/>
  <c r="J39" i="90"/>
  <c r="AG39" i="90" s="1"/>
  <c r="V39" i="90"/>
  <c r="AF39" i="90" s="1"/>
  <c r="AH39" i="90" l="1"/>
  <c r="AE29" i="90" l="1"/>
  <c r="AE9" i="90"/>
  <c r="AE4" i="90"/>
  <c r="X29" i="90"/>
  <c r="X9" i="90"/>
  <c r="X4" i="90"/>
  <c r="H14" i="90"/>
  <c r="V14" i="90" s="1"/>
  <c r="H9" i="90"/>
  <c r="Y14" i="90"/>
  <c r="AD14" i="90"/>
  <c r="K19" i="90"/>
  <c r="J19" i="90" s="1"/>
  <c r="AG19" i="90" s="1"/>
  <c r="V19" i="90"/>
  <c r="X19" i="90"/>
  <c r="Y19" i="90"/>
  <c r="Z19" i="90"/>
  <c r="AD19" i="90"/>
  <c r="AE19" i="90"/>
  <c r="K24" i="90"/>
  <c r="J24" i="90" s="1"/>
  <c r="V24" i="90"/>
  <c r="X24" i="90"/>
  <c r="Y24" i="90"/>
  <c r="Z24" i="90"/>
  <c r="AD24" i="90"/>
  <c r="AE24" i="90"/>
  <c r="J29" i="90"/>
  <c r="V29" i="90"/>
  <c r="Y29" i="90"/>
  <c r="AD29" i="90"/>
  <c r="J34" i="90"/>
  <c r="AG34" i="90" s="1"/>
  <c r="V34" i="90"/>
  <c r="Y34" i="90"/>
  <c r="AD34" i="90"/>
  <c r="AF34" i="90" l="1"/>
  <c r="AG24" i="90"/>
  <c r="AF19" i="90"/>
  <c r="AF24" i="90"/>
  <c r="AF29" i="90"/>
  <c r="AG29" i="90"/>
  <c r="J14" i="90"/>
  <c r="AG14" i="90" s="1"/>
  <c r="AF14" i="90"/>
  <c r="AB9" i="89" l="1"/>
  <c r="AB4" i="89"/>
  <c r="AC14" i="89" l="1"/>
  <c r="Y14" i="89"/>
  <c r="AC69" i="88"/>
  <c r="Y69" i="88"/>
  <c r="AC64" i="88"/>
  <c r="Y64" i="88"/>
  <c r="AD139" i="90" l="1"/>
  <c r="Y139" i="90"/>
  <c r="V139" i="90"/>
  <c r="J139" i="90"/>
  <c r="AG139" i="90" s="1"/>
  <c r="AD134" i="90"/>
  <c r="Y134" i="90"/>
  <c r="V134" i="90"/>
  <c r="J134" i="90"/>
  <c r="AG134" i="90" s="1"/>
  <c r="AD129" i="90"/>
  <c r="Y129" i="90"/>
  <c r="V129" i="90"/>
  <c r="J129" i="90"/>
  <c r="AG129" i="90" s="1"/>
  <c r="AD124" i="90"/>
  <c r="Y124" i="90"/>
  <c r="V124" i="90"/>
  <c r="J124" i="90"/>
  <c r="AG124" i="90" s="1"/>
  <c r="AD119" i="90"/>
  <c r="Y119" i="90"/>
  <c r="V119" i="90"/>
  <c r="J119" i="90"/>
  <c r="AG119" i="90" s="1"/>
  <c r="AD114" i="90"/>
  <c r="Y114" i="90"/>
  <c r="V114" i="90"/>
  <c r="J114" i="90"/>
  <c r="AG114" i="90" s="1"/>
  <c r="AD109" i="90"/>
  <c r="Y109" i="90"/>
  <c r="V109" i="90"/>
  <c r="J109" i="90"/>
  <c r="AG109" i="90" s="1"/>
  <c r="AD104" i="90"/>
  <c r="Y104" i="90"/>
  <c r="V104" i="90"/>
  <c r="J104" i="90"/>
  <c r="AG104" i="90" s="1"/>
  <c r="AD99" i="90"/>
  <c r="Y99" i="90"/>
  <c r="V99" i="90"/>
  <c r="J99" i="90"/>
  <c r="AG99" i="90" s="1"/>
  <c r="AD94" i="90"/>
  <c r="Y94" i="90"/>
  <c r="V94" i="90"/>
  <c r="J94" i="90"/>
  <c r="AG94" i="90" s="1"/>
  <c r="AD89" i="90"/>
  <c r="Y89" i="90"/>
  <c r="V89" i="90"/>
  <c r="J89" i="90"/>
  <c r="AG89" i="90" s="1"/>
  <c r="AD84" i="90"/>
  <c r="Y84" i="90"/>
  <c r="V84" i="90"/>
  <c r="J84" i="90"/>
  <c r="AG84" i="90" s="1"/>
  <c r="AD79" i="90"/>
  <c r="Y79" i="90"/>
  <c r="V79" i="90"/>
  <c r="J79" i="90"/>
  <c r="AG79" i="90" s="1"/>
  <c r="AD74" i="90"/>
  <c r="Y74" i="90"/>
  <c r="V74" i="90"/>
  <c r="J74" i="90"/>
  <c r="AG74" i="90" s="1"/>
  <c r="AD69" i="90"/>
  <c r="Y69" i="90"/>
  <c r="V69" i="90"/>
  <c r="J69" i="90"/>
  <c r="AG69" i="90" s="1"/>
  <c r="AD64" i="90"/>
  <c r="Y64" i="90"/>
  <c r="V64" i="90"/>
  <c r="J64" i="90"/>
  <c r="AG64" i="90" s="1"/>
  <c r="AD59" i="90"/>
  <c r="Y59" i="90"/>
  <c r="V59" i="90"/>
  <c r="J59" i="90"/>
  <c r="AG59" i="90" s="1"/>
  <c r="AD54" i="90"/>
  <c r="Y54" i="90"/>
  <c r="V54" i="90"/>
  <c r="J54" i="90"/>
  <c r="AG54" i="90" s="1"/>
  <c r="AD49" i="90"/>
  <c r="Y49" i="90"/>
  <c r="V49" i="90"/>
  <c r="J49" i="90"/>
  <c r="AG49" i="90" s="1"/>
  <c r="AD44" i="90"/>
  <c r="Y44" i="90"/>
  <c r="V44" i="90"/>
  <c r="J44" i="90"/>
  <c r="AG44" i="90" s="1"/>
  <c r="AD9" i="90"/>
  <c r="Y9" i="90"/>
  <c r="V9" i="90"/>
  <c r="J9" i="90"/>
  <c r="AG9" i="90" s="1"/>
  <c r="AC143" i="90"/>
  <c r="AA143" i="90"/>
  <c r="AL28" i="90"/>
  <c r="AL14" i="90"/>
  <c r="AB143" i="90"/>
  <c r="AD4" i="90"/>
  <c r="Z143" i="90"/>
  <c r="Y4" i="90"/>
  <c r="J4" i="90"/>
  <c r="AF89" i="90" l="1"/>
  <c r="AF99" i="90"/>
  <c r="AF109" i="90"/>
  <c r="AF119" i="90"/>
  <c r="AF129" i="90"/>
  <c r="AF69" i="90"/>
  <c r="AF139" i="90"/>
  <c r="AH139" i="90" s="1"/>
  <c r="AH141" i="90" s="1"/>
  <c r="AF74" i="90"/>
  <c r="AF84" i="90"/>
  <c r="AF94" i="90"/>
  <c r="AH94" i="90" s="1"/>
  <c r="AF104" i="90"/>
  <c r="AF114" i="90"/>
  <c r="AH114" i="90" s="1"/>
  <c r="AH116" i="90" s="1"/>
  <c r="AF124" i="90"/>
  <c r="AH124" i="90" s="1"/>
  <c r="AF134" i="90"/>
  <c r="AH134" i="90" s="1"/>
  <c r="AF79" i="90"/>
  <c r="AH79" i="90" s="1"/>
  <c r="AH80" i="90" s="1"/>
  <c r="AI99" i="90"/>
  <c r="AI44" i="90"/>
  <c r="AI94" i="90"/>
  <c r="AI24" i="90"/>
  <c r="AI89" i="90"/>
  <c r="AI19" i="90"/>
  <c r="AI129" i="90"/>
  <c r="AI134" i="90"/>
  <c r="AI59" i="90"/>
  <c r="AI139" i="90"/>
  <c r="AI9" i="90"/>
  <c r="AI84" i="90"/>
  <c r="AI29" i="90"/>
  <c r="AI79" i="90"/>
  <c r="AI64" i="90"/>
  <c r="AI69" i="90"/>
  <c r="AI49" i="90"/>
  <c r="AI54" i="90"/>
  <c r="AI109" i="90"/>
  <c r="AI14" i="90"/>
  <c r="AI104" i="90"/>
  <c r="AI124" i="90"/>
  <c r="AI34" i="90"/>
  <c r="AI4" i="90"/>
  <c r="AI74" i="90"/>
  <c r="AI119" i="90"/>
  <c r="AI114" i="90"/>
  <c r="AI39" i="90"/>
  <c r="AF64" i="90"/>
  <c r="AH64" i="90" s="1"/>
  <c r="AF59" i="90"/>
  <c r="AH59" i="90" s="1"/>
  <c r="AF54" i="90"/>
  <c r="AH54" i="90" s="1"/>
  <c r="AH56" i="90" s="1"/>
  <c r="AF49" i="90"/>
  <c r="AH49" i="90" s="1"/>
  <c r="AH50" i="90" s="1"/>
  <c r="AF44" i="90"/>
  <c r="AH44" i="90" s="1"/>
  <c r="AH46" i="90" s="1"/>
  <c r="AH19" i="90"/>
  <c r="AH21" i="90" s="1"/>
  <c r="AH14" i="90"/>
  <c r="AH16" i="90" s="1"/>
  <c r="AH109" i="90"/>
  <c r="AH111" i="90" s="1"/>
  <c r="AH104" i="90"/>
  <c r="AH105" i="90" s="1"/>
  <c r="AH99" i="90"/>
  <c r="AH101" i="90" s="1"/>
  <c r="AH89" i="90"/>
  <c r="AH91" i="90" s="1"/>
  <c r="AH74" i="90"/>
  <c r="AH75" i="90" s="1"/>
  <c r="AH69" i="90"/>
  <c r="AH71" i="90" s="1"/>
  <c r="AH34" i="90"/>
  <c r="AH36" i="90" s="1"/>
  <c r="AH29" i="90"/>
  <c r="AH31" i="90" s="1"/>
  <c r="AF9" i="90"/>
  <c r="AH9" i="90" s="1"/>
  <c r="Y143" i="90"/>
  <c r="AD143" i="90"/>
  <c r="AE143" i="90"/>
  <c r="AH84" i="90"/>
  <c r="AH119" i="90"/>
  <c r="AH129" i="90"/>
  <c r="AG4" i="90"/>
  <c r="V4" i="90"/>
  <c r="AH24" i="90" l="1"/>
  <c r="AH26" i="90" s="1"/>
  <c r="AH140" i="90"/>
  <c r="AH115" i="90"/>
  <c r="AH110" i="90"/>
  <c r="AH106" i="90"/>
  <c r="AH100" i="90"/>
  <c r="AH90" i="90"/>
  <c r="AH81" i="90"/>
  <c r="AH76" i="90"/>
  <c r="AH70" i="90"/>
  <c r="AH55" i="90"/>
  <c r="AH51" i="90"/>
  <c r="AH45" i="90"/>
  <c r="AH35" i="90"/>
  <c r="AH30" i="90"/>
  <c r="AH25" i="90"/>
  <c r="AH20" i="90"/>
  <c r="AH15" i="90"/>
  <c r="AH10" i="90"/>
  <c r="AH11" i="90"/>
  <c r="V143" i="90"/>
  <c r="AF4" i="90"/>
  <c r="AF143" i="90" s="1"/>
  <c r="AL3" i="90" s="1"/>
  <c r="D53" i="83" s="1"/>
  <c r="AH41" i="90"/>
  <c r="AH40" i="90"/>
  <c r="AG143" i="90"/>
  <c r="AH126" i="90"/>
  <c r="AH125" i="90"/>
  <c r="AH136" i="90"/>
  <c r="AH135" i="90"/>
  <c r="AH121" i="90"/>
  <c r="AH120" i="90"/>
  <c r="AH130" i="90"/>
  <c r="AH131" i="90"/>
  <c r="AH96" i="90"/>
  <c r="AH95" i="90"/>
  <c r="AH86" i="90"/>
  <c r="AH85" i="90"/>
  <c r="AH66" i="90"/>
  <c r="AH65" i="90"/>
  <c r="AH60" i="90"/>
  <c r="AH61" i="90"/>
  <c r="AB49" i="88"/>
  <c r="AB44" i="88"/>
  <c r="AB39" i="88"/>
  <c r="AB34" i="88"/>
  <c r="AH4" i="90" l="1"/>
  <c r="AH6" i="90" s="1"/>
  <c r="Z64" i="88"/>
  <c r="AH143" i="90" l="1"/>
  <c r="AH5" i="90"/>
  <c r="AB14" i="89"/>
  <c r="AB69" i="88"/>
  <c r="AB64" i="88"/>
  <c r="Z9" i="89"/>
  <c r="Z4" i="89"/>
  <c r="AJ4" i="90" l="1"/>
  <c r="AJ39" i="90"/>
  <c r="AJ9" i="90"/>
  <c r="AJ29" i="90"/>
  <c r="AJ44" i="90"/>
  <c r="AJ59" i="90"/>
  <c r="AJ19" i="90"/>
  <c r="AJ34" i="90"/>
  <c r="AJ14" i="90"/>
  <c r="AJ129" i="90"/>
  <c r="AJ134" i="90"/>
  <c r="AJ79" i="90"/>
  <c r="AJ64" i="90"/>
  <c r="AJ49" i="90"/>
  <c r="AJ104" i="90"/>
  <c r="AL15" i="90"/>
  <c r="AL31" i="90" s="1"/>
  <c r="AM31" i="90" s="1"/>
  <c r="AJ94" i="90"/>
  <c r="AJ84" i="90"/>
  <c r="AJ54" i="90"/>
  <c r="AJ99" i="90"/>
  <c r="AJ119" i="90"/>
  <c r="AJ74" i="90"/>
  <c r="AJ114" i="90"/>
  <c r="AJ24" i="90"/>
  <c r="AJ109" i="90"/>
  <c r="AJ89" i="90"/>
  <c r="AJ124" i="90"/>
  <c r="AJ69" i="90"/>
  <c r="AJ139" i="90"/>
  <c r="AE64" i="88"/>
  <c r="X64" i="88"/>
  <c r="H69" i="88"/>
  <c r="V69" i="88" s="1"/>
  <c r="H64" i="88"/>
  <c r="AD69" i="88"/>
  <c r="AE49" i="88"/>
  <c r="X49" i="88"/>
  <c r="AF69" i="88" l="1"/>
  <c r="AM15" i="90"/>
  <c r="AJ143" i="90"/>
  <c r="AI143" i="90"/>
  <c r="AM3" i="90" s="1"/>
  <c r="J69" i="88"/>
  <c r="AG69" i="88" s="1"/>
  <c r="AE4" i="89"/>
  <c r="X4" i="89"/>
  <c r="AM4" i="90" l="1"/>
  <c r="E53" i="83"/>
  <c r="F53" i="83" s="1"/>
  <c r="H9" i="89"/>
  <c r="V9" i="89" s="1"/>
  <c r="H4" i="89"/>
  <c r="AD9" i="89"/>
  <c r="Y9" i="89"/>
  <c r="J14" i="89"/>
  <c r="AG14" i="89" s="1"/>
  <c r="V14" i="89"/>
  <c r="Z14" i="89"/>
  <c r="AD14" i="89"/>
  <c r="J9" i="89" l="1"/>
  <c r="AG9" i="89" s="1"/>
  <c r="AF14" i="89"/>
  <c r="AF9" i="89"/>
  <c r="Z54" i="88" l="1"/>
  <c r="Z19" i="88" l="1"/>
  <c r="Z49" i="88"/>
  <c r="Z44" i="88"/>
  <c r="Z14" i="88" l="1"/>
  <c r="Z9" i="88"/>
  <c r="Z39" i="88" l="1"/>
  <c r="Z34" i="88"/>
  <c r="Y84" i="87" l="1"/>
  <c r="AC44" i="87"/>
  <c r="AC14" i="87"/>
  <c r="AC9" i="87"/>
  <c r="AC4" i="87"/>
  <c r="AE54" i="88" l="1"/>
  <c r="AE44" i="88"/>
  <c r="X54" i="88"/>
  <c r="X44" i="88"/>
  <c r="H49" i="88"/>
  <c r="J49" i="88" s="1"/>
  <c r="AG49" i="88" s="1"/>
  <c r="H44" i="88"/>
  <c r="AD49" i="88"/>
  <c r="Y49" i="88"/>
  <c r="J54" i="88"/>
  <c r="V54" i="88"/>
  <c r="Y54" i="88"/>
  <c r="AD54" i="88"/>
  <c r="J59" i="88"/>
  <c r="AG59" i="88" s="1"/>
  <c r="V59" i="88"/>
  <c r="Y59" i="88"/>
  <c r="AD59" i="88"/>
  <c r="J64" i="88"/>
  <c r="AG64" i="88" s="1"/>
  <c r="V64" i="88"/>
  <c r="AD64" i="88"/>
  <c r="AF54" i="88" l="1"/>
  <c r="AF59" i="88"/>
  <c r="AF64" i="88"/>
  <c r="AG54" i="88"/>
  <c r="V49" i="88"/>
  <c r="AF49" i="88" s="1"/>
  <c r="AD4" i="89" l="1"/>
  <c r="Y4" i="89"/>
  <c r="V4" i="89"/>
  <c r="J4" i="89"/>
  <c r="AG4" i="89" s="1"/>
  <c r="AH54" i="89"/>
  <c r="AC143" i="89"/>
  <c r="AA143" i="89"/>
  <c r="Z143" i="89"/>
  <c r="AD139" i="89"/>
  <c r="Y139" i="89"/>
  <c r="V139" i="89"/>
  <c r="J139" i="89"/>
  <c r="AG139" i="89" s="1"/>
  <c r="AD134" i="89"/>
  <c r="Y134" i="89"/>
  <c r="V134" i="89"/>
  <c r="J134" i="89"/>
  <c r="AG134" i="89" s="1"/>
  <c r="AD129" i="89"/>
  <c r="Y129" i="89"/>
  <c r="V129" i="89"/>
  <c r="J129" i="89"/>
  <c r="AG129" i="89" s="1"/>
  <c r="AD124" i="89"/>
  <c r="Y124" i="89"/>
  <c r="V124" i="89"/>
  <c r="J124" i="89"/>
  <c r="AG124" i="89" s="1"/>
  <c r="AD119" i="89"/>
  <c r="Y119" i="89"/>
  <c r="V119" i="89"/>
  <c r="J119" i="89"/>
  <c r="AG119" i="89" s="1"/>
  <c r="AD114" i="89"/>
  <c r="Y114" i="89"/>
  <c r="V114" i="89"/>
  <c r="J114" i="89"/>
  <c r="AG114" i="89" s="1"/>
  <c r="AD109" i="89"/>
  <c r="Y109" i="89"/>
  <c r="V109" i="89"/>
  <c r="J109" i="89"/>
  <c r="AG109" i="89" s="1"/>
  <c r="AD104" i="89"/>
  <c r="Y104" i="89"/>
  <c r="V104" i="89"/>
  <c r="J104" i="89"/>
  <c r="AG104" i="89" s="1"/>
  <c r="AD99" i="89"/>
  <c r="Y99" i="89"/>
  <c r="V99" i="89"/>
  <c r="J99" i="89"/>
  <c r="AG99" i="89" s="1"/>
  <c r="AD94" i="89"/>
  <c r="Y94" i="89"/>
  <c r="V94" i="89"/>
  <c r="J94" i="89"/>
  <c r="AG94" i="89" s="1"/>
  <c r="AD89" i="89"/>
  <c r="Y89" i="89"/>
  <c r="V89" i="89"/>
  <c r="J89" i="89"/>
  <c r="AG89" i="89" s="1"/>
  <c r="AL28" i="89"/>
  <c r="AE143" i="89"/>
  <c r="AL14" i="89"/>
  <c r="AB143" i="89"/>
  <c r="AF89" i="89" l="1"/>
  <c r="AH89" i="89" s="1"/>
  <c r="AF119" i="89"/>
  <c r="AF129" i="89"/>
  <c r="AH129" i="89" s="1"/>
  <c r="AF139" i="89"/>
  <c r="AH139" i="89" s="1"/>
  <c r="AF109" i="89"/>
  <c r="AH109" i="89" s="1"/>
  <c r="AH111" i="89" s="1"/>
  <c r="AH119" i="89"/>
  <c r="AH121" i="89" s="1"/>
  <c r="AF94" i="89"/>
  <c r="AH94" i="89" s="1"/>
  <c r="AI104" i="89"/>
  <c r="AI29" i="89"/>
  <c r="AI119" i="89"/>
  <c r="AI129" i="89"/>
  <c r="AI139" i="89"/>
  <c r="AI24" i="89"/>
  <c r="AI64" i="89"/>
  <c r="AI69" i="89"/>
  <c r="AI4" i="89"/>
  <c r="AI14" i="89"/>
  <c r="AI109" i="89"/>
  <c r="AI44" i="89"/>
  <c r="AI54" i="89"/>
  <c r="AI34" i="89"/>
  <c r="AI84" i="89"/>
  <c r="AI94" i="89"/>
  <c r="AI89" i="89"/>
  <c r="AI74" i="89"/>
  <c r="AI124" i="89"/>
  <c r="AI134" i="89"/>
  <c r="AI114" i="89"/>
  <c r="AI9" i="89"/>
  <c r="AI19" i="89"/>
  <c r="AI39" i="89"/>
  <c r="AI49" i="89"/>
  <c r="AI59" i="89"/>
  <c r="AI79" i="89"/>
  <c r="AI99" i="89"/>
  <c r="AF104" i="89"/>
  <c r="AH104" i="89" s="1"/>
  <c r="AF114" i="89"/>
  <c r="AH114" i="89" s="1"/>
  <c r="AF99" i="89"/>
  <c r="AH99" i="89" s="1"/>
  <c r="AF134" i="89"/>
  <c r="AH134" i="89" s="1"/>
  <c r="AF124" i="89"/>
  <c r="AH124" i="89" s="1"/>
  <c r="AH74" i="89"/>
  <c r="AH69" i="89"/>
  <c r="AH71" i="89" s="1"/>
  <c r="AH64" i="89"/>
  <c r="AF4" i="89"/>
  <c r="AH4" i="89" s="1"/>
  <c r="AH49" i="89"/>
  <c r="AH44" i="89"/>
  <c r="AH39" i="89"/>
  <c r="AH34" i="89"/>
  <c r="AD143" i="89"/>
  <c r="AH29" i="89"/>
  <c r="AH30" i="89" s="1"/>
  <c r="AH19" i="89"/>
  <c r="Y143" i="89"/>
  <c r="AH14" i="89"/>
  <c r="AH9" i="89"/>
  <c r="AH11" i="89" s="1"/>
  <c r="AH59" i="89"/>
  <c r="AH24" i="89"/>
  <c r="AH26" i="89" s="1"/>
  <c r="AH56" i="89"/>
  <c r="AH55" i="89"/>
  <c r="AH79" i="89"/>
  <c r="AH84" i="89"/>
  <c r="AH90" i="89" l="1"/>
  <c r="AH91" i="89"/>
  <c r="AH130" i="89"/>
  <c r="AH131" i="89"/>
  <c r="AH120" i="89"/>
  <c r="AH95" i="89"/>
  <c r="AH96" i="89"/>
  <c r="AH116" i="89"/>
  <c r="AH115" i="89"/>
  <c r="AH110" i="89"/>
  <c r="AH126" i="89"/>
  <c r="AH125" i="89"/>
  <c r="AH136" i="89"/>
  <c r="AH135" i="89"/>
  <c r="AH101" i="89"/>
  <c r="AH100" i="89"/>
  <c r="AH70" i="89"/>
  <c r="AH66" i="89"/>
  <c r="AH65" i="89"/>
  <c r="AH5" i="89"/>
  <c r="AH6" i="89"/>
  <c r="AH50" i="89"/>
  <c r="AH51" i="89"/>
  <c r="AH35" i="89"/>
  <c r="AH36" i="89"/>
  <c r="AH31" i="89"/>
  <c r="AH25" i="89"/>
  <c r="AH15" i="89"/>
  <c r="AH16" i="89"/>
  <c r="AF143" i="89"/>
  <c r="AL3" i="89" s="1"/>
  <c r="D52" i="83" s="1"/>
  <c r="AH10" i="89"/>
  <c r="AH60" i="89"/>
  <c r="AH61" i="89"/>
  <c r="AH20" i="89"/>
  <c r="AH21" i="89"/>
  <c r="AH106" i="89"/>
  <c r="AH105" i="89"/>
  <c r="AH86" i="89"/>
  <c r="AH85" i="89"/>
  <c r="AH143" i="89"/>
  <c r="AJ19" i="89" s="1"/>
  <c r="V143" i="89"/>
  <c r="AG143" i="89"/>
  <c r="AH140" i="89"/>
  <c r="AH141" i="89"/>
  <c r="AH41" i="89"/>
  <c r="AH40" i="89"/>
  <c r="AH81" i="89"/>
  <c r="AH80" i="89"/>
  <c r="AH76" i="89"/>
  <c r="AH75" i="89"/>
  <c r="AH46" i="89"/>
  <c r="AH45" i="89"/>
  <c r="AJ39" i="89" l="1"/>
  <c r="AJ104" i="89"/>
  <c r="AJ84" i="89"/>
  <c r="AJ79" i="89"/>
  <c r="AJ74" i="89"/>
  <c r="AL15" i="89"/>
  <c r="AJ29" i="89"/>
  <c r="AJ9" i="89"/>
  <c r="AJ119" i="89"/>
  <c r="AJ24" i="89"/>
  <c r="AJ99" i="89"/>
  <c r="AJ94" i="89"/>
  <c r="AJ34" i="89"/>
  <c r="AJ109" i="89"/>
  <c r="AJ129" i="89"/>
  <c r="AJ49" i="89"/>
  <c r="AJ114" i="89"/>
  <c r="AJ134" i="89"/>
  <c r="AJ89" i="89"/>
  <c r="AJ14" i="89"/>
  <c r="AJ124" i="89"/>
  <c r="AJ59" i="89"/>
  <c r="AJ69" i="89"/>
  <c r="AJ54" i="89"/>
  <c r="AJ64" i="89"/>
  <c r="AJ44" i="89"/>
  <c r="AJ139" i="89"/>
  <c r="AM15" i="89" l="1"/>
  <c r="AL31" i="89"/>
  <c r="AM31" i="89" s="1"/>
  <c r="AI143" i="89"/>
  <c r="AM3" i="89" s="1"/>
  <c r="AJ4" i="89"/>
  <c r="AJ143" i="89" s="1"/>
  <c r="AM4" i="89" l="1"/>
  <c r="E52" i="83"/>
  <c r="F52" i="83" s="1"/>
  <c r="AD39" i="88"/>
  <c r="Y39" i="88"/>
  <c r="H39" i="88"/>
  <c r="J44" i="88"/>
  <c r="AG44" i="88" s="1"/>
  <c r="V44" i="88"/>
  <c r="Y44" i="88"/>
  <c r="AD44" i="88"/>
  <c r="AF44" i="88" l="1"/>
  <c r="J39" i="88"/>
  <c r="AG39" i="88" s="1"/>
  <c r="V39" i="88"/>
  <c r="AF39" i="88" s="1"/>
  <c r="H34" i="88" l="1"/>
  <c r="AE29" i="88" l="1"/>
  <c r="AE19" i="88"/>
  <c r="X29" i="88"/>
  <c r="X19" i="88"/>
  <c r="AA69" i="87" l="1"/>
  <c r="Z84" i="87" l="1"/>
  <c r="Z74" i="87" l="1"/>
  <c r="H84" i="87" l="1"/>
  <c r="Z54" i="87"/>
  <c r="Z49" i="87"/>
  <c r="AB19" i="88" l="1"/>
  <c r="Z19" i="87"/>
  <c r="Z39" i="87" l="1"/>
  <c r="Z34" i="87"/>
  <c r="AB4" i="88" l="1"/>
  <c r="AD139" i="88" l="1"/>
  <c r="Y139" i="88"/>
  <c r="V139" i="88"/>
  <c r="J139" i="88"/>
  <c r="AG139" i="88" s="1"/>
  <c r="AD134" i="88"/>
  <c r="Y134" i="88"/>
  <c r="V134" i="88"/>
  <c r="J134" i="88"/>
  <c r="AG134" i="88" s="1"/>
  <c r="AD129" i="88"/>
  <c r="Y129" i="88"/>
  <c r="V129" i="88"/>
  <c r="J129" i="88"/>
  <c r="AG129" i="88" s="1"/>
  <c r="AD124" i="88"/>
  <c r="Y124" i="88"/>
  <c r="V124" i="88"/>
  <c r="J124" i="88"/>
  <c r="AG124" i="88" s="1"/>
  <c r="AD119" i="88"/>
  <c r="Y119" i="88"/>
  <c r="V119" i="88"/>
  <c r="J119" i="88"/>
  <c r="AG119" i="88" s="1"/>
  <c r="AD114" i="88"/>
  <c r="Y114" i="88"/>
  <c r="V114" i="88"/>
  <c r="J114" i="88"/>
  <c r="AG114" i="88" s="1"/>
  <c r="AD109" i="88"/>
  <c r="Y109" i="88"/>
  <c r="V109" i="88"/>
  <c r="J109" i="88"/>
  <c r="AG109" i="88" s="1"/>
  <c r="AD104" i="88"/>
  <c r="Y104" i="88"/>
  <c r="V104" i="88"/>
  <c r="J104" i="88"/>
  <c r="AG104" i="88" s="1"/>
  <c r="AD99" i="88"/>
  <c r="Y99" i="88"/>
  <c r="V99" i="88"/>
  <c r="J99" i="88"/>
  <c r="AG99" i="88" s="1"/>
  <c r="AD94" i="88"/>
  <c r="Y94" i="88"/>
  <c r="V94" i="88"/>
  <c r="J94" i="88"/>
  <c r="AG94" i="88" s="1"/>
  <c r="AD89" i="88"/>
  <c r="Y89" i="88"/>
  <c r="V89" i="88"/>
  <c r="J89" i="88"/>
  <c r="AG89" i="88" s="1"/>
  <c r="AD84" i="88"/>
  <c r="Y84" i="88"/>
  <c r="V84" i="88"/>
  <c r="J84" i="88"/>
  <c r="AG84" i="88" s="1"/>
  <c r="AD79" i="88"/>
  <c r="Y79" i="88"/>
  <c r="V79" i="88"/>
  <c r="J79" i="88"/>
  <c r="AG79" i="88" s="1"/>
  <c r="AD74" i="88"/>
  <c r="Y74" i="88"/>
  <c r="V74" i="88"/>
  <c r="J74" i="88"/>
  <c r="AG74" i="88" s="1"/>
  <c r="AD34" i="88"/>
  <c r="Y34" i="88"/>
  <c r="V34" i="88"/>
  <c r="J34" i="88"/>
  <c r="AD29" i="88"/>
  <c r="Y29" i="88"/>
  <c r="V29" i="88"/>
  <c r="J29" i="88"/>
  <c r="AG29" i="88" s="1"/>
  <c r="AD24" i="88"/>
  <c r="Y24" i="88"/>
  <c r="V24" i="88"/>
  <c r="J24" i="88"/>
  <c r="AG24" i="88" s="1"/>
  <c r="AD19" i="88"/>
  <c r="Y19" i="88"/>
  <c r="V19" i="88"/>
  <c r="J19" i="88"/>
  <c r="AG19" i="88" s="1"/>
  <c r="AD14" i="88"/>
  <c r="Y14" i="88"/>
  <c r="V14" i="88"/>
  <c r="J14" i="88"/>
  <c r="AG14" i="88" s="1"/>
  <c r="AD9" i="88"/>
  <c r="Y9" i="88"/>
  <c r="V9" i="88"/>
  <c r="J9" i="88"/>
  <c r="AG9" i="88" s="1"/>
  <c r="AC143" i="88"/>
  <c r="AA143" i="88"/>
  <c r="AF129" i="88"/>
  <c r="AH69" i="88"/>
  <c r="AH49" i="88"/>
  <c r="AL28" i="88"/>
  <c r="AL14" i="88"/>
  <c r="AE143" i="88"/>
  <c r="AD4" i="88"/>
  <c r="AB143" i="88"/>
  <c r="Z143" i="88"/>
  <c r="Y4" i="88"/>
  <c r="V4" i="88"/>
  <c r="J4" i="88"/>
  <c r="AG4" i="88" s="1"/>
  <c r="AE59" i="87"/>
  <c r="AE49" i="87"/>
  <c r="X59" i="87"/>
  <c r="X49" i="87"/>
  <c r="X29" i="87"/>
  <c r="AE39" i="87"/>
  <c r="AE29" i="87"/>
  <c r="X39" i="87"/>
  <c r="AF79" i="88" l="1"/>
  <c r="AH79" i="88" s="1"/>
  <c r="AF99" i="88"/>
  <c r="AH99" i="88" s="1"/>
  <c r="AH101" i="88" s="1"/>
  <c r="AF119" i="88"/>
  <c r="AH119" i="88" s="1"/>
  <c r="AF139" i="88"/>
  <c r="AH139" i="88" s="1"/>
  <c r="AH141" i="88" s="1"/>
  <c r="AF134" i="88"/>
  <c r="AH134" i="88" s="1"/>
  <c r="AH136" i="88" s="1"/>
  <c r="AF74" i="88"/>
  <c r="AH74" i="88" s="1"/>
  <c r="AH76" i="88" s="1"/>
  <c r="AF104" i="88"/>
  <c r="AH104" i="88" s="1"/>
  <c r="AF114" i="88"/>
  <c r="AH114" i="88" s="1"/>
  <c r="AH116" i="88" s="1"/>
  <c r="AF124" i="88"/>
  <c r="AH124" i="88" s="1"/>
  <c r="AF84" i="88"/>
  <c r="AH84" i="88" s="1"/>
  <c r="AF94" i="88"/>
  <c r="AH94" i="88" s="1"/>
  <c r="AH96" i="88" s="1"/>
  <c r="AI124" i="88"/>
  <c r="AI84" i="88"/>
  <c r="AI44" i="88"/>
  <c r="AI134" i="88"/>
  <c r="AI29" i="88"/>
  <c r="AI104" i="88"/>
  <c r="AI9" i="88"/>
  <c r="AI19" i="88"/>
  <c r="AI69" i="88"/>
  <c r="AI4" i="88"/>
  <c r="AI49" i="88"/>
  <c r="AI59" i="88"/>
  <c r="AI109" i="88"/>
  <c r="AI94" i="88"/>
  <c r="AI89" i="88"/>
  <c r="AI99" i="88"/>
  <c r="AI34" i="88"/>
  <c r="AI79" i="88"/>
  <c r="AI129" i="88"/>
  <c r="AI139" i="88"/>
  <c r="AI74" i="88"/>
  <c r="AI14" i="88"/>
  <c r="AI24" i="88"/>
  <c r="AI114" i="88"/>
  <c r="AI119" i="88"/>
  <c r="AI54" i="88"/>
  <c r="AI64" i="88"/>
  <c r="AI39" i="88"/>
  <c r="AF89" i="88"/>
  <c r="AH89" i="88" s="1"/>
  <c r="AF109" i="88"/>
  <c r="AH109" i="88" s="1"/>
  <c r="AH64" i="88"/>
  <c r="AH44" i="88"/>
  <c r="AH46" i="88" s="1"/>
  <c r="AF34" i="88"/>
  <c r="AF29" i="88"/>
  <c r="AH29" i="88" s="1"/>
  <c r="AF24" i="88"/>
  <c r="AH24" i="88" s="1"/>
  <c r="AH25" i="88" s="1"/>
  <c r="AF19" i="88"/>
  <c r="AH19" i="88" s="1"/>
  <c r="AH21" i="88" s="1"/>
  <c r="AF14" i="88"/>
  <c r="AH14" i="88" s="1"/>
  <c r="AH16" i="88" s="1"/>
  <c r="AF9" i="88"/>
  <c r="AH9" i="88" s="1"/>
  <c r="AH11" i="88" s="1"/>
  <c r="AF4" i="88"/>
  <c r="AH4" i="88" s="1"/>
  <c r="Y143" i="88"/>
  <c r="AD143" i="88"/>
  <c r="AH129" i="88"/>
  <c r="AH51" i="88"/>
  <c r="AH50" i="88"/>
  <c r="AH71" i="88"/>
  <c r="AH70" i="88"/>
  <c r="AG34" i="88"/>
  <c r="AB9" i="87"/>
  <c r="AB4" i="87"/>
  <c r="Z9" i="87"/>
  <c r="Z4" i="87"/>
  <c r="AH120" i="88" l="1"/>
  <c r="AH121" i="88"/>
  <c r="AH81" i="88"/>
  <c r="AH80" i="88"/>
  <c r="AH135" i="88"/>
  <c r="AH100" i="88"/>
  <c r="AH140" i="88"/>
  <c r="AH125" i="88"/>
  <c r="AH126" i="88"/>
  <c r="AH105" i="88"/>
  <c r="AH106" i="88"/>
  <c r="AH85" i="88"/>
  <c r="AH86" i="88"/>
  <c r="AH75" i="88"/>
  <c r="AH115" i="88"/>
  <c r="AH95" i="88"/>
  <c r="AL34" i="88"/>
  <c r="AL38" i="88" s="1"/>
  <c r="AH65" i="88"/>
  <c r="AH66" i="88"/>
  <c r="AH59" i="88"/>
  <c r="AH60" i="88" s="1"/>
  <c r="AH45" i="88"/>
  <c r="AH39" i="88"/>
  <c r="AH40" i="88" s="1"/>
  <c r="AH26" i="88"/>
  <c r="AH20" i="88"/>
  <c r="AH15" i="88"/>
  <c r="AH10" i="88"/>
  <c r="AF143" i="88"/>
  <c r="AL3" i="88" s="1"/>
  <c r="D51" i="83" s="1"/>
  <c r="AH34" i="88"/>
  <c r="AG143" i="88"/>
  <c r="AH30" i="88"/>
  <c r="AH31" i="88"/>
  <c r="AH110" i="88"/>
  <c r="AH111" i="88"/>
  <c r="AH54" i="88"/>
  <c r="V143" i="88"/>
  <c r="AH6" i="88"/>
  <c r="AH5" i="88"/>
  <c r="AH131" i="88"/>
  <c r="AH130" i="88"/>
  <c r="AH91" i="88"/>
  <c r="AH90" i="88"/>
  <c r="H64" i="87"/>
  <c r="J64" i="87" s="1"/>
  <c r="AG64" i="87" s="1"/>
  <c r="H59" i="87"/>
  <c r="Y64" i="87"/>
  <c r="AD64" i="87"/>
  <c r="J69" i="87"/>
  <c r="AG69" i="87" s="1"/>
  <c r="V69" i="87"/>
  <c r="Y69" i="87"/>
  <c r="AD69" i="87"/>
  <c r="J74" i="87"/>
  <c r="AG74" i="87" s="1"/>
  <c r="V74" i="87"/>
  <c r="Y74" i="87"/>
  <c r="AD74" i="87"/>
  <c r="J79" i="87"/>
  <c r="AG79" i="87" s="1"/>
  <c r="V79" i="87"/>
  <c r="Y79" i="87"/>
  <c r="AD79" i="87"/>
  <c r="H54" i="87"/>
  <c r="V54" i="87" s="1"/>
  <c r="H49" i="87"/>
  <c r="AD54" i="87"/>
  <c r="Y54" i="87"/>
  <c r="Y59" i="87"/>
  <c r="AD59" i="87"/>
  <c r="J84" i="87"/>
  <c r="AG84" i="87" s="1"/>
  <c r="V84" i="87"/>
  <c r="AD84" i="87"/>
  <c r="AL33" i="88" l="1"/>
  <c r="AL36" i="88" s="1"/>
  <c r="AL37" i="88" s="1"/>
  <c r="AF69" i="87"/>
  <c r="AF79" i="87"/>
  <c r="AF74" i="87"/>
  <c r="AH61" i="88"/>
  <c r="AH41" i="88"/>
  <c r="AH143" i="88"/>
  <c r="AJ39" i="88" s="1"/>
  <c r="AH36" i="88"/>
  <c r="AH35" i="88"/>
  <c r="AH56" i="88"/>
  <c r="AH55" i="88"/>
  <c r="AF84" i="87"/>
  <c r="V64" i="87"/>
  <c r="AF64" i="87" s="1"/>
  <c r="J59" i="87"/>
  <c r="AG59" i="87" s="1"/>
  <c r="V59" i="87"/>
  <c r="AF59" i="87" s="1"/>
  <c r="J54" i="87"/>
  <c r="AG54" i="87" s="1"/>
  <c r="AF54" i="87"/>
  <c r="AJ64" i="88" l="1"/>
  <c r="AJ104" i="88"/>
  <c r="AJ89" i="88"/>
  <c r="AJ44" i="88"/>
  <c r="AJ84" i="88"/>
  <c r="AJ99" i="88"/>
  <c r="AJ119" i="88"/>
  <c r="AJ19" i="88"/>
  <c r="AJ49" i="88"/>
  <c r="AJ129" i="88"/>
  <c r="AJ69" i="88"/>
  <c r="AJ54" i="88"/>
  <c r="AJ29" i="88"/>
  <c r="AJ124" i="88"/>
  <c r="AJ74" i="88"/>
  <c r="AJ14" i="88"/>
  <c r="AJ34" i="88"/>
  <c r="AJ109" i="88"/>
  <c r="AJ9" i="88"/>
  <c r="AJ4" i="88"/>
  <c r="AJ94" i="88"/>
  <c r="AJ24" i="88"/>
  <c r="AJ114" i="88"/>
  <c r="AJ134" i="88"/>
  <c r="AJ59" i="88"/>
  <c r="AJ139" i="88"/>
  <c r="AJ79" i="88"/>
  <c r="AL15" i="88"/>
  <c r="AM15" i="88" s="1"/>
  <c r="AE19" i="87"/>
  <c r="X19" i="87"/>
  <c r="AE64" i="86"/>
  <c r="X64" i="86"/>
  <c r="K64" i="86"/>
  <c r="K19" i="87"/>
  <c r="AL31" i="88" l="1"/>
  <c r="AM31" i="88" s="1"/>
  <c r="AI143" i="88"/>
  <c r="AM3" i="88" s="1"/>
  <c r="AJ143" i="88"/>
  <c r="AM4" i="88" l="1"/>
  <c r="E51" i="83"/>
  <c r="F51" i="83" s="1"/>
  <c r="H39" i="87"/>
  <c r="V39" i="87" s="1"/>
  <c r="H34" i="87"/>
  <c r="AD39" i="87"/>
  <c r="Y39" i="87"/>
  <c r="AD44" i="87"/>
  <c r="Y44" i="87"/>
  <c r="V44" i="87"/>
  <c r="J44" i="87"/>
  <c r="AG44" i="87" s="1"/>
  <c r="AD49" i="87"/>
  <c r="Y49" i="87"/>
  <c r="V49" i="87"/>
  <c r="J49" i="87"/>
  <c r="AG49" i="87" s="1"/>
  <c r="AF44" i="87" l="1"/>
  <c r="AF49" i="87"/>
  <c r="J39" i="87"/>
  <c r="AG39" i="87" s="1"/>
  <c r="AF39" i="87"/>
  <c r="Z54" i="86" l="1"/>
  <c r="Z49" i="86"/>
  <c r="Z64" i="86"/>
  <c r="Z59" i="86"/>
  <c r="AC14" i="86" l="1"/>
  <c r="X9" i="87"/>
  <c r="X14" i="87"/>
  <c r="X4" i="87"/>
  <c r="AE9" i="87"/>
  <c r="AE14" i="87"/>
  <c r="AE4" i="87"/>
  <c r="AB54" i="86"/>
  <c r="AB49" i="86"/>
  <c r="Z34" i="86" l="1"/>
  <c r="Z29" i="86"/>
  <c r="H64" i="86" l="1"/>
  <c r="V64" i="86" s="1"/>
  <c r="H59" i="86"/>
  <c r="AD64" i="86"/>
  <c r="Y64" i="86"/>
  <c r="J64" i="86" l="1"/>
  <c r="AG64" i="86" s="1"/>
  <c r="AF64" i="86"/>
  <c r="AD139" i="87"/>
  <c r="Y139" i="87"/>
  <c r="V139" i="87"/>
  <c r="J139" i="87"/>
  <c r="AG139" i="87" s="1"/>
  <c r="AD134" i="87"/>
  <c r="Y134" i="87"/>
  <c r="V134" i="87"/>
  <c r="J134" i="87"/>
  <c r="AG134" i="87" s="1"/>
  <c r="AD129" i="87"/>
  <c r="Y129" i="87"/>
  <c r="V129" i="87"/>
  <c r="J129" i="87"/>
  <c r="AG129" i="87" s="1"/>
  <c r="AD124" i="87"/>
  <c r="Y124" i="87"/>
  <c r="V124" i="87"/>
  <c r="J124" i="87"/>
  <c r="AG124" i="87" s="1"/>
  <c r="AD119" i="87"/>
  <c r="Y119" i="87"/>
  <c r="V119" i="87"/>
  <c r="J119" i="87"/>
  <c r="AG119" i="87" s="1"/>
  <c r="AD114" i="87"/>
  <c r="Y114" i="87"/>
  <c r="V114" i="87"/>
  <c r="J114" i="87"/>
  <c r="AG114" i="87" s="1"/>
  <c r="AD109" i="87"/>
  <c r="Y109" i="87"/>
  <c r="V109" i="87"/>
  <c r="J109" i="87"/>
  <c r="AG109" i="87" s="1"/>
  <c r="AD104" i="87"/>
  <c r="Y104" i="87"/>
  <c r="V104" i="87"/>
  <c r="J104" i="87"/>
  <c r="AG104" i="87" s="1"/>
  <c r="AD99" i="87"/>
  <c r="Y99" i="87"/>
  <c r="V99" i="87"/>
  <c r="J99" i="87"/>
  <c r="AG99" i="87" s="1"/>
  <c r="AD94" i="87"/>
  <c r="Y94" i="87"/>
  <c r="V94" i="87"/>
  <c r="J94" i="87"/>
  <c r="AG94" i="87" s="1"/>
  <c r="AD89" i="87"/>
  <c r="Y89" i="87"/>
  <c r="V89" i="87"/>
  <c r="J89" i="87"/>
  <c r="AG89" i="87" s="1"/>
  <c r="AD34" i="87"/>
  <c r="Y34" i="87"/>
  <c r="V34" i="87"/>
  <c r="J34" i="87"/>
  <c r="AG34" i="87" s="1"/>
  <c r="AD29" i="87"/>
  <c r="Y29" i="87"/>
  <c r="V29" i="87"/>
  <c r="J29" i="87"/>
  <c r="AG29" i="87" s="1"/>
  <c r="AD24" i="87"/>
  <c r="Y24" i="87"/>
  <c r="V24" i="87"/>
  <c r="J24" i="87"/>
  <c r="AG24" i="87" s="1"/>
  <c r="AD19" i="87"/>
  <c r="Y19" i="87"/>
  <c r="V19" i="87"/>
  <c r="J19" i="87"/>
  <c r="AG19" i="87" s="1"/>
  <c r="AD14" i="87"/>
  <c r="Y14" i="87"/>
  <c r="V14" i="87"/>
  <c r="J14" i="87"/>
  <c r="AG14" i="87" s="1"/>
  <c r="AD9" i="87"/>
  <c r="Y9" i="87"/>
  <c r="V9" i="87"/>
  <c r="J9" i="87"/>
  <c r="AG9" i="87" s="1"/>
  <c r="AA143" i="87"/>
  <c r="Z143" i="87"/>
  <c r="AL28" i="87"/>
  <c r="AB143" i="87"/>
  <c r="AL14" i="87"/>
  <c r="AE143" i="87"/>
  <c r="AC143" i="87"/>
  <c r="AD4" i="87"/>
  <c r="Y4" i="87"/>
  <c r="V4" i="87"/>
  <c r="J4" i="87"/>
  <c r="AG4" i="87" s="1"/>
  <c r="AB24" i="86"/>
  <c r="AB19" i="86"/>
  <c r="AF89" i="87" l="1"/>
  <c r="AH89" i="87" s="1"/>
  <c r="AF99" i="87"/>
  <c r="AF109" i="87"/>
  <c r="AH109" i="87" s="1"/>
  <c r="AF119" i="87"/>
  <c r="AH119" i="87" s="1"/>
  <c r="AI34" i="87"/>
  <c r="AI64" i="87"/>
  <c r="AI119" i="87"/>
  <c r="AI84" i="87"/>
  <c r="AI29" i="87"/>
  <c r="AI24" i="87"/>
  <c r="AI79" i="87"/>
  <c r="AI69" i="87"/>
  <c r="AI109" i="87"/>
  <c r="AI114" i="87"/>
  <c r="AI9" i="87"/>
  <c r="AI19" i="87"/>
  <c r="AI134" i="87"/>
  <c r="AI49" i="87"/>
  <c r="AI59" i="87"/>
  <c r="AI99" i="87"/>
  <c r="AI44" i="87"/>
  <c r="AI104" i="87"/>
  <c r="AI89" i="87"/>
  <c r="AI124" i="87"/>
  <c r="AI129" i="87"/>
  <c r="AI39" i="87"/>
  <c r="AI14" i="87"/>
  <c r="AI54" i="87"/>
  <c r="AI4" i="87"/>
  <c r="AI74" i="87"/>
  <c r="AI94" i="87"/>
  <c r="AI139" i="87"/>
  <c r="AF129" i="87"/>
  <c r="AH129" i="87" s="1"/>
  <c r="AF139" i="87"/>
  <c r="AH139" i="87" s="1"/>
  <c r="AH69" i="87"/>
  <c r="AH64" i="87"/>
  <c r="AH84" i="87"/>
  <c r="AF94" i="87"/>
  <c r="AH94" i="87" s="1"/>
  <c r="AF104" i="87"/>
  <c r="AH104" i="87" s="1"/>
  <c r="AF114" i="87"/>
  <c r="AH114" i="87" s="1"/>
  <c r="AF124" i="87"/>
  <c r="AH124" i="87" s="1"/>
  <c r="AF134" i="87"/>
  <c r="AH134" i="87" s="1"/>
  <c r="AH49" i="87"/>
  <c r="AH50" i="87" s="1"/>
  <c r="AH44" i="87"/>
  <c r="AH45" i="87" s="1"/>
  <c r="AH39" i="87"/>
  <c r="AF34" i="87"/>
  <c r="AH34" i="87" s="1"/>
  <c r="AF29" i="87"/>
  <c r="AH29" i="87" s="1"/>
  <c r="AF24" i="87"/>
  <c r="AH24" i="87" s="1"/>
  <c r="AF19" i="87"/>
  <c r="AH19" i="87" s="1"/>
  <c r="AD143" i="87"/>
  <c r="AF14" i="87"/>
  <c r="AH14" i="87" s="1"/>
  <c r="AF9" i="87"/>
  <c r="AH9" i="87" s="1"/>
  <c r="Y143" i="87"/>
  <c r="AH59" i="87"/>
  <c r="AH54" i="87"/>
  <c r="AH74" i="87"/>
  <c r="AH79" i="87"/>
  <c r="AH99" i="87"/>
  <c r="AF4" i="87"/>
  <c r="J44" i="86"/>
  <c r="AH120" i="87" l="1"/>
  <c r="AH121" i="87"/>
  <c r="AH141" i="87"/>
  <c r="AH140" i="87"/>
  <c r="AH130" i="87"/>
  <c r="AH131" i="87"/>
  <c r="AL34" i="87"/>
  <c r="AL38" i="87" s="1"/>
  <c r="AH71" i="87"/>
  <c r="AH70" i="87"/>
  <c r="AH106" i="87"/>
  <c r="AH105" i="87"/>
  <c r="AH136" i="87"/>
  <c r="AH135" i="87"/>
  <c r="AH46" i="87"/>
  <c r="AF143" i="87"/>
  <c r="AL3" i="87" s="1"/>
  <c r="D50" i="83" s="1"/>
  <c r="AH10" i="87"/>
  <c r="AH11" i="87"/>
  <c r="AH51" i="87"/>
  <c r="AH4" i="87"/>
  <c r="AL33" i="87" s="1"/>
  <c r="AH96" i="87"/>
  <c r="AH95" i="87"/>
  <c r="AH86" i="87"/>
  <c r="AH85" i="87"/>
  <c r="AH56" i="87"/>
  <c r="AH55" i="87"/>
  <c r="AH60" i="87"/>
  <c r="AH61" i="87"/>
  <c r="AH76" i="87"/>
  <c r="AH75" i="87"/>
  <c r="AH116" i="87"/>
  <c r="AH115" i="87"/>
  <c r="AH21" i="87"/>
  <c r="AH20" i="87"/>
  <c r="AH90" i="87"/>
  <c r="AH91" i="87"/>
  <c r="AH81" i="87"/>
  <c r="AH80" i="87"/>
  <c r="AH15" i="87"/>
  <c r="AH16" i="87"/>
  <c r="AH31" i="87"/>
  <c r="AH30" i="87"/>
  <c r="AH100" i="87"/>
  <c r="AH101" i="87"/>
  <c r="AH66" i="87"/>
  <c r="AH65" i="87"/>
  <c r="AG143" i="87"/>
  <c r="V143" i="87"/>
  <c r="AH126" i="87"/>
  <c r="AH125" i="87"/>
  <c r="AH26" i="87"/>
  <c r="AH25" i="87"/>
  <c r="AH41" i="87"/>
  <c r="AH40" i="87"/>
  <c r="AH110" i="87"/>
  <c r="AH111" i="87"/>
  <c r="AH36" i="87"/>
  <c r="AH35" i="87"/>
  <c r="AE54" i="86"/>
  <c r="AE49" i="86"/>
  <c r="X54" i="86"/>
  <c r="X49" i="86"/>
  <c r="K54" i="86"/>
  <c r="K49" i="86"/>
  <c r="AH6" i="87" l="1"/>
  <c r="AL36" i="87"/>
  <c r="AL37" i="87" s="1"/>
  <c r="AH143" i="87"/>
  <c r="AJ4" i="87" s="1"/>
  <c r="AH5" i="87"/>
  <c r="AL14" i="86"/>
  <c r="H24" i="86"/>
  <c r="J24" i="86" s="1"/>
  <c r="H19" i="86"/>
  <c r="AD24" i="86"/>
  <c r="Y24" i="86"/>
  <c r="AE34" i="86"/>
  <c r="X34" i="86"/>
  <c r="AE14" i="86"/>
  <c r="X14" i="86"/>
  <c r="AE9" i="86"/>
  <c r="X9" i="86"/>
  <c r="AB34" i="86"/>
  <c r="AB29" i="86"/>
  <c r="V24" i="86" l="1"/>
  <c r="AF24" i="86" s="1"/>
  <c r="AJ54" i="87"/>
  <c r="AJ49" i="87"/>
  <c r="AJ79" i="87"/>
  <c r="AJ29" i="87"/>
  <c r="AJ9" i="87"/>
  <c r="AJ124" i="87"/>
  <c r="AJ64" i="87"/>
  <c r="AJ134" i="87"/>
  <c r="AJ44" i="87"/>
  <c r="AJ69" i="87"/>
  <c r="AJ94" i="87"/>
  <c r="AJ109" i="87"/>
  <c r="AJ39" i="87"/>
  <c r="AJ129" i="87"/>
  <c r="AJ14" i="87"/>
  <c r="AJ84" i="87"/>
  <c r="AJ24" i="87"/>
  <c r="AJ104" i="87"/>
  <c r="AJ119" i="87"/>
  <c r="AJ139" i="87"/>
  <c r="AL15" i="87"/>
  <c r="AM15" i="87" s="1"/>
  <c r="AJ89" i="87"/>
  <c r="AJ99" i="87"/>
  <c r="AJ59" i="87"/>
  <c r="AJ34" i="87"/>
  <c r="AJ114" i="87"/>
  <c r="AJ19" i="87"/>
  <c r="AJ74" i="87"/>
  <c r="AG24" i="86"/>
  <c r="X54" i="85"/>
  <c r="X49" i="85"/>
  <c r="AE54" i="85"/>
  <c r="AE49" i="85"/>
  <c r="AE59" i="85"/>
  <c r="X59" i="85"/>
  <c r="K59" i="85"/>
  <c r="AJ143" i="87" l="1"/>
  <c r="AL31" i="87"/>
  <c r="AM31" i="87" s="1"/>
  <c r="AI143" i="87"/>
  <c r="AM3" i="87" s="1"/>
  <c r="AH24" i="86"/>
  <c r="AH25" i="86" s="1"/>
  <c r="H34" i="86"/>
  <c r="H29" i="86"/>
  <c r="AD34" i="86"/>
  <c r="Y34" i="86"/>
  <c r="AM4" i="87" l="1"/>
  <c r="E50" i="83"/>
  <c r="F50" i="83" s="1"/>
  <c r="AH26" i="86"/>
  <c r="V34" i="86"/>
  <c r="AF34" i="86" s="1"/>
  <c r="J34" i="86"/>
  <c r="AG34" i="86" s="1"/>
  <c r="AH34" i="86" l="1"/>
  <c r="AH35" i="86" s="1"/>
  <c r="AH36" i="86" l="1"/>
  <c r="Z44" i="85"/>
  <c r="AD59" i="85" l="1"/>
  <c r="Y59" i="85"/>
  <c r="AB19" i="85" l="1"/>
  <c r="AB14" i="85"/>
  <c r="Z19" i="85" l="1"/>
  <c r="Z14" i="85"/>
  <c r="Y139" i="86"/>
  <c r="Y134" i="86"/>
  <c r="Y129" i="86"/>
  <c r="Y124" i="86"/>
  <c r="Y119" i="86"/>
  <c r="Y114" i="86"/>
  <c r="Y109" i="86"/>
  <c r="Y104" i="86"/>
  <c r="Y99" i="86"/>
  <c r="Y94" i="86"/>
  <c r="Y89" i="86"/>
  <c r="Y84" i="86"/>
  <c r="Y79" i="86"/>
  <c r="Y74" i="86"/>
  <c r="Y69" i="86"/>
  <c r="Y59" i="86"/>
  <c r="Y54" i="86"/>
  <c r="Y49" i="86"/>
  <c r="Y44" i="86"/>
  <c r="Y39" i="86"/>
  <c r="Y29" i="86"/>
  <c r="Y19" i="86"/>
  <c r="Y14" i="86"/>
  <c r="Y9" i="86"/>
  <c r="Y4" i="86"/>
  <c r="Y54" i="85" l="1"/>
  <c r="Y49" i="85"/>
  <c r="Y44" i="85"/>
  <c r="AB143" i="86" l="1"/>
  <c r="AA143" i="86"/>
  <c r="Z143" i="86"/>
  <c r="AD139" i="86"/>
  <c r="AC139" i="86"/>
  <c r="V139" i="86"/>
  <c r="J139" i="86"/>
  <c r="AG139" i="86" s="1"/>
  <c r="AD134" i="86"/>
  <c r="AC134" i="86"/>
  <c r="V134" i="86"/>
  <c r="J134" i="86"/>
  <c r="AG134" i="86" s="1"/>
  <c r="AD129" i="86"/>
  <c r="AC129" i="86"/>
  <c r="V129" i="86"/>
  <c r="J129" i="86"/>
  <c r="AG129" i="86" s="1"/>
  <c r="AD124" i="86"/>
  <c r="AC124" i="86"/>
  <c r="V124" i="86"/>
  <c r="J124" i="86"/>
  <c r="AG124" i="86" s="1"/>
  <c r="AD119" i="86"/>
  <c r="AC119" i="86"/>
  <c r="V119" i="86"/>
  <c r="J119" i="86"/>
  <c r="AG119" i="86" s="1"/>
  <c r="AD114" i="86"/>
  <c r="AC114" i="86"/>
  <c r="V114" i="86"/>
  <c r="J114" i="86"/>
  <c r="AG114" i="86" s="1"/>
  <c r="AD109" i="86"/>
  <c r="AC109" i="86"/>
  <c r="H109" i="86"/>
  <c r="J109" i="86" s="1"/>
  <c r="AG109" i="86" s="1"/>
  <c r="AD104" i="86"/>
  <c r="V104" i="86"/>
  <c r="J104" i="86"/>
  <c r="AG104" i="86" s="1"/>
  <c r="AD99" i="86"/>
  <c r="AC99" i="86"/>
  <c r="V99" i="86"/>
  <c r="J99" i="86"/>
  <c r="AG99" i="86" s="1"/>
  <c r="AD94" i="86"/>
  <c r="H94" i="86"/>
  <c r="V94" i="86" s="1"/>
  <c r="AE89" i="86"/>
  <c r="AD89" i="86"/>
  <c r="K89" i="86"/>
  <c r="H89" i="86"/>
  <c r="AE84" i="86"/>
  <c r="AD84" i="86"/>
  <c r="V84" i="86"/>
  <c r="K84" i="86"/>
  <c r="J84" i="86" s="1"/>
  <c r="AD79" i="86"/>
  <c r="V79" i="86"/>
  <c r="J79" i="86"/>
  <c r="AG79" i="86" s="1"/>
  <c r="AD74" i="86"/>
  <c r="V74" i="86"/>
  <c r="J74" i="86"/>
  <c r="AG74" i="86" s="1"/>
  <c r="AD69" i="86"/>
  <c r="V69" i="86"/>
  <c r="AE59" i="86"/>
  <c r="AD59" i="86"/>
  <c r="V59" i="86"/>
  <c r="J59" i="86"/>
  <c r="AD54" i="86"/>
  <c r="V54" i="86"/>
  <c r="J54" i="86"/>
  <c r="AG54" i="86" s="1"/>
  <c r="AD49" i="86"/>
  <c r="V49" i="86"/>
  <c r="J49" i="86"/>
  <c r="AG49" i="86" s="1"/>
  <c r="AD44" i="86"/>
  <c r="V44" i="86"/>
  <c r="AD39" i="86"/>
  <c r="V39" i="86"/>
  <c r="J39" i="86"/>
  <c r="AL28" i="86"/>
  <c r="AD29" i="86"/>
  <c r="V29" i="86"/>
  <c r="J29" i="86"/>
  <c r="AG29" i="86" s="1"/>
  <c r="AD19" i="86"/>
  <c r="V19" i="86"/>
  <c r="AD14" i="86"/>
  <c r="V14" i="86"/>
  <c r="AD9" i="86"/>
  <c r="AC9" i="86"/>
  <c r="V9" i="86"/>
  <c r="J9" i="86"/>
  <c r="AD4" i="86"/>
  <c r="V4" i="86"/>
  <c r="J4" i="86"/>
  <c r="AF84" i="86" l="1"/>
  <c r="AF119" i="86"/>
  <c r="AI99" i="86"/>
  <c r="AI64" i="86"/>
  <c r="AI19" i="86"/>
  <c r="AI79" i="86"/>
  <c r="AI9" i="86"/>
  <c r="AI49" i="86"/>
  <c r="AI119" i="86"/>
  <c r="AI39" i="86"/>
  <c r="AI44" i="86"/>
  <c r="AI89" i="86"/>
  <c r="AI94" i="86"/>
  <c r="AI54" i="86"/>
  <c r="AI4" i="86"/>
  <c r="AI84" i="86"/>
  <c r="AI129" i="86"/>
  <c r="AI134" i="86"/>
  <c r="AI69" i="86"/>
  <c r="AI34" i="86"/>
  <c r="AI124" i="86"/>
  <c r="AI24" i="86"/>
  <c r="AI59" i="86"/>
  <c r="AI109" i="86"/>
  <c r="AI74" i="86"/>
  <c r="AI29" i="86"/>
  <c r="AI139" i="86"/>
  <c r="AI104" i="86"/>
  <c r="AI14" i="86"/>
  <c r="AI114" i="86"/>
  <c r="AF114" i="86"/>
  <c r="AH114" i="86" s="1"/>
  <c r="AH115" i="86" s="1"/>
  <c r="AF124" i="86"/>
  <c r="AH124" i="86" s="1"/>
  <c r="AH126" i="86" s="1"/>
  <c r="AF134" i="86"/>
  <c r="AH134" i="86" s="1"/>
  <c r="AH136" i="86" s="1"/>
  <c r="AH119" i="86"/>
  <c r="AH121" i="86" s="1"/>
  <c r="AF14" i="86"/>
  <c r="AF79" i="86"/>
  <c r="AH79" i="86" s="1"/>
  <c r="AF99" i="86"/>
  <c r="AH99" i="86" s="1"/>
  <c r="AF104" i="86"/>
  <c r="AH104" i="86" s="1"/>
  <c r="AF59" i="86"/>
  <c r="AF94" i="86"/>
  <c r="AG84" i="86"/>
  <c r="AH84" i="86" s="1"/>
  <c r="AH86" i="86" s="1"/>
  <c r="AG44" i="86"/>
  <c r="AF74" i="86"/>
  <c r="AH74" i="86" s="1"/>
  <c r="AH75" i="86" s="1"/>
  <c r="AF129" i="86"/>
  <c r="V109" i="86"/>
  <c r="AF109" i="86" s="1"/>
  <c r="AH109" i="86" s="1"/>
  <c r="AH110" i="86" s="1"/>
  <c r="AF139" i="86"/>
  <c r="AH139" i="86" s="1"/>
  <c r="AG4" i="86"/>
  <c r="AG9" i="86"/>
  <c r="AF9" i="86"/>
  <c r="AF19" i="86"/>
  <c r="AF29" i="86"/>
  <c r="AH29" i="86" s="1"/>
  <c r="AE143" i="86"/>
  <c r="AG39" i="86"/>
  <c r="AF39" i="86"/>
  <c r="AF44" i="86"/>
  <c r="AF49" i="86"/>
  <c r="AH49" i="86" s="1"/>
  <c r="AF54" i="86"/>
  <c r="AH54" i="86" s="1"/>
  <c r="AC143" i="86"/>
  <c r="AG59" i="86"/>
  <c r="Y143" i="86"/>
  <c r="AD143" i="86"/>
  <c r="AF69" i="86"/>
  <c r="J69" i="86"/>
  <c r="AG69" i="86" s="1"/>
  <c r="AH129" i="86"/>
  <c r="J14" i="86"/>
  <c r="AG14" i="86" s="1"/>
  <c r="J19" i="86"/>
  <c r="AG19" i="86" s="1"/>
  <c r="AF4" i="86"/>
  <c r="V89" i="86"/>
  <c r="AF89" i="86" s="1"/>
  <c r="J89" i="86"/>
  <c r="AG89" i="86" s="1"/>
  <c r="J94" i="86"/>
  <c r="AG94" i="86" s="1"/>
  <c r="H59" i="85"/>
  <c r="H44" i="85"/>
  <c r="AE34" i="85"/>
  <c r="AE29" i="85"/>
  <c r="AE19" i="85"/>
  <c r="X34" i="85"/>
  <c r="X29" i="85"/>
  <c r="X19" i="85"/>
  <c r="K34" i="85"/>
  <c r="K29" i="85"/>
  <c r="K19" i="85"/>
  <c r="AH14" i="86" l="1"/>
  <c r="AH120" i="86"/>
  <c r="AH94" i="86"/>
  <c r="AH96" i="86" s="1"/>
  <c r="AH59" i="86"/>
  <c r="AH81" i="86"/>
  <c r="AH80" i="86"/>
  <c r="AH64" i="86"/>
  <c r="AH30" i="86"/>
  <c r="AH101" i="86"/>
  <c r="AH100" i="86"/>
  <c r="AH106" i="86"/>
  <c r="AH105" i="86"/>
  <c r="AH85" i="86"/>
  <c r="AH44" i="86"/>
  <c r="AH45" i="86" s="1"/>
  <c r="V143" i="86"/>
  <c r="AH111" i="86"/>
  <c r="AH135" i="86"/>
  <c r="AH125" i="86"/>
  <c r="AH116" i="86"/>
  <c r="AH89" i="86"/>
  <c r="AH91" i="86" s="1"/>
  <c r="AH76" i="86"/>
  <c r="AH19" i="86"/>
  <c r="AH21" i="86" s="1"/>
  <c r="AH9" i="86"/>
  <c r="AH31" i="86"/>
  <c r="AH39" i="86"/>
  <c r="AH55" i="86"/>
  <c r="AH56" i="86"/>
  <c r="AF143" i="86"/>
  <c r="AL3" i="86" s="1"/>
  <c r="D49" i="83" s="1"/>
  <c r="AH69" i="86"/>
  <c r="AH71" i="86" s="1"/>
  <c r="AH16" i="86"/>
  <c r="AH15" i="86"/>
  <c r="AH130" i="86"/>
  <c r="AH131" i="86"/>
  <c r="AH4" i="86"/>
  <c r="AG143" i="86"/>
  <c r="AH140" i="86"/>
  <c r="AH141" i="86"/>
  <c r="AH51" i="86"/>
  <c r="AH50" i="86"/>
  <c r="AH95" i="86" l="1"/>
  <c r="AH66" i="86"/>
  <c r="AL33" i="86"/>
  <c r="AL36" i="86" s="1"/>
  <c r="AL37" i="86" s="1"/>
  <c r="AH41" i="86"/>
  <c r="AL34" i="86"/>
  <c r="AL38" i="86" s="1"/>
  <c r="AH65" i="86"/>
  <c r="AH143" i="86"/>
  <c r="AJ24" i="86" s="1"/>
  <c r="AH60" i="86"/>
  <c r="AH61" i="86"/>
  <c r="AH46" i="86"/>
  <c r="AH90" i="86"/>
  <c r="AH20" i="86"/>
  <c r="AH10" i="86"/>
  <c r="AH11" i="86"/>
  <c r="AH40" i="86"/>
  <c r="AH70" i="86"/>
  <c r="AH5" i="86"/>
  <c r="AH6" i="86"/>
  <c r="AJ4" i="86" l="1"/>
  <c r="AJ34" i="86"/>
  <c r="AL15" i="86"/>
  <c r="AJ114" i="86"/>
  <c r="AJ74" i="86"/>
  <c r="AJ119" i="86"/>
  <c r="AJ84" i="86"/>
  <c r="AJ104" i="86"/>
  <c r="AJ64" i="86"/>
  <c r="AJ29" i="86"/>
  <c r="AJ79" i="86"/>
  <c r="AJ39" i="86"/>
  <c r="AJ124" i="86"/>
  <c r="AJ109" i="86"/>
  <c r="AJ9" i="86"/>
  <c r="AJ134" i="86"/>
  <c r="AJ54" i="86"/>
  <c r="AJ99" i="86"/>
  <c r="AJ69" i="86"/>
  <c r="AJ59" i="86"/>
  <c r="AJ14" i="86"/>
  <c r="AJ49" i="86"/>
  <c r="AJ44" i="86"/>
  <c r="AJ94" i="86"/>
  <c r="AJ129" i="86"/>
  <c r="AJ139" i="86"/>
  <c r="AJ89" i="86"/>
  <c r="AJ19" i="86"/>
  <c r="H19" i="85"/>
  <c r="J19" i="85" s="1"/>
  <c r="H14" i="85"/>
  <c r="AL14" i="85"/>
  <c r="AD19" i="85"/>
  <c r="AE14" i="85"/>
  <c r="AE9" i="85"/>
  <c r="AE4" i="85"/>
  <c r="X14" i="85"/>
  <c r="X9" i="85"/>
  <c r="X4" i="85"/>
  <c r="AM15" i="86" l="1"/>
  <c r="AL31" i="86"/>
  <c r="AM31" i="86" s="1"/>
  <c r="AJ143" i="86"/>
  <c r="AI143" i="86"/>
  <c r="AM3" i="86" s="1"/>
  <c r="E49" i="83" s="1"/>
  <c r="F49" i="83" s="1"/>
  <c r="AG19" i="85"/>
  <c r="V19" i="85"/>
  <c r="AF19" i="85" s="1"/>
  <c r="AM4" i="86" l="1"/>
  <c r="AH19" i="85"/>
  <c r="AH21" i="85" s="1"/>
  <c r="AH20" i="85" l="1"/>
  <c r="AL28" i="85"/>
  <c r="Y24" i="85"/>
  <c r="Y4" i="85"/>
  <c r="Y19" i="84"/>
  <c r="Y14" i="84"/>
  <c r="Y4" i="84"/>
  <c r="Y64" i="81"/>
  <c r="Y49" i="81"/>
  <c r="Y34" i="81"/>
  <c r="Y29" i="81"/>
  <c r="Y24" i="81"/>
  <c r="Y19" i="81"/>
  <c r="Y9" i="81"/>
  <c r="Y4" i="81"/>
  <c r="Y4" i="79"/>
  <c r="Z79" i="84"/>
  <c r="Z74" i="84"/>
  <c r="Z69" i="84"/>
  <c r="AI94" i="85" l="1"/>
  <c r="AI54" i="85"/>
  <c r="AI14" i="85"/>
  <c r="AI59" i="85"/>
  <c r="AI24" i="85"/>
  <c r="AI69" i="85"/>
  <c r="AI99" i="85"/>
  <c r="AI64" i="85"/>
  <c r="AI109" i="85"/>
  <c r="AI39" i="85"/>
  <c r="AI104" i="85"/>
  <c r="AI4" i="85"/>
  <c r="AI9" i="85"/>
  <c r="AI44" i="85"/>
  <c r="AI129" i="85"/>
  <c r="AI79" i="85"/>
  <c r="AI49" i="85"/>
  <c r="AI34" i="85"/>
  <c r="AI119" i="85"/>
  <c r="AI84" i="85"/>
  <c r="AI89" i="85"/>
  <c r="AI114" i="85"/>
  <c r="AI74" i="85"/>
  <c r="AI124" i="85"/>
  <c r="AI19" i="85"/>
  <c r="AI29" i="85"/>
  <c r="AB79" i="84"/>
  <c r="AB74" i="84"/>
  <c r="AB69" i="84"/>
  <c r="Y9" i="85"/>
  <c r="L19" i="84" l="1"/>
  <c r="Z49" i="84"/>
  <c r="Z44" i="84"/>
  <c r="AB133" i="85" l="1"/>
  <c r="AA133" i="85"/>
  <c r="Z133" i="85"/>
  <c r="AD129" i="85"/>
  <c r="AC129" i="85"/>
  <c r="Y129" i="85"/>
  <c r="V129" i="85"/>
  <c r="J129" i="85"/>
  <c r="AG129" i="85" s="1"/>
  <c r="AD124" i="85"/>
  <c r="AC124" i="85"/>
  <c r="Y124" i="85"/>
  <c r="V124" i="85"/>
  <c r="J124" i="85"/>
  <c r="AG124" i="85" s="1"/>
  <c r="AD119" i="85"/>
  <c r="AC119" i="85"/>
  <c r="Y119" i="85"/>
  <c r="V119" i="85"/>
  <c r="J119" i="85"/>
  <c r="AG119" i="85" s="1"/>
  <c r="AD114" i="85"/>
  <c r="AC114" i="85"/>
  <c r="Y114" i="85"/>
  <c r="V114" i="85"/>
  <c r="J114" i="85"/>
  <c r="AG114" i="85" s="1"/>
  <c r="AD109" i="85"/>
  <c r="AC109" i="85"/>
  <c r="Y109" i="85"/>
  <c r="V109" i="85"/>
  <c r="J109" i="85"/>
  <c r="AG109" i="85" s="1"/>
  <c r="AD104" i="85"/>
  <c r="AC104" i="85"/>
  <c r="Y104" i="85"/>
  <c r="V104" i="85"/>
  <c r="J104" i="85"/>
  <c r="AG104" i="85" s="1"/>
  <c r="AD99" i="85"/>
  <c r="AC99" i="85"/>
  <c r="Y99" i="85"/>
  <c r="H99" i="85"/>
  <c r="J99" i="85" s="1"/>
  <c r="AG99" i="85" s="1"/>
  <c r="AD94" i="85"/>
  <c r="V94" i="85"/>
  <c r="J94" i="85"/>
  <c r="AG94" i="85" s="1"/>
  <c r="AD89" i="85"/>
  <c r="AC89" i="85"/>
  <c r="Y89" i="85"/>
  <c r="V89" i="85"/>
  <c r="J89" i="85"/>
  <c r="AG89" i="85" s="1"/>
  <c r="AD84" i="85"/>
  <c r="H84" i="85"/>
  <c r="J84" i="85" s="1"/>
  <c r="AG84" i="85" s="1"/>
  <c r="AE79" i="85"/>
  <c r="AD79" i="85"/>
  <c r="K79" i="85"/>
  <c r="H79" i="85"/>
  <c r="AE74" i="85"/>
  <c r="AD74" i="85"/>
  <c r="V74" i="85"/>
  <c r="K74" i="85"/>
  <c r="J74" i="85" s="1"/>
  <c r="AD69" i="85"/>
  <c r="V69" i="85"/>
  <c r="J69" i="85"/>
  <c r="AG69" i="85" s="1"/>
  <c r="AD64" i="85"/>
  <c r="V64" i="85"/>
  <c r="J64" i="85"/>
  <c r="AG64" i="85" s="1"/>
  <c r="V59" i="85"/>
  <c r="J59" i="85"/>
  <c r="AG59" i="85" s="1"/>
  <c r="AD54" i="85"/>
  <c r="V54" i="85"/>
  <c r="J54" i="85"/>
  <c r="AD49" i="85"/>
  <c r="V49" i="85"/>
  <c r="J49" i="85"/>
  <c r="AD44" i="85"/>
  <c r="V44" i="85"/>
  <c r="J44" i="85"/>
  <c r="AG44" i="85" s="1"/>
  <c r="AD39" i="85"/>
  <c r="AC39" i="85"/>
  <c r="Y39" i="85"/>
  <c r="V39" i="85"/>
  <c r="J39" i="85"/>
  <c r="AG39" i="85" s="1"/>
  <c r="AD34" i="85"/>
  <c r="AC34" i="85"/>
  <c r="Y34" i="85"/>
  <c r="V34" i="85"/>
  <c r="J34" i="85"/>
  <c r="AG34" i="85" s="1"/>
  <c r="AD29" i="85"/>
  <c r="AC29" i="85"/>
  <c r="Y29" i="85"/>
  <c r="V29" i="85"/>
  <c r="J29" i="85"/>
  <c r="AG29" i="85" s="1"/>
  <c r="AD24" i="85"/>
  <c r="V24" i="85"/>
  <c r="J24" i="85"/>
  <c r="AG24" i="85" s="1"/>
  <c r="AD14" i="85"/>
  <c r="V14" i="85"/>
  <c r="J14" i="85"/>
  <c r="AG14" i="85" s="1"/>
  <c r="AD9" i="85"/>
  <c r="AC9" i="85"/>
  <c r="V9" i="85"/>
  <c r="J9" i="85"/>
  <c r="AG9" i="85" s="1"/>
  <c r="AD4" i="85"/>
  <c r="V4" i="85"/>
  <c r="J4" i="85"/>
  <c r="AG4" i="85" s="1"/>
  <c r="X49" i="84"/>
  <c r="AE49" i="84" s="1"/>
  <c r="X44" i="84"/>
  <c r="AE44" i="84" s="1"/>
  <c r="K49" i="84"/>
  <c r="K44" i="84"/>
  <c r="AC84" i="84"/>
  <c r="Y84" i="84"/>
  <c r="J79" i="85" l="1"/>
  <c r="V99" i="85"/>
  <c r="AF99" i="85" s="1"/>
  <c r="AH99" i="85" s="1"/>
  <c r="AF94" i="85"/>
  <c r="AH94" i="85" s="1"/>
  <c r="AH95" i="85" s="1"/>
  <c r="V79" i="85"/>
  <c r="AF79" i="85" s="1"/>
  <c r="AF104" i="85"/>
  <c r="AH104" i="85" s="1"/>
  <c r="AF54" i="85"/>
  <c r="AF74" i="85"/>
  <c r="AF49" i="85"/>
  <c r="AF109" i="85"/>
  <c r="AH109" i="85" s="1"/>
  <c r="AH110" i="85" s="1"/>
  <c r="AF114" i="85"/>
  <c r="AH114" i="85" s="1"/>
  <c r="AF119" i="85"/>
  <c r="AH119" i="85" s="1"/>
  <c r="AF124" i="85"/>
  <c r="AH124" i="85" s="1"/>
  <c r="AF129" i="85"/>
  <c r="AH129" i="85" s="1"/>
  <c r="AH130" i="85" s="1"/>
  <c r="AF34" i="85"/>
  <c r="AH34" i="85" s="1"/>
  <c r="AH35" i="85" s="1"/>
  <c r="AF29" i="85"/>
  <c r="AH29" i="85" s="1"/>
  <c r="AH31" i="85" s="1"/>
  <c r="AF44" i="85"/>
  <c r="AH44" i="85" s="1"/>
  <c r="AH46" i="85" s="1"/>
  <c r="AF89" i="85"/>
  <c r="AH89" i="85" s="1"/>
  <c r="AF59" i="85"/>
  <c r="AH59" i="85" s="1"/>
  <c r="AF39" i="85"/>
  <c r="AH39" i="85" s="1"/>
  <c r="AH40" i="85" s="1"/>
  <c r="AF24" i="85"/>
  <c r="AH24" i="85" s="1"/>
  <c r="AF14" i="85"/>
  <c r="AH14" i="85" s="1"/>
  <c r="AF4" i="85"/>
  <c r="AH4" i="85" s="1"/>
  <c r="AF9" i="85"/>
  <c r="AH9" i="85" s="1"/>
  <c r="AG49" i="85"/>
  <c r="AG54" i="85"/>
  <c r="AF69" i="85"/>
  <c r="AH69" i="85" s="1"/>
  <c r="AE133" i="85"/>
  <c r="V84" i="85"/>
  <c r="AF84" i="85" s="1"/>
  <c r="AH84" i="85" s="1"/>
  <c r="AC133" i="85"/>
  <c r="Y133" i="85"/>
  <c r="AH64" i="85"/>
  <c r="AG74" i="85"/>
  <c r="AD133" i="85"/>
  <c r="AG79" i="85"/>
  <c r="X54" i="84"/>
  <c r="X29" i="84"/>
  <c r="X14" i="84"/>
  <c r="AE74" i="84"/>
  <c r="AE69" i="84"/>
  <c r="X74" i="84"/>
  <c r="X69" i="84"/>
  <c r="K74" i="84"/>
  <c r="K69" i="84"/>
  <c r="L39" i="84"/>
  <c r="L64" i="84"/>
  <c r="AH49" i="85" l="1"/>
  <c r="AH51" i="85" s="1"/>
  <c r="AH96" i="85"/>
  <c r="AH54" i="85"/>
  <c r="AH56" i="85" s="1"/>
  <c r="AH115" i="85"/>
  <c r="AH116" i="85"/>
  <c r="AH125" i="85"/>
  <c r="AH126" i="85"/>
  <c r="AH120" i="85"/>
  <c r="AH121" i="85"/>
  <c r="AH74" i="85"/>
  <c r="AH76" i="85" s="1"/>
  <c r="AH79" i="85"/>
  <c r="AH81" i="85" s="1"/>
  <c r="AH100" i="85"/>
  <c r="AH101" i="85"/>
  <c r="AH131" i="85"/>
  <c r="AH111" i="85"/>
  <c r="AH61" i="85"/>
  <c r="AH60" i="85"/>
  <c r="AH36" i="85"/>
  <c r="AH30" i="85"/>
  <c r="AF133" i="85"/>
  <c r="AL3" i="85" s="1"/>
  <c r="AH41" i="85"/>
  <c r="AH45" i="85"/>
  <c r="AH86" i="85"/>
  <c r="AH85" i="85"/>
  <c r="V133" i="85"/>
  <c r="AH75" i="85"/>
  <c r="AH5" i="85"/>
  <c r="AH6" i="85"/>
  <c r="AG133" i="85"/>
  <c r="AH71" i="85"/>
  <c r="AH70" i="85"/>
  <c r="AH11" i="85"/>
  <c r="AH10" i="85"/>
  <c r="AH65" i="85"/>
  <c r="AH66" i="85"/>
  <c r="AH25" i="85"/>
  <c r="AH26" i="85"/>
  <c r="AH91" i="85"/>
  <c r="AH90" i="85"/>
  <c r="AH106" i="85"/>
  <c r="AH105" i="85"/>
  <c r="AH16" i="85"/>
  <c r="AH15" i="85"/>
  <c r="H74" i="84"/>
  <c r="H69" i="84"/>
  <c r="H79" i="84"/>
  <c r="V79" i="84" s="1"/>
  <c r="AD79" i="84"/>
  <c r="D48" i="83" l="1"/>
  <c r="AH133" i="85"/>
  <c r="AH50" i="85"/>
  <c r="AH80" i="85"/>
  <c r="AH55" i="85"/>
  <c r="J79" i="84"/>
  <c r="AG79" i="84" s="1"/>
  <c r="AF79" i="84"/>
  <c r="Y44" i="84"/>
  <c r="Y39" i="84"/>
  <c r="Y34" i="84"/>
  <c r="Y59" i="81"/>
  <c r="Y44" i="81"/>
  <c r="Y39" i="81"/>
  <c r="Y14" i="81"/>
  <c r="M59" i="84"/>
  <c r="AL15" i="85" l="1"/>
  <c r="AM15" i="85" s="1"/>
  <c r="AJ49" i="85"/>
  <c r="AJ109" i="85"/>
  <c r="AJ9" i="85"/>
  <c r="AJ39" i="85"/>
  <c r="AJ44" i="85"/>
  <c r="AJ64" i="85"/>
  <c r="AJ89" i="85"/>
  <c r="AJ94" i="85"/>
  <c r="AJ54" i="85"/>
  <c r="AJ24" i="85"/>
  <c r="AJ124" i="85"/>
  <c r="AJ79" i="85"/>
  <c r="AJ84" i="85"/>
  <c r="AJ74" i="85"/>
  <c r="AJ19" i="85"/>
  <c r="AJ129" i="85"/>
  <c r="AJ29" i="85"/>
  <c r="AJ69" i="85"/>
  <c r="AJ119" i="85"/>
  <c r="AJ114" i="85"/>
  <c r="AJ99" i="85"/>
  <c r="AJ104" i="85"/>
  <c r="AJ4" i="85"/>
  <c r="AJ14" i="85"/>
  <c r="AJ34" i="85"/>
  <c r="AJ59" i="85"/>
  <c r="AH79" i="84"/>
  <c r="X24" i="84"/>
  <c r="X19" i="84"/>
  <c r="X9" i="84"/>
  <c r="AL31" i="85" l="1"/>
  <c r="AM31" i="85" s="1"/>
  <c r="AJ133" i="85"/>
  <c r="AI133" i="85"/>
  <c r="AM3" i="85" s="1"/>
  <c r="E48" i="83" s="1"/>
  <c r="AC49" i="84"/>
  <c r="Y49" i="84"/>
  <c r="F48" i="83" l="1"/>
  <c r="AM4" i="85"/>
  <c r="AC34" i="84"/>
  <c r="AC29" i="84" l="1"/>
  <c r="AC24" i="84"/>
  <c r="J14" i="84"/>
  <c r="AG14" i="84" s="1"/>
  <c r="AC9" i="84"/>
  <c r="AB128" i="84"/>
  <c r="AA128" i="84"/>
  <c r="Z128" i="84"/>
  <c r="AD124" i="84"/>
  <c r="AC124" i="84"/>
  <c r="Y124" i="84"/>
  <c r="V124" i="84"/>
  <c r="J124" i="84"/>
  <c r="AG124" i="84" s="1"/>
  <c r="AD119" i="84"/>
  <c r="AC119" i="84"/>
  <c r="Y119" i="84"/>
  <c r="V119" i="84"/>
  <c r="J119" i="84"/>
  <c r="AG119" i="84" s="1"/>
  <c r="AD114" i="84"/>
  <c r="AC114" i="84"/>
  <c r="Y114" i="84"/>
  <c r="V114" i="84"/>
  <c r="J114" i="84"/>
  <c r="AG114" i="84" s="1"/>
  <c r="AD109" i="84"/>
  <c r="AC109" i="84"/>
  <c r="Y109" i="84"/>
  <c r="V109" i="84"/>
  <c r="J109" i="84"/>
  <c r="AG109" i="84" s="1"/>
  <c r="AD104" i="84"/>
  <c r="AC104" i="84"/>
  <c r="Y104" i="84"/>
  <c r="V104" i="84"/>
  <c r="J104" i="84"/>
  <c r="AG104" i="84" s="1"/>
  <c r="AD99" i="84"/>
  <c r="AC99" i="84"/>
  <c r="Y99" i="84"/>
  <c r="V99" i="84"/>
  <c r="J99" i="84"/>
  <c r="AG99" i="84" s="1"/>
  <c r="AD94" i="84"/>
  <c r="AC94" i="84"/>
  <c r="Y94" i="84"/>
  <c r="H94" i="84"/>
  <c r="AD89" i="84"/>
  <c r="V89" i="84"/>
  <c r="J89" i="84"/>
  <c r="AG89" i="84" s="1"/>
  <c r="AD84" i="84"/>
  <c r="V84" i="84"/>
  <c r="J84" i="84"/>
  <c r="AG84" i="84" s="1"/>
  <c r="AD74" i="84"/>
  <c r="J74" i="84"/>
  <c r="V74" i="84"/>
  <c r="AD69" i="84"/>
  <c r="V69" i="84"/>
  <c r="J69" i="84"/>
  <c r="AD64" i="84"/>
  <c r="V64" i="84"/>
  <c r="J64" i="84"/>
  <c r="AG64" i="84" s="1"/>
  <c r="AD59" i="84"/>
  <c r="V59" i="84"/>
  <c r="J59" i="84"/>
  <c r="AG59" i="84" s="1"/>
  <c r="AD54" i="84"/>
  <c r="V54" i="84"/>
  <c r="J54" i="84"/>
  <c r="AD49" i="84"/>
  <c r="V49" i="84"/>
  <c r="J49" i="84"/>
  <c r="AD44" i="84"/>
  <c r="AC44" i="84"/>
  <c r="V44" i="84"/>
  <c r="J44" i="84"/>
  <c r="AG44" i="84" s="1"/>
  <c r="AD39" i="84"/>
  <c r="AC39" i="84"/>
  <c r="V39" i="84"/>
  <c r="J39" i="84"/>
  <c r="AG39" i="84" s="1"/>
  <c r="AD34" i="84"/>
  <c r="V34" i="84"/>
  <c r="J34" i="84"/>
  <c r="AG34" i="84" s="1"/>
  <c r="AD29" i="84"/>
  <c r="Y29" i="84"/>
  <c r="V29" i="84"/>
  <c r="J29" i="84"/>
  <c r="AG29" i="84" s="1"/>
  <c r="AL25" i="84"/>
  <c r="AD24" i="84"/>
  <c r="Y24" i="84"/>
  <c r="V24" i="84"/>
  <c r="J24" i="84"/>
  <c r="AG24" i="84" s="1"/>
  <c r="AD19" i="84"/>
  <c r="V19" i="84"/>
  <c r="J19" i="84"/>
  <c r="AG19" i="84" s="1"/>
  <c r="AL14" i="84"/>
  <c r="AD14" i="84"/>
  <c r="V14" i="84"/>
  <c r="AD9" i="84"/>
  <c r="Y9" i="84"/>
  <c r="J9" i="84"/>
  <c r="AG9" i="84" s="1"/>
  <c r="V9" i="84"/>
  <c r="AD4" i="84"/>
  <c r="V4" i="84"/>
  <c r="J4" i="84"/>
  <c r="AG4" i="84" s="1"/>
  <c r="AE49" i="81"/>
  <c r="AE59" i="81"/>
  <c r="AE54" i="81"/>
  <c r="AE44" i="81"/>
  <c r="X59" i="81"/>
  <c r="X44" i="81"/>
  <c r="X49" i="81"/>
  <c r="X54" i="81"/>
  <c r="AE39" i="81"/>
  <c r="X39" i="81"/>
  <c r="X29" i="81"/>
  <c r="X19" i="81"/>
  <c r="X34" i="81"/>
  <c r="X24" i="81"/>
  <c r="AL16" i="60"/>
  <c r="AL15" i="60"/>
  <c r="AL23" i="61"/>
  <c r="AL26" i="61" s="1"/>
  <c r="AL24" i="63"/>
  <c r="AL30" i="63" s="1"/>
  <c r="AL23" i="65"/>
  <c r="AL22" i="65"/>
  <c r="AL23" i="66"/>
  <c r="AL28" i="66" s="1"/>
  <c r="AL23" i="68"/>
  <c r="AL22" i="68"/>
  <c r="AL22" i="70"/>
  <c r="AL21" i="70"/>
  <c r="AL20" i="71"/>
  <c r="AL19" i="71"/>
  <c r="AL21" i="72"/>
  <c r="AL20" i="72"/>
  <c r="AD64" i="81"/>
  <c r="V64" i="81"/>
  <c r="J64" i="81"/>
  <c r="AG64" i="81" s="1"/>
  <c r="AD59" i="81"/>
  <c r="AC59" i="81"/>
  <c r="V59" i="81"/>
  <c r="J59" i="81"/>
  <c r="AD54" i="81"/>
  <c r="AC54" i="81"/>
  <c r="Y54" i="81"/>
  <c r="V54" i="81"/>
  <c r="J54" i="81"/>
  <c r="AD49" i="81"/>
  <c r="V49" i="81"/>
  <c r="J49" i="81"/>
  <c r="AD44" i="81"/>
  <c r="AC44" i="81"/>
  <c r="V44" i="81"/>
  <c r="J44" i="81"/>
  <c r="AD39" i="81"/>
  <c r="AC39" i="81"/>
  <c r="V39" i="81"/>
  <c r="J39" i="81"/>
  <c r="J34" i="79"/>
  <c r="AG34" i="79" s="1"/>
  <c r="V34" i="79"/>
  <c r="Y34" i="79"/>
  <c r="AC34" i="79"/>
  <c r="AD34" i="79"/>
  <c r="AL27" i="62"/>
  <c r="AL21" i="59"/>
  <c r="AL21" i="58"/>
  <c r="AL27" i="57"/>
  <c r="AL21" i="56"/>
  <c r="AL20" i="55"/>
  <c r="AL21" i="54"/>
  <c r="AL20" i="53"/>
  <c r="AL19" i="51"/>
  <c r="AL21" i="50"/>
  <c r="AL20" i="49"/>
  <c r="AL18" i="48"/>
  <c r="AL19" i="47"/>
  <c r="AL19" i="46"/>
  <c r="AL19" i="45"/>
  <c r="AL19" i="44"/>
  <c r="AL25" i="81"/>
  <c r="AL25" i="79"/>
  <c r="AL29" i="78"/>
  <c r="AL25" i="76"/>
  <c r="AL19" i="77"/>
  <c r="AL22" i="75"/>
  <c r="AL24" i="74"/>
  <c r="AL22" i="73"/>
  <c r="AL23" i="69"/>
  <c r="AL28" i="67"/>
  <c r="AL27" i="64"/>
  <c r="AL17" i="52"/>
  <c r="AL18" i="40"/>
  <c r="AL23" i="72" l="1"/>
  <c r="AL21" i="60"/>
  <c r="AF89" i="84"/>
  <c r="AL25" i="70"/>
  <c r="AI39" i="70" s="1"/>
  <c r="AF49" i="84"/>
  <c r="AI22" i="66"/>
  <c r="AI58" i="66"/>
  <c r="AI34" i="66"/>
  <c r="AI64" i="66"/>
  <c r="AI28" i="66"/>
  <c r="AI46" i="66"/>
  <c r="AI70" i="66"/>
  <c r="AI16" i="66"/>
  <c r="AI4" i="66"/>
  <c r="AI40" i="66"/>
  <c r="AI52" i="66"/>
  <c r="AI10" i="66"/>
  <c r="AI24" i="72"/>
  <c r="AI9" i="72"/>
  <c r="AI74" i="72"/>
  <c r="AI39" i="72"/>
  <c r="AI99" i="72"/>
  <c r="AI34" i="72"/>
  <c r="AI49" i="72"/>
  <c r="AI29" i="72"/>
  <c r="AI89" i="72"/>
  <c r="AI14" i="72"/>
  <c r="AI79" i="72"/>
  <c r="AI54" i="72"/>
  <c r="AI64" i="72"/>
  <c r="AI4" i="72"/>
  <c r="AI94" i="72"/>
  <c r="AI19" i="72"/>
  <c r="AI69" i="72"/>
  <c r="AI84" i="72"/>
  <c r="AI59" i="72"/>
  <c r="AI44" i="72"/>
  <c r="AI99" i="81"/>
  <c r="AI59" i="81"/>
  <c r="AI89" i="81"/>
  <c r="AI29" i="81"/>
  <c r="AI119" i="81"/>
  <c r="AI109" i="81"/>
  <c r="AI34" i="81"/>
  <c r="AI64" i="81"/>
  <c r="AI49" i="81"/>
  <c r="AI69" i="81"/>
  <c r="AI4" i="81"/>
  <c r="AI19" i="81"/>
  <c r="AI44" i="81"/>
  <c r="AI39" i="81"/>
  <c r="AI94" i="81"/>
  <c r="AI74" i="81"/>
  <c r="AI124" i="81"/>
  <c r="AI9" i="81"/>
  <c r="AI14" i="81"/>
  <c r="AI24" i="81"/>
  <c r="AI114" i="81"/>
  <c r="AI104" i="81"/>
  <c r="AI79" i="81"/>
  <c r="AI54" i="81"/>
  <c r="AI84" i="81"/>
  <c r="AI16" i="60"/>
  <c r="AI58" i="60"/>
  <c r="AI22" i="60"/>
  <c r="AI34" i="60"/>
  <c r="AI40" i="60"/>
  <c r="AI46" i="60"/>
  <c r="AI10" i="60"/>
  <c r="AI4" i="60"/>
  <c r="AI52" i="60"/>
  <c r="AI28" i="60"/>
  <c r="AL28" i="65"/>
  <c r="AI58" i="58"/>
  <c r="AI4" i="58"/>
  <c r="AI28" i="58"/>
  <c r="AI76" i="58"/>
  <c r="AI34" i="58"/>
  <c r="AI64" i="58"/>
  <c r="AI22" i="58"/>
  <c r="AI70" i="58"/>
  <c r="AI82" i="58"/>
  <c r="AI40" i="58"/>
  <c r="AI88" i="58"/>
  <c r="AI46" i="58"/>
  <c r="AI94" i="58"/>
  <c r="AI52" i="58"/>
  <c r="AI10" i="58"/>
  <c r="AI16" i="58"/>
  <c r="AI44" i="73"/>
  <c r="AI54" i="73"/>
  <c r="AI64" i="73"/>
  <c r="AI19" i="73"/>
  <c r="AI24" i="73"/>
  <c r="AI84" i="73"/>
  <c r="AI94" i="73"/>
  <c r="AI59" i="73"/>
  <c r="AI104" i="73"/>
  <c r="AI74" i="73"/>
  <c r="AI79" i="73"/>
  <c r="AI29" i="73"/>
  <c r="AI89" i="73"/>
  <c r="AI69" i="73"/>
  <c r="AI9" i="73"/>
  <c r="AI99" i="73"/>
  <c r="AI34" i="73"/>
  <c r="AI49" i="73"/>
  <c r="AI4" i="73"/>
  <c r="AI14" i="73"/>
  <c r="AI39" i="73"/>
  <c r="AI46" i="44"/>
  <c r="AI16" i="44"/>
  <c r="AI40" i="44"/>
  <c r="AI52" i="44"/>
  <c r="AI22" i="44"/>
  <c r="AI76" i="44"/>
  <c r="AI10" i="44"/>
  <c r="AI64" i="44"/>
  <c r="AI70" i="44"/>
  <c r="AI58" i="44"/>
  <c r="AI28" i="44"/>
  <c r="AI34" i="44"/>
  <c r="AI4" i="44"/>
  <c r="AI82" i="44"/>
  <c r="AI4" i="53"/>
  <c r="AI34" i="53"/>
  <c r="AI10" i="53"/>
  <c r="AI16" i="53"/>
  <c r="AI22" i="53"/>
  <c r="AI28" i="53"/>
  <c r="AI4" i="50"/>
  <c r="AI40" i="50"/>
  <c r="AI28" i="50"/>
  <c r="AI10" i="50"/>
  <c r="AI16" i="50"/>
  <c r="AI34" i="50"/>
  <c r="AI22" i="50"/>
  <c r="AI10" i="45"/>
  <c r="AI46" i="45"/>
  <c r="AI16" i="45"/>
  <c r="AI34" i="45"/>
  <c r="AI28" i="45"/>
  <c r="AI52" i="45"/>
  <c r="AI22" i="45"/>
  <c r="AI40" i="45"/>
  <c r="AI4" i="45"/>
  <c r="AI94" i="54"/>
  <c r="AI64" i="54"/>
  <c r="AI117" i="54"/>
  <c r="AI76" i="54"/>
  <c r="AI4" i="54"/>
  <c r="AI111" i="54"/>
  <c r="AI40" i="54"/>
  <c r="AI22" i="54"/>
  <c r="AI70" i="54"/>
  <c r="AI106" i="54"/>
  <c r="AI52" i="54"/>
  <c r="AI34" i="54"/>
  <c r="AI82" i="54"/>
  <c r="AI10" i="54"/>
  <c r="AI28" i="54"/>
  <c r="AI88" i="54"/>
  <c r="AI58" i="54"/>
  <c r="AI46" i="54"/>
  <c r="AI16" i="54"/>
  <c r="AI100" i="54"/>
  <c r="AI10" i="63"/>
  <c r="AI4" i="63"/>
  <c r="AI28" i="63"/>
  <c r="AI46" i="63"/>
  <c r="AI40" i="63"/>
  <c r="AI34" i="63"/>
  <c r="AI22" i="63"/>
  <c r="AI70" i="63"/>
  <c r="AI58" i="63"/>
  <c r="AI52" i="63"/>
  <c r="AI16" i="63"/>
  <c r="AI64" i="63"/>
  <c r="AI4" i="49"/>
  <c r="AI10" i="49"/>
  <c r="AI16" i="49"/>
  <c r="AI22" i="49"/>
  <c r="AI4" i="75"/>
  <c r="AI39" i="75"/>
  <c r="AI34" i="75"/>
  <c r="AI29" i="75"/>
  <c r="AI14" i="75"/>
  <c r="AI9" i="75"/>
  <c r="AI24" i="75"/>
  <c r="AI19" i="75"/>
  <c r="AF34" i="79"/>
  <c r="AH34" i="79" s="1"/>
  <c r="AI94" i="70"/>
  <c r="AI29" i="70"/>
  <c r="AI4" i="70"/>
  <c r="AI44" i="70"/>
  <c r="AI74" i="70"/>
  <c r="AI16" i="61"/>
  <c r="AI10" i="61"/>
  <c r="AI22" i="61"/>
  <c r="AI28" i="61"/>
  <c r="AI52" i="61"/>
  <c r="AI40" i="61"/>
  <c r="AI70" i="61"/>
  <c r="AI46" i="61"/>
  <c r="AI4" i="61"/>
  <c r="AI34" i="61"/>
  <c r="AI58" i="61"/>
  <c r="AI64" i="61"/>
  <c r="AF124" i="84"/>
  <c r="AH124" i="84" s="1"/>
  <c r="AH125" i="84" s="1"/>
  <c r="AI4" i="59"/>
  <c r="AI22" i="59"/>
  <c r="AI28" i="59"/>
  <c r="AI34" i="59"/>
  <c r="AI10" i="59"/>
  <c r="AI16" i="59"/>
  <c r="AI46" i="59"/>
  <c r="AI40" i="59"/>
  <c r="AI59" i="74"/>
  <c r="AI39" i="74"/>
  <c r="AI34" i="74"/>
  <c r="AI14" i="74"/>
  <c r="AI9" i="74"/>
  <c r="AI49" i="74"/>
  <c r="AI54" i="74"/>
  <c r="AI44" i="74"/>
  <c r="AI4" i="74"/>
  <c r="AI24" i="74"/>
  <c r="AI19" i="74"/>
  <c r="AI64" i="74"/>
  <c r="AI69" i="74"/>
  <c r="AI74" i="74"/>
  <c r="AI29" i="74"/>
  <c r="AI4" i="52"/>
  <c r="AI10" i="52"/>
  <c r="AI16" i="52"/>
  <c r="AI40" i="46"/>
  <c r="AI22" i="46"/>
  <c r="AI28" i="46"/>
  <c r="AI58" i="46"/>
  <c r="AI70" i="46"/>
  <c r="AI10" i="46"/>
  <c r="AI64" i="46"/>
  <c r="AI4" i="46"/>
  <c r="AI52" i="46"/>
  <c r="AI46" i="46"/>
  <c r="AI34" i="46"/>
  <c r="AI16" i="46"/>
  <c r="AI28" i="55"/>
  <c r="AI46" i="55"/>
  <c r="AI16" i="55"/>
  <c r="AI64" i="55"/>
  <c r="AI22" i="55"/>
  <c r="AI70" i="55"/>
  <c r="AI34" i="55"/>
  <c r="AI40" i="55"/>
  <c r="AI4" i="55"/>
  <c r="AI52" i="55"/>
  <c r="AI10" i="55"/>
  <c r="AI58" i="55"/>
  <c r="AI34" i="64"/>
  <c r="AI40" i="64"/>
  <c r="AI4" i="64"/>
  <c r="AI16" i="64"/>
  <c r="AI22" i="64"/>
  <c r="AI111" i="64"/>
  <c r="AI46" i="64"/>
  <c r="AI64" i="64"/>
  <c r="AI10" i="64"/>
  <c r="AI116" i="64"/>
  <c r="AI122" i="64"/>
  <c r="AI94" i="64"/>
  <c r="AI128" i="64"/>
  <c r="AI28" i="64"/>
  <c r="AI52" i="64"/>
  <c r="AI76" i="64"/>
  <c r="AI70" i="64"/>
  <c r="AI82" i="64"/>
  <c r="AI100" i="64"/>
  <c r="AI106" i="64"/>
  <c r="AI88" i="64"/>
  <c r="AI58" i="64"/>
  <c r="AI28" i="47"/>
  <c r="AI10" i="47"/>
  <c r="AI40" i="47"/>
  <c r="AI34" i="47"/>
  <c r="AI16" i="47"/>
  <c r="AI22" i="47"/>
  <c r="AI46" i="47"/>
  <c r="AI4" i="47"/>
  <c r="AI52" i="56"/>
  <c r="AI16" i="56"/>
  <c r="AI28" i="56"/>
  <c r="AI34" i="56"/>
  <c r="AI70" i="56"/>
  <c r="AI76" i="56"/>
  <c r="AI46" i="56"/>
  <c r="AI64" i="56"/>
  <c r="AI10" i="56"/>
  <c r="AI58" i="56"/>
  <c r="AI4" i="56"/>
  <c r="AI22" i="56"/>
  <c r="AI40" i="56"/>
  <c r="AI34" i="76"/>
  <c r="AI14" i="76"/>
  <c r="AI19" i="76"/>
  <c r="AI54" i="76"/>
  <c r="AI4" i="76"/>
  <c r="AI9" i="76"/>
  <c r="AI39" i="76"/>
  <c r="AI44" i="76"/>
  <c r="AI49" i="76"/>
  <c r="AI29" i="76"/>
  <c r="AI24" i="76"/>
  <c r="AI22" i="48"/>
  <c r="AI16" i="48"/>
  <c r="AI4" i="48"/>
  <c r="AI46" i="48"/>
  <c r="AI10" i="48"/>
  <c r="AI28" i="48"/>
  <c r="AI34" i="48"/>
  <c r="AI40" i="48"/>
  <c r="AI24" i="84"/>
  <c r="AI19" i="84"/>
  <c r="AI59" i="84"/>
  <c r="AI69" i="84"/>
  <c r="AI4" i="84"/>
  <c r="AI49" i="84"/>
  <c r="AI54" i="84"/>
  <c r="AI109" i="84"/>
  <c r="AI44" i="84"/>
  <c r="AI84" i="84"/>
  <c r="AI74" i="84"/>
  <c r="AI104" i="84"/>
  <c r="AI124" i="84"/>
  <c r="AI114" i="84"/>
  <c r="AI79" i="84"/>
  <c r="AI99" i="84"/>
  <c r="AI39" i="84"/>
  <c r="AI64" i="84"/>
  <c r="AI9" i="84"/>
  <c r="AI14" i="84"/>
  <c r="AI94" i="84"/>
  <c r="AI89" i="84"/>
  <c r="AI29" i="84"/>
  <c r="AI119" i="84"/>
  <c r="AI34" i="84"/>
  <c r="AI9" i="77"/>
  <c r="AI14" i="77"/>
  <c r="AI19" i="77"/>
  <c r="AI44" i="77"/>
  <c r="AI24" i="77"/>
  <c r="AI29" i="77"/>
  <c r="AI4" i="77"/>
  <c r="AI34" i="77"/>
  <c r="AI39" i="77"/>
  <c r="AI4" i="69"/>
  <c r="AI49" i="69"/>
  <c r="AI34" i="69"/>
  <c r="AI29" i="69"/>
  <c r="AI24" i="69"/>
  <c r="AI19" i="69"/>
  <c r="AI14" i="69"/>
  <c r="AI9" i="69"/>
  <c r="AI59" i="69"/>
  <c r="AI39" i="69"/>
  <c r="AI44" i="69"/>
  <c r="AI54" i="69"/>
  <c r="AI76" i="67"/>
  <c r="AI28" i="67"/>
  <c r="AI70" i="67"/>
  <c r="AI22" i="67"/>
  <c r="AI64" i="67"/>
  <c r="AI16" i="67"/>
  <c r="AI58" i="67"/>
  <c r="AI10" i="67"/>
  <c r="AI52" i="67"/>
  <c r="AI4" i="67"/>
  <c r="AI46" i="67"/>
  <c r="AI40" i="67"/>
  <c r="AI34" i="67"/>
  <c r="AI122" i="62"/>
  <c r="AI76" i="62"/>
  <c r="AI28" i="62"/>
  <c r="AI116" i="62"/>
  <c r="AI70" i="62"/>
  <c r="AI22" i="62"/>
  <c r="AI111" i="62"/>
  <c r="AI106" i="62"/>
  <c r="AI58" i="62"/>
  <c r="AI10" i="62"/>
  <c r="AI40" i="62"/>
  <c r="AI82" i="62"/>
  <c r="AI16" i="62"/>
  <c r="AI100" i="62"/>
  <c r="AI52" i="62"/>
  <c r="AI4" i="62"/>
  <c r="AI88" i="62"/>
  <c r="AI128" i="62"/>
  <c r="AI64" i="62"/>
  <c r="AI94" i="62"/>
  <c r="AI46" i="62"/>
  <c r="AI134" i="62"/>
  <c r="AI34" i="62"/>
  <c r="AI10" i="57"/>
  <c r="AI16" i="57"/>
  <c r="AI28" i="57"/>
  <c r="AI22" i="57"/>
  <c r="AI4" i="57"/>
  <c r="AI34" i="57"/>
  <c r="AI52" i="57"/>
  <c r="AI40" i="57"/>
  <c r="AI46" i="57"/>
  <c r="AI10" i="51"/>
  <c r="AI4" i="51"/>
  <c r="AI16" i="51"/>
  <c r="AI28" i="51"/>
  <c r="AI22" i="51"/>
  <c r="AI4" i="40"/>
  <c r="AI40" i="40"/>
  <c r="AI10" i="40"/>
  <c r="AI34" i="40"/>
  <c r="AI28" i="40"/>
  <c r="AI22" i="40"/>
  <c r="AI16" i="40"/>
  <c r="AL23" i="71"/>
  <c r="AL27" i="68"/>
  <c r="AF114" i="84"/>
  <c r="AH114" i="84" s="1"/>
  <c r="AF119" i="84"/>
  <c r="AH119" i="84" s="1"/>
  <c r="J94" i="84"/>
  <c r="AG94" i="84" s="1"/>
  <c r="V94" i="84"/>
  <c r="AF94" i="84" s="1"/>
  <c r="AF99" i="84"/>
  <c r="AH99" i="84" s="1"/>
  <c r="AF39" i="81"/>
  <c r="AF59" i="81"/>
  <c r="AH89" i="84"/>
  <c r="AH91" i="84" s="1"/>
  <c r="AF104" i="84"/>
  <c r="AH104" i="84" s="1"/>
  <c r="AF109" i="84"/>
  <c r="AH109" i="84" s="1"/>
  <c r="AH111" i="84" s="1"/>
  <c r="AF84" i="84"/>
  <c r="AH84" i="84" s="1"/>
  <c r="AF74" i="84"/>
  <c r="AG74" i="84"/>
  <c r="AF69" i="84"/>
  <c r="AF64" i="84"/>
  <c r="AH64" i="84" s="1"/>
  <c r="AH65" i="84" s="1"/>
  <c r="AG54" i="84"/>
  <c r="AF39" i="84"/>
  <c r="AH39" i="84" s="1"/>
  <c r="AF24" i="84"/>
  <c r="AH24" i="84" s="1"/>
  <c r="AH25" i="84" s="1"/>
  <c r="AF19" i="84"/>
  <c r="AH19" i="84" s="1"/>
  <c r="AH20" i="84" s="1"/>
  <c r="AF14" i="84"/>
  <c r="AH14" i="84" s="1"/>
  <c r="AH15" i="84" s="1"/>
  <c r="AG49" i="84"/>
  <c r="AH49" i="84" s="1"/>
  <c r="AH51" i="84" s="1"/>
  <c r="AF9" i="84"/>
  <c r="AH9" i="84" s="1"/>
  <c r="AF29" i="84"/>
  <c r="AH29" i="84" s="1"/>
  <c r="AF34" i="84"/>
  <c r="AH34" i="84" s="1"/>
  <c r="AC128" i="84"/>
  <c r="AF44" i="84"/>
  <c r="AH44" i="84" s="1"/>
  <c r="AE128" i="84"/>
  <c r="AF54" i="84"/>
  <c r="AD128" i="84"/>
  <c r="AF59" i="84"/>
  <c r="AH59" i="84" s="1"/>
  <c r="Y128" i="84"/>
  <c r="AG69" i="84"/>
  <c r="AH81" i="84"/>
  <c r="AH80" i="84"/>
  <c r="AF4" i="84"/>
  <c r="AG59" i="81"/>
  <c r="AG54" i="81"/>
  <c r="AG49" i="81"/>
  <c r="AG44" i="81"/>
  <c r="AG39" i="81"/>
  <c r="AF49" i="81"/>
  <c r="AF54" i="81"/>
  <c r="AF64" i="81"/>
  <c r="AH64" i="81" s="1"/>
  <c r="AF44" i="81"/>
  <c r="Z75" i="66"/>
  <c r="AA75" i="66"/>
  <c r="AB75" i="66"/>
  <c r="AE75" i="66"/>
  <c r="AI84" i="70" l="1"/>
  <c r="AI59" i="70"/>
  <c r="AI69" i="70"/>
  <c r="AI34" i="70"/>
  <c r="AI64" i="70"/>
  <c r="AI24" i="70"/>
  <c r="AI14" i="70"/>
  <c r="AI89" i="70"/>
  <c r="AI49" i="70"/>
  <c r="AI9" i="70"/>
  <c r="AI54" i="70"/>
  <c r="AI19" i="70"/>
  <c r="AI79" i="70"/>
  <c r="AH126" i="84"/>
  <c r="AI52" i="65"/>
  <c r="AI64" i="65"/>
  <c r="AI22" i="65"/>
  <c r="AI58" i="65"/>
  <c r="AI76" i="65"/>
  <c r="AI40" i="65"/>
  <c r="AI34" i="65"/>
  <c r="AI70" i="65"/>
  <c r="AI82" i="65"/>
  <c r="AI10" i="65"/>
  <c r="AI16" i="65"/>
  <c r="AI4" i="65"/>
  <c r="AI28" i="65"/>
  <c r="AI46" i="65"/>
  <c r="AI40" i="68"/>
  <c r="AI88" i="68"/>
  <c r="AI46" i="68"/>
  <c r="AI111" i="68"/>
  <c r="AI16" i="68"/>
  <c r="AI64" i="68"/>
  <c r="AI22" i="68"/>
  <c r="AI28" i="68"/>
  <c r="AI34" i="68"/>
  <c r="AI70" i="68"/>
  <c r="AI76" i="68"/>
  <c r="AI82" i="68"/>
  <c r="AI94" i="68"/>
  <c r="AI4" i="68"/>
  <c r="AI10" i="68"/>
  <c r="AI52" i="68"/>
  <c r="AI58" i="68"/>
  <c r="AI106" i="68"/>
  <c r="AI100" i="68"/>
  <c r="AH59" i="81"/>
  <c r="AI64" i="71"/>
  <c r="AI54" i="71"/>
  <c r="AI14" i="71"/>
  <c r="AI24" i="71"/>
  <c r="AI29" i="71"/>
  <c r="AI34" i="71"/>
  <c r="AI69" i="71"/>
  <c r="AI39" i="71"/>
  <c r="AI74" i="71"/>
  <c r="AI79" i="71"/>
  <c r="AI84" i="71"/>
  <c r="AI9" i="71"/>
  <c r="AI19" i="71"/>
  <c r="AI4" i="71"/>
  <c r="AI44" i="71"/>
  <c r="AI49" i="71"/>
  <c r="AI59" i="71"/>
  <c r="AH106" i="84"/>
  <c r="AH105" i="84"/>
  <c r="AH94" i="84"/>
  <c r="AH96" i="84" s="1"/>
  <c r="V128" i="84"/>
  <c r="AH101" i="84"/>
  <c r="AH100" i="84"/>
  <c r="AH121" i="84"/>
  <c r="AH120" i="84"/>
  <c r="AH116" i="84"/>
  <c r="AH115" i="84"/>
  <c r="AH90" i="84"/>
  <c r="AH44" i="81"/>
  <c r="AH110" i="84"/>
  <c r="AH39" i="81"/>
  <c r="AH41" i="84"/>
  <c r="AH86" i="84"/>
  <c r="AH85" i="84"/>
  <c r="AH74" i="84"/>
  <c r="AH76" i="84" s="1"/>
  <c r="AH69" i="84"/>
  <c r="AH70" i="84" s="1"/>
  <c r="AH54" i="84"/>
  <c r="AH55" i="84" s="1"/>
  <c r="AH49" i="81"/>
  <c r="AH66" i="84"/>
  <c r="AG128" i="84"/>
  <c r="AH40" i="84"/>
  <c r="AH16" i="84"/>
  <c r="AH21" i="84"/>
  <c r="AH26" i="84"/>
  <c r="AH35" i="84"/>
  <c r="AH36" i="84"/>
  <c r="AH45" i="84"/>
  <c r="AH46" i="84"/>
  <c r="AH50" i="84"/>
  <c r="AF128" i="84"/>
  <c r="AL3" i="84" s="1"/>
  <c r="AH4" i="84"/>
  <c r="AH31" i="84"/>
  <c r="AH30" i="84"/>
  <c r="AH61" i="84"/>
  <c r="AH60" i="84"/>
  <c r="AH11" i="84"/>
  <c r="AH10" i="84"/>
  <c r="AH54" i="81"/>
  <c r="H9" i="81"/>
  <c r="J9" i="81" s="1"/>
  <c r="H4" i="81"/>
  <c r="AH95" i="84" l="1"/>
  <c r="D47" i="83"/>
  <c r="AL31" i="84"/>
  <c r="AL35" i="84" s="1"/>
  <c r="AL30" i="84"/>
  <c r="AL33" i="84" s="1"/>
  <c r="AL34" i="84" s="1"/>
  <c r="AH128" i="84"/>
  <c r="AH75" i="84"/>
  <c r="AH71" i="84"/>
  <c r="AH56" i="84"/>
  <c r="AH6" i="84"/>
  <c r="AH5" i="84"/>
  <c r="AC9" i="81"/>
  <c r="AC14" i="81"/>
  <c r="J19" i="81"/>
  <c r="AG19" i="81" s="1"/>
  <c r="J14" i="81"/>
  <c r="AG14" i="81" s="1"/>
  <c r="J4" i="81"/>
  <c r="AG4" i="81" s="1"/>
  <c r="AB128" i="81"/>
  <c r="AA128" i="81"/>
  <c r="Z128" i="81"/>
  <c r="AD124" i="81"/>
  <c r="AC124" i="81"/>
  <c r="Y124" i="81"/>
  <c r="V124" i="81"/>
  <c r="J124" i="81"/>
  <c r="AG124" i="81" s="1"/>
  <c r="AD119" i="81"/>
  <c r="AC119" i="81"/>
  <c r="Y119" i="81"/>
  <c r="V119" i="81"/>
  <c r="J119" i="81"/>
  <c r="AG119" i="81" s="1"/>
  <c r="AD114" i="81"/>
  <c r="AC114" i="81"/>
  <c r="Y114" i="81"/>
  <c r="V114" i="81"/>
  <c r="J114" i="81"/>
  <c r="AG114" i="81" s="1"/>
  <c r="AD109" i="81"/>
  <c r="AC109" i="81"/>
  <c r="Y109" i="81"/>
  <c r="V109" i="81"/>
  <c r="J109" i="81"/>
  <c r="AG109" i="81" s="1"/>
  <c r="AD104" i="81"/>
  <c r="AC104" i="81"/>
  <c r="Y104" i="81"/>
  <c r="V104" i="81"/>
  <c r="J104" i="81"/>
  <c r="AG104" i="81" s="1"/>
  <c r="AD99" i="81"/>
  <c r="AC99" i="81"/>
  <c r="Y99" i="81"/>
  <c r="V99" i="81"/>
  <c r="J99" i="81"/>
  <c r="AG99" i="81" s="1"/>
  <c r="AD94" i="81"/>
  <c r="AC94" i="81"/>
  <c r="Y94" i="81"/>
  <c r="H94" i="81"/>
  <c r="J94" i="81" s="1"/>
  <c r="AG94" i="81" s="1"/>
  <c r="AD89" i="81"/>
  <c r="V89" i="81"/>
  <c r="J89" i="81"/>
  <c r="AG89" i="81" s="1"/>
  <c r="AD84" i="81"/>
  <c r="V84" i="81"/>
  <c r="J84" i="81"/>
  <c r="AG84" i="81" s="1"/>
  <c r="AD79" i="81"/>
  <c r="Y79" i="81"/>
  <c r="H79" i="81"/>
  <c r="V79" i="81" s="1"/>
  <c r="AD74" i="81"/>
  <c r="Y74" i="81"/>
  <c r="X74" i="81"/>
  <c r="AE74" i="81" s="1"/>
  <c r="H74" i="81"/>
  <c r="AD69" i="81"/>
  <c r="AC69" i="81"/>
  <c r="Y69" i="81"/>
  <c r="X69" i="81"/>
  <c r="AE69" i="81" s="1"/>
  <c r="H69" i="81"/>
  <c r="V69" i="81" s="1"/>
  <c r="AD34" i="81"/>
  <c r="V34" i="81"/>
  <c r="J34" i="81"/>
  <c r="AG34" i="81" s="1"/>
  <c r="AD29" i="81"/>
  <c r="AC29" i="81"/>
  <c r="J29" i="81"/>
  <c r="AG29" i="81" s="1"/>
  <c r="AD24" i="81"/>
  <c r="AC24" i="81"/>
  <c r="V24" i="81"/>
  <c r="AD19" i="81"/>
  <c r="V19" i="81"/>
  <c r="AL14" i="81"/>
  <c r="AD14" i="81"/>
  <c r="V14" i="81"/>
  <c r="AD9" i="81"/>
  <c r="V9" i="81"/>
  <c r="AG9" i="81"/>
  <c r="AD4" i="81"/>
  <c r="V4" i="81"/>
  <c r="AF119" i="81" l="1"/>
  <c r="AH119" i="81" s="1"/>
  <c r="AH121" i="81" s="1"/>
  <c r="AL15" i="84"/>
  <c r="AL28" i="84" s="1"/>
  <c r="AM28" i="84" s="1"/>
  <c r="AJ4" i="84"/>
  <c r="AJ79" i="84"/>
  <c r="AJ124" i="84"/>
  <c r="AJ89" i="84"/>
  <c r="AJ84" i="84"/>
  <c r="AJ34" i="84"/>
  <c r="AJ24" i="84"/>
  <c r="AJ119" i="84"/>
  <c r="AJ74" i="84"/>
  <c r="AJ104" i="84"/>
  <c r="AJ54" i="84"/>
  <c r="AJ109" i="84"/>
  <c r="AJ14" i="84"/>
  <c r="AJ19" i="84"/>
  <c r="AJ64" i="84"/>
  <c r="AJ49" i="84"/>
  <c r="AJ114" i="84"/>
  <c r="AJ94" i="84"/>
  <c r="AJ39" i="84"/>
  <c r="AJ44" i="84"/>
  <c r="AJ99" i="84"/>
  <c r="AJ59" i="84"/>
  <c r="AJ69" i="84"/>
  <c r="AJ9" i="84"/>
  <c r="AJ29" i="84"/>
  <c r="AF84" i="81"/>
  <c r="AH84" i="81" s="1"/>
  <c r="AF69" i="81"/>
  <c r="AF79" i="81"/>
  <c r="AF124" i="81"/>
  <c r="AE128" i="81"/>
  <c r="AF114" i="81"/>
  <c r="AH114" i="81" s="1"/>
  <c r="AF34" i="81"/>
  <c r="AH34" i="81" s="1"/>
  <c r="V29" i="81"/>
  <c r="AF29" i="81" s="1"/>
  <c r="AH29" i="81" s="1"/>
  <c r="AF104" i="81"/>
  <c r="AH104" i="81" s="1"/>
  <c r="J79" i="81"/>
  <c r="AG79" i="81" s="1"/>
  <c r="AF89" i="81"/>
  <c r="AH89" i="81" s="1"/>
  <c r="AF109" i="81"/>
  <c r="AH109" i="81" s="1"/>
  <c r="AF99" i="81"/>
  <c r="AH99" i="81" s="1"/>
  <c r="J24" i="81"/>
  <c r="AG24" i="81" s="1"/>
  <c r="AC128" i="81"/>
  <c r="AF9" i="81"/>
  <c r="AF24" i="81"/>
  <c r="AF14" i="81"/>
  <c r="AH14" i="81" s="1"/>
  <c r="AD128" i="81"/>
  <c r="Y128" i="81"/>
  <c r="J74" i="81"/>
  <c r="AG74" i="81" s="1"/>
  <c r="V94" i="81"/>
  <c r="AF94" i="81" s="1"/>
  <c r="AH94" i="81" s="1"/>
  <c r="AF19" i="81"/>
  <c r="AH19" i="81" s="1"/>
  <c r="AH21" i="81" s="1"/>
  <c r="V74" i="81"/>
  <c r="AF74" i="81" s="1"/>
  <c r="AF4" i="81"/>
  <c r="AH4" i="81" s="1"/>
  <c r="J69" i="81"/>
  <c r="AG69" i="81" s="1"/>
  <c r="AH69" i="81" s="1"/>
  <c r="AM15" i="84" l="1"/>
  <c r="AH24" i="81"/>
  <c r="AH26" i="81" s="1"/>
  <c r="AJ128" i="84"/>
  <c r="AI128" i="84"/>
  <c r="AM3" i="84" s="1"/>
  <c r="E47" i="83" s="1"/>
  <c r="F47" i="83" s="1"/>
  <c r="AH74" i="81"/>
  <c r="AH75" i="81" s="1"/>
  <c r="AH79" i="81"/>
  <c r="AH80" i="81" s="1"/>
  <c r="AH124" i="81"/>
  <c r="AH126" i="81" s="1"/>
  <c r="AH9" i="81"/>
  <c r="AH11" i="81" s="1"/>
  <c r="AH55" i="81"/>
  <c r="AH120" i="81"/>
  <c r="AH45" i="81"/>
  <c r="AH65" i="81"/>
  <c r="AH90" i="81"/>
  <c r="AH91" i="81"/>
  <c r="AH111" i="81"/>
  <c r="AH110" i="81"/>
  <c r="AH41" i="81"/>
  <c r="AH40" i="81"/>
  <c r="AH101" i="81"/>
  <c r="AH100" i="81"/>
  <c r="AH60" i="81"/>
  <c r="AH31" i="81"/>
  <c r="AH30" i="81"/>
  <c r="AH15" i="81"/>
  <c r="AH16" i="81"/>
  <c r="AF128" i="81"/>
  <c r="AL3" i="81" s="1"/>
  <c r="AH66" i="81"/>
  <c r="AH20" i="81"/>
  <c r="AH95" i="81"/>
  <c r="AH96" i="81"/>
  <c r="AH86" i="81"/>
  <c r="AH85" i="81"/>
  <c r="AH115" i="81"/>
  <c r="AH116" i="81"/>
  <c r="AH35" i="81"/>
  <c r="AH36" i="81"/>
  <c r="AG128" i="81"/>
  <c r="AH71" i="81"/>
  <c r="AH70" i="81"/>
  <c r="AH106" i="81"/>
  <c r="AH105" i="81"/>
  <c r="V128" i="81"/>
  <c r="AE19" i="79"/>
  <c r="X19" i="79"/>
  <c r="K19" i="79"/>
  <c r="K24" i="79"/>
  <c r="Y89" i="78"/>
  <c r="Y54" i="78"/>
  <c r="Y39" i="78"/>
  <c r="Y24" i="78"/>
  <c r="D46" i="83" l="1"/>
  <c r="AH81" i="81"/>
  <c r="AM4" i="84"/>
  <c r="AH10" i="81"/>
  <c r="AH128" i="81"/>
  <c r="AH125" i="81"/>
  <c r="AH46" i="81"/>
  <c r="AH61" i="81"/>
  <c r="AH76" i="81"/>
  <c r="AH50" i="81"/>
  <c r="AH51" i="81"/>
  <c r="AH56" i="81"/>
  <c r="AH25" i="81"/>
  <c r="AH5" i="81"/>
  <c r="AL15" i="81"/>
  <c r="AH6" i="81"/>
  <c r="F29" i="79"/>
  <c r="F24" i="79"/>
  <c r="G128" i="79"/>
  <c r="AB128" i="79"/>
  <c r="AA128" i="79"/>
  <c r="Z128" i="79"/>
  <c r="W104" i="78"/>
  <c r="AB104" i="78"/>
  <c r="AA104" i="78"/>
  <c r="Y24" i="79"/>
  <c r="AC29" i="79" l="1"/>
  <c r="F128" i="79"/>
  <c r="AI24" i="79" s="1"/>
  <c r="AJ14" i="81"/>
  <c r="AM15" i="81"/>
  <c r="AL28" i="81"/>
  <c r="AM28" i="81" s="1"/>
  <c r="AJ39" i="81"/>
  <c r="AJ74" i="81"/>
  <c r="AJ19" i="81"/>
  <c r="AJ24" i="81"/>
  <c r="AJ99" i="81"/>
  <c r="AJ104" i="81"/>
  <c r="AJ49" i="81"/>
  <c r="AJ29" i="81"/>
  <c r="AJ119" i="81"/>
  <c r="AJ89" i="81"/>
  <c r="AJ64" i="81"/>
  <c r="AJ84" i="81"/>
  <c r="AJ94" i="81"/>
  <c r="AJ124" i="81"/>
  <c r="AJ114" i="81"/>
  <c r="AJ34" i="81"/>
  <c r="AJ9" i="81"/>
  <c r="AJ69" i="81"/>
  <c r="AJ109" i="81"/>
  <c r="AJ59" i="81"/>
  <c r="AJ44" i="81"/>
  <c r="AJ79" i="81"/>
  <c r="AJ54" i="81"/>
  <c r="AJ4" i="81"/>
  <c r="H29" i="79"/>
  <c r="V29" i="79" s="1"/>
  <c r="Y29" i="79"/>
  <c r="X24" i="79"/>
  <c r="AE24" i="79"/>
  <c r="H24" i="79"/>
  <c r="AD29" i="79"/>
  <c r="Y19" i="79"/>
  <c r="AI124" i="79" l="1"/>
  <c r="AI89" i="79"/>
  <c r="AI59" i="79"/>
  <c r="AI49" i="79"/>
  <c r="AI19" i="79"/>
  <c r="AI14" i="79"/>
  <c r="AI9" i="79"/>
  <c r="AI99" i="79"/>
  <c r="AI104" i="79"/>
  <c r="AI79" i="79"/>
  <c r="AI69" i="79"/>
  <c r="AI119" i="79"/>
  <c r="AI44" i="79"/>
  <c r="AI4" i="79"/>
  <c r="AI109" i="79"/>
  <c r="AI54" i="79"/>
  <c r="AI34" i="79"/>
  <c r="AI84" i="79"/>
  <c r="AI94" i="79"/>
  <c r="AI74" i="79"/>
  <c r="AI114" i="79"/>
  <c r="AI64" i="79"/>
  <c r="AI39" i="79"/>
  <c r="AI29" i="79"/>
  <c r="AJ128" i="81"/>
  <c r="AI128" i="81"/>
  <c r="AM3" i="81" s="1"/>
  <c r="E46" i="83" s="1"/>
  <c r="F46" i="83" s="1"/>
  <c r="AF29" i="79"/>
  <c r="J29" i="79"/>
  <c r="AG29" i="79" s="1"/>
  <c r="Y99" i="78"/>
  <c r="AH29" i="79" l="1"/>
  <c r="AH31" i="79" s="1"/>
  <c r="AM4" i="81"/>
  <c r="AE94" i="78"/>
  <c r="X94" i="78"/>
  <c r="AD124" i="79" l="1"/>
  <c r="AC124" i="79"/>
  <c r="Y124" i="79"/>
  <c r="V124" i="79"/>
  <c r="J124" i="79"/>
  <c r="AG124" i="79" s="1"/>
  <c r="AD119" i="79"/>
  <c r="AC119" i="79"/>
  <c r="Y119" i="79"/>
  <c r="V119" i="79"/>
  <c r="J119" i="79"/>
  <c r="AG119" i="79" s="1"/>
  <c r="AD114" i="79"/>
  <c r="AC114" i="79"/>
  <c r="Y114" i="79"/>
  <c r="V114" i="79"/>
  <c r="J114" i="79"/>
  <c r="AG114" i="79" s="1"/>
  <c r="AD109" i="79"/>
  <c r="AC109" i="79"/>
  <c r="Y109" i="79"/>
  <c r="V109" i="79"/>
  <c r="J109" i="79"/>
  <c r="AG109" i="79" s="1"/>
  <c r="AD104" i="79"/>
  <c r="AC104" i="79"/>
  <c r="Y104" i="79"/>
  <c r="V104" i="79"/>
  <c r="J104" i="79"/>
  <c r="AG104" i="79" s="1"/>
  <c r="AD99" i="79"/>
  <c r="AC99" i="79"/>
  <c r="Y99" i="79"/>
  <c r="V99" i="79"/>
  <c r="J99" i="79"/>
  <c r="AG99" i="79" s="1"/>
  <c r="AD94" i="79"/>
  <c r="H94" i="79"/>
  <c r="AD89" i="79"/>
  <c r="V89" i="79"/>
  <c r="J89" i="79"/>
  <c r="AG89" i="79" s="1"/>
  <c r="AD84" i="79"/>
  <c r="V84" i="79"/>
  <c r="J84" i="79"/>
  <c r="AG84" i="79" s="1"/>
  <c r="AD79" i="79"/>
  <c r="Y79" i="79"/>
  <c r="H79" i="79"/>
  <c r="J79" i="79" s="1"/>
  <c r="AD74" i="79"/>
  <c r="X74" i="79"/>
  <c r="AE74" i="79" s="1"/>
  <c r="Y74" i="79"/>
  <c r="AD69" i="79"/>
  <c r="AC69" i="79"/>
  <c r="Y69" i="79"/>
  <c r="X69" i="79"/>
  <c r="AE69" i="79" s="1"/>
  <c r="H69" i="79"/>
  <c r="V69" i="79" s="1"/>
  <c r="H64" i="79"/>
  <c r="AD64" i="79"/>
  <c r="AD59" i="79"/>
  <c r="Y59" i="79"/>
  <c r="H59" i="79"/>
  <c r="J59" i="79" s="1"/>
  <c r="AG59" i="79" s="1"/>
  <c r="AE54" i="79"/>
  <c r="AD54" i="79"/>
  <c r="Y54" i="79"/>
  <c r="AC49" i="79"/>
  <c r="Y49" i="79"/>
  <c r="X49" i="79"/>
  <c r="V49" i="79"/>
  <c r="AE49" i="79"/>
  <c r="AD44" i="79"/>
  <c r="AC44" i="79"/>
  <c r="Y44" i="79"/>
  <c r="H44" i="79"/>
  <c r="AE44" i="79"/>
  <c r="AD39" i="79"/>
  <c r="AC39" i="79"/>
  <c r="Y39" i="79"/>
  <c r="V39" i="79"/>
  <c r="J39" i="79"/>
  <c r="AG39" i="79" s="1"/>
  <c r="AD24" i="79"/>
  <c r="AC24" i="79"/>
  <c r="V24" i="79"/>
  <c r="J24" i="79"/>
  <c r="V19" i="79"/>
  <c r="J19" i="79"/>
  <c r="AG19" i="79" s="1"/>
  <c r="AL14" i="79"/>
  <c r="AD14" i="79"/>
  <c r="Y14" i="79"/>
  <c r="V14" i="79"/>
  <c r="J14" i="79"/>
  <c r="AG14" i="79" s="1"/>
  <c r="AD9" i="79"/>
  <c r="Y9" i="79"/>
  <c r="J9" i="79"/>
  <c r="V4" i="79"/>
  <c r="J4" i="79"/>
  <c r="AG4" i="79" s="1"/>
  <c r="AD4" i="79"/>
  <c r="AE128" i="79" l="1"/>
  <c r="AF84" i="79"/>
  <c r="AH84" i="79" s="1"/>
  <c r="AF119" i="79"/>
  <c r="AH119" i="79" s="1"/>
  <c r="AF69" i="79"/>
  <c r="AF114" i="79"/>
  <c r="AH114" i="79" s="1"/>
  <c r="AF99" i="79"/>
  <c r="AH99" i="79" s="1"/>
  <c r="AF124" i="79"/>
  <c r="AH124" i="79" s="1"/>
  <c r="AF104" i="79"/>
  <c r="AH104" i="79" s="1"/>
  <c r="AF109" i="79"/>
  <c r="AH109" i="79" s="1"/>
  <c r="AF39" i="79"/>
  <c r="AH35" i="79"/>
  <c r="AF14" i="79"/>
  <c r="AF24" i="79"/>
  <c r="AG24" i="79"/>
  <c r="AH30" i="79"/>
  <c r="V59" i="79"/>
  <c r="AF59" i="79" s="1"/>
  <c r="AH59" i="79" s="1"/>
  <c r="J69" i="79"/>
  <c r="AG69" i="79" s="1"/>
  <c r="AF89" i="79"/>
  <c r="AF4" i="79"/>
  <c r="AH4" i="79" s="1"/>
  <c r="V94" i="79"/>
  <c r="J94" i="79"/>
  <c r="AG94" i="79" s="1"/>
  <c r="V79" i="79"/>
  <c r="AF79" i="79" s="1"/>
  <c r="J64" i="79"/>
  <c r="AG64" i="79" s="1"/>
  <c r="H74" i="79"/>
  <c r="AD19" i="79"/>
  <c r="AF19" i="79" s="1"/>
  <c r="AH19" i="79" s="1"/>
  <c r="AD49" i="79"/>
  <c r="H54" i="79"/>
  <c r="V64" i="79"/>
  <c r="V44" i="79"/>
  <c r="AF44" i="79" s="1"/>
  <c r="V9" i="79"/>
  <c r="AF9" i="79" s="1"/>
  <c r="Y64" i="79"/>
  <c r="AG9" i="79"/>
  <c r="AG79" i="79"/>
  <c r="AC64" i="79"/>
  <c r="Y94" i="79"/>
  <c r="J49" i="79"/>
  <c r="AG49" i="79" s="1"/>
  <c r="AC94" i="79"/>
  <c r="J44" i="79"/>
  <c r="AG44" i="79" s="1"/>
  <c r="AH69" i="79" l="1"/>
  <c r="AH24" i="79"/>
  <c r="AH25" i="79" s="1"/>
  <c r="AH79" i="79"/>
  <c r="AH9" i="79"/>
  <c r="AH10" i="79" s="1"/>
  <c r="AH85" i="79"/>
  <c r="AH39" i="79"/>
  <c r="AH40" i="79" s="1"/>
  <c r="Y128" i="79"/>
  <c r="AH44" i="79"/>
  <c r="AH45" i="79" s="1"/>
  <c r="AH89" i="79"/>
  <c r="AH91" i="79" s="1"/>
  <c r="AH14" i="79"/>
  <c r="AH121" i="79"/>
  <c r="AH126" i="79"/>
  <c r="AD128" i="79"/>
  <c r="AC128" i="79"/>
  <c r="AH70" i="79"/>
  <c r="AH6" i="79"/>
  <c r="AH120" i="79"/>
  <c r="AH105" i="79"/>
  <c r="AH106" i="79"/>
  <c r="AH101" i="79"/>
  <c r="AH100" i="79"/>
  <c r="AH125" i="79"/>
  <c r="AH81" i="79"/>
  <c r="AH36" i="79"/>
  <c r="AH16" i="79"/>
  <c r="AF64" i="79"/>
  <c r="AH64" i="79" s="1"/>
  <c r="AH86" i="79"/>
  <c r="AH20" i="79"/>
  <c r="AH21" i="79"/>
  <c r="V54" i="79"/>
  <c r="AF54" i="79" s="1"/>
  <c r="J54" i="79"/>
  <c r="AG54" i="79" s="1"/>
  <c r="AH116" i="79"/>
  <c r="AH115" i="79"/>
  <c r="V74" i="79"/>
  <c r="AF74" i="79" s="1"/>
  <c r="J74" i="79"/>
  <c r="AG74" i="79" s="1"/>
  <c r="AF94" i="79"/>
  <c r="AH94" i="79" s="1"/>
  <c r="AH110" i="79"/>
  <c r="AH111" i="79"/>
  <c r="AH71" i="79"/>
  <c r="AH60" i="79"/>
  <c r="AH61" i="79"/>
  <c r="AF49" i="79"/>
  <c r="AH49" i="79" s="1"/>
  <c r="AH74" i="79" l="1"/>
  <c r="AH75" i="79" s="1"/>
  <c r="AH15" i="79"/>
  <c r="AG128" i="79"/>
  <c r="AH54" i="79"/>
  <c r="AH90" i="79"/>
  <c r="AH41" i="79"/>
  <c r="AH5" i="79"/>
  <c r="AF128" i="79"/>
  <c r="AL3" i="79" s="1"/>
  <c r="V128" i="79"/>
  <c r="AH80" i="79"/>
  <c r="AH46" i="79"/>
  <c r="AH11" i="79"/>
  <c r="AH26" i="79"/>
  <c r="AH65" i="79"/>
  <c r="AH66" i="79"/>
  <c r="AH50" i="79"/>
  <c r="AH51" i="79"/>
  <c r="AH96" i="79"/>
  <c r="AH95" i="79"/>
  <c r="D45" i="83" l="1"/>
  <c r="AH128" i="79"/>
  <c r="AL15" i="79"/>
  <c r="AL29" i="79" s="1"/>
  <c r="AM29" i="79" s="1"/>
  <c r="AM29" i="81" s="1"/>
  <c r="AM30" i="81" s="1"/>
  <c r="AH76" i="79"/>
  <c r="AH56" i="79"/>
  <c r="AH55" i="79"/>
  <c r="AJ29" i="79" l="1"/>
  <c r="AJ34" i="79"/>
  <c r="AJ99" i="79"/>
  <c r="AJ114" i="79"/>
  <c r="AJ69" i="79"/>
  <c r="AJ119" i="79"/>
  <c r="AJ84" i="79"/>
  <c r="AJ19" i="79"/>
  <c r="AJ24" i="79"/>
  <c r="AJ79" i="79"/>
  <c r="AJ104" i="79"/>
  <c r="AJ109" i="79"/>
  <c r="AJ59" i="79"/>
  <c r="AJ124" i="79"/>
  <c r="AJ9" i="79"/>
  <c r="AJ49" i="79"/>
  <c r="AJ14" i="79"/>
  <c r="AJ89" i="79"/>
  <c r="AJ44" i="79"/>
  <c r="AJ64" i="79"/>
  <c r="AJ39" i="79"/>
  <c r="AJ74" i="79"/>
  <c r="AJ94" i="79"/>
  <c r="AJ54" i="79"/>
  <c r="AM15" i="79"/>
  <c r="AI128" i="79" l="1"/>
  <c r="AM3" i="79" s="1"/>
  <c r="E45" i="83" s="1"/>
  <c r="F45" i="83" s="1"/>
  <c r="AJ4" i="79"/>
  <c r="AJ128" i="79" s="1"/>
  <c r="H74" i="78"/>
  <c r="AM4" i="79" l="1"/>
  <c r="F84" i="78"/>
  <c r="F79" i="78"/>
  <c r="X54" i="78"/>
  <c r="AE54" i="78" s="1"/>
  <c r="X64" i="78"/>
  <c r="AE64" i="78" s="1"/>
  <c r="X49" i="78"/>
  <c r="H54" i="78"/>
  <c r="J54" i="78" s="1"/>
  <c r="F69" i="78"/>
  <c r="F64" i="78"/>
  <c r="F59" i="78"/>
  <c r="F49" i="78"/>
  <c r="AD54" i="78"/>
  <c r="H69" i="78" l="1"/>
  <c r="J69" i="78" s="1"/>
  <c r="Z59" i="78"/>
  <c r="H49" i="78"/>
  <c r="Y49" i="78"/>
  <c r="Z84" i="78"/>
  <c r="Y79" i="78"/>
  <c r="Z79" i="78"/>
  <c r="AE59" i="78"/>
  <c r="H59" i="78"/>
  <c r="AE79" i="78"/>
  <c r="X79" i="78"/>
  <c r="AD64" i="78"/>
  <c r="Z64" i="78"/>
  <c r="H64" i="78"/>
  <c r="J64" i="78" s="1"/>
  <c r="H79" i="78"/>
  <c r="V79" i="78" s="1"/>
  <c r="AE49" i="78"/>
  <c r="AD69" i="78"/>
  <c r="Z69" i="78"/>
  <c r="AE69" i="78"/>
  <c r="X69" i="78"/>
  <c r="AD84" i="78"/>
  <c r="Y84" i="78"/>
  <c r="AG54" i="78"/>
  <c r="V69" i="78"/>
  <c r="Y69" i="78"/>
  <c r="Y64" i="78"/>
  <c r="V54" i="78"/>
  <c r="Y74" i="78"/>
  <c r="H24" i="78"/>
  <c r="F24" i="78"/>
  <c r="Y44" i="78"/>
  <c r="AG69" i="78" l="1"/>
  <c r="Z104" i="78"/>
  <c r="V64" i="78"/>
  <c r="AF64" i="78" s="1"/>
  <c r="AG64" i="78"/>
  <c r="AF69" i="78"/>
  <c r="AH69" i="78" s="1"/>
  <c r="AF54" i="78"/>
  <c r="AH54" i="78" s="1"/>
  <c r="AE29" i="78"/>
  <c r="AE14" i="78"/>
  <c r="AE9" i="78"/>
  <c r="X29" i="78"/>
  <c r="X14" i="78"/>
  <c r="X9" i="78"/>
  <c r="Y14" i="78"/>
  <c r="Y9" i="78"/>
  <c r="K14" i="78"/>
  <c r="K9" i="78"/>
  <c r="AH55" i="78" l="1"/>
  <c r="AH64" i="78"/>
  <c r="Y59" i="78"/>
  <c r="H9" i="78" l="1"/>
  <c r="K4" i="78" l="1"/>
  <c r="H19" i="78"/>
  <c r="V19" i="78" s="1"/>
  <c r="H4" i="78"/>
  <c r="F4" i="78"/>
  <c r="F19" i="78"/>
  <c r="F104" i="78" l="1"/>
  <c r="AI19" i="78" s="1"/>
  <c r="AC19" i="78"/>
  <c r="AL14" i="78"/>
  <c r="Y19" i="78"/>
  <c r="X19" i="78"/>
  <c r="AE19" i="78"/>
  <c r="AE104" i="78" s="1"/>
  <c r="AD19" i="78"/>
  <c r="J19" i="78"/>
  <c r="AI89" i="78" l="1"/>
  <c r="AI9" i="78"/>
  <c r="AI44" i="78"/>
  <c r="AI54" i="78"/>
  <c r="AI39" i="78"/>
  <c r="AI74" i="78"/>
  <c r="AI34" i="78"/>
  <c r="AI29" i="78"/>
  <c r="AI94" i="78"/>
  <c r="AI14" i="78"/>
  <c r="AI99" i="78"/>
  <c r="AI49" i="78"/>
  <c r="AI59" i="78"/>
  <c r="AI79" i="78"/>
  <c r="AI64" i="78"/>
  <c r="AI84" i="78"/>
  <c r="AI69" i="78"/>
  <c r="AI24" i="78"/>
  <c r="AI4" i="78"/>
  <c r="AG19" i="78"/>
  <c r="AF19" i="78"/>
  <c r="AC29" i="78"/>
  <c r="Y29" i="78"/>
  <c r="AB54" i="76"/>
  <c r="AB49" i="76"/>
  <c r="AB44" i="76"/>
  <c r="Y44" i="76"/>
  <c r="Y39" i="76"/>
  <c r="AC19" i="76"/>
  <c r="Y19" i="76"/>
  <c r="AC9" i="77"/>
  <c r="AC4" i="77"/>
  <c r="AC44" i="77"/>
  <c r="AC39" i="77"/>
  <c r="AC34" i="77"/>
  <c r="AC29" i="77"/>
  <c r="AC24" i="77"/>
  <c r="AC19" i="77"/>
  <c r="Y9" i="77"/>
  <c r="AH19" i="78" l="1"/>
  <c r="AL14" i="76"/>
  <c r="AE59" i="76"/>
  <c r="AB59" i="76"/>
  <c r="AA59" i="76"/>
  <c r="V39" i="78" l="1"/>
  <c r="V34" i="78"/>
  <c r="J34" i="78" l="1"/>
  <c r="AD99" i="78" l="1"/>
  <c r="V99" i="78"/>
  <c r="J99" i="78"/>
  <c r="AG99" i="78" s="1"/>
  <c r="AD94" i="78"/>
  <c r="V94" i="78"/>
  <c r="J94" i="78"/>
  <c r="AG94" i="78" s="1"/>
  <c r="AD89" i="78"/>
  <c r="V89" i="78"/>
  <c r="J89" i="78"/>
  <c r="AG89" i="78" s="1"/>
  <c r="AD79" i="78"/>
  <c r="J79" i="78"/>
  <c r="AG79" i="78" s="1"/>
  <c r="AD74" i="78"/>
  <c r="V74" i="78"/>
  <c r="J74" i="78"/>
  <c r="AG74" i="78" s="1"/>
  <c r="AD59" i="78"/>
  <c r="V59" i="78"/>
  <c r="J59" i="78"/>
  <c r="AG59" i="78" s="1"/>
  <c r="AD49" i="78"/>
  <c r="V49" i="78"/>
  <c r="J49" i="78"/>
  <c r="AG49" i="78" s="1"/>
  <c r="AD44" i="78"/>
  <c r="V44" i="78"/>
  <c r="J44" i="78"/>
  <c r="AG44" i="78" s="1"/>
  <c r="AD39" i="78"/>
  <c r="AC39" i="78"/>
  <c r="J39" i="78"/>
  <c r="AG39" i="78" s="1"/>
  <c r="AD34" i="78"/>
  <c r="AG34" i="78"/>
  <c r="AD29" i="78"/>
  <c r="V29" i="78"/>
  <c r="J29" i="78"/>
  <c r="AG29" i="78" s="1"/>
  <c r="AD24" i="78"/>
  <c r="V24" i="78"/>
  <c r="J24" i="78"/>
  <c r="AG24" i="78" s="1"/>
  <c r="AD14" i="78"/>
  <c r="V14" i="78"/>
  <c r="J14" i="78"/>
  <c r="AG14" i="78" s="1"/>
  <c r="AD9" i="78"/>
  <c r="V9" i="78"/>
  <c r="J9" i="78"/>
  <c r="AG9" i="78" s="1"/>
  <c r="AD4" i="78"/>
  <c r="AC4" i="78"/>
  <c r="Y4" i="78"/>
  <c r="V4" i="78"/>
  <c r="J4" i="78"/>
  <c r="AG4" i="78" s="1"/>
  <c r="AC104" i="78" l="1"/>
  <c r="Y104" i="78"/>
  <c r="AD104" i="78"/>
  <c r="AF39" i="78"/>
  <c r="AH39" i="78" s="1"/>
  <c r="AF99" i="78"/>
  <c r="AH99" i="78" s="1"/>
  <c r="AF94" i="78"/>
  <c r="AH94" i="78" s="1"/>
  <c r="AF89" i="78"/>
  <c r="AH89" i="78" s="1"/>
  <c r="AF79" i="78"/>
  <c r="AH79" i="78" s="1"/>
  <c r="AF74" i="78"/>
  <c r="AH74" i="78" s="1"/>
  <c r="AF59" i="78"/>
  <c r="AH59" i="78" s="1"/>
  <c r="AF34" i="78"/>
  <c r="AH34" i="78" s="1"/>
  <c r="AF29" i="78"/>
  <c r="AH29" i="78" s="1"/>
  <c r="AF9" i="78"/>
  <c r="AH9" i="78" s="1"/>
  <c r="AF49" i="78"/>
  <c r="AH49" i="78" s="1"/>
  <c r="AF24" i="78"/>
  <c r="AH24" i="78" s="1"/>
  <c r="AF44" i="78"/>
  <c r="AH44" i="78" s="1"/>
  <c r="AF14" i="78"/>
  <c r="AH14" i="78" s="1"/>
  <c r="AF4" i="78"/>
  <c r="AH71" i="78"/>
  <c r="AH70" i="78"/>
  <c r="AH91" i="78" l="1"/>
  <c r="AH30" i="78"/>
  <c r="AH41" i="78"/>
  <c r="AH50" i="78"/>
  <c r="AH26" i="78"/>
  <c r="AH36" i="78"/>
  <c r="AL44" i="78"/>
  <c r="AL45" i="78" s="1"/>
  <c r="AH90" i="78"/>
  <c r="AH76" i="78"/>
  <c r="AH75" i="78"/>
  <c r="AH51" i="78"/>
  <c r="AH40" i="78"/>
  <c r="AH35" i="78"/>
  <c r="AH31" i="78"/>
  <c r="AH21" i="78"/>
  <c r="AH20" i="78"/>
  <c r="AH25" i="78"/>
  <c r="AH4" i="78"/>
  <c r="AH11" i="78"/>
  <c r="AH10" i="78"/>
  <c r="AH60" i="78"/>
  <c r="AH61" i="78"/>
  <c r="AH101" i="78"/>
  <c r="AH100" i="78"/>
  <c r="AH46" i="78"/>
  <c r="AH45" i="78"/>
  <c r="AH66" i="78"/>
  <c r="AH65" i="78"/>
  <c r="AH15" i="78"/>
  <c r="AH16" i="78"/>
  <c r="AH56" i="78"/>
  <c r="AH81" i="78"/>
  <c r="AH80" i="78"/>
  <c r="AH96" i="78"/>
  <c r="AH95" i="78"/>
  <c r="AH5" i="78" l="1"/>
  <c r="AH6" i="78"/>
  <c r="Z34" i="76" l="1"/>
  <c r="Z59" i="76" s="1"/>
  <c r="V49" i="76" l="1"/>
  <c r="Y34" i="76" l="1"/>
  <c r="AD29" i="76" l="1"/>
  <c r="AD14" i="76" l="1"/>
  <c r="AC14" i="76"/>
  <c r="Y14" i="76"/>
  <c r="V14" i="76"/>
  <c r="J14" i="76"/>
  <c r="AG14" i="76" s="1"/>
  <c r="AL10" i="77"/>
  <c r="AE49" i="77"/>
  <c r="AB49" i="77"/>
  <c r="AA49" i="77"/>
  <c r="Z49" i="77"/>
  <c r="Y44" i="77"/>
  <c r="Y34" i="77"/>
  <c r="H44" i="77"/>
  <c r="J44" i="77" s="1"/>
  <c r="AG44" i="77" s="1"/>
  <c r="H39" i="77"/>
  <c r="V39" i="77" s="1"/>
  <c r="H34" i="77"/>
  <c r="V34" i="77" s="1"/>
  <c r="Y29" i="77"/>
  <c r="AL11" i="75"/>
  <c r="AE44" i="75"/>
  <c r="AB44" i="75"/>
  <c r="AA44" i="75"/>
  <c r="Z44" i="75"/>
  <c r="AL23" i="77"/>
  <c r="AD44" i="77"/>
  <c r="AD39" i="77"/>
  <c r="Y39" i="77"/>
  <c r="AD34" i="77"/>
  <c r="AD29" i="77"/>
  <c r="V29" i="77"/>
  <c r="J29" i="77"/>
  <c r="AG29" i="77" s="1"/>
  <c r="AD24" i="77"/>
  <c r="Y24" i="77"/>
  <c r="V24" i="77"/>
  <c r="J24" i="77"/>
  <c r="AG24" i="77" s="1"/>
  <c r="AD19" i="77"/>
  <c r="Y19" i="77"/>
  <c r="V19" i="77"/>
  <c r="J19" i="77"/>
  <c r="AG19" i="77" s="1"/>
  <c r="AD14" i="77"/>
  <c r="AC14" i="77"/>
  <c r="AC49" i="77" s="1"/>
  <c r="Y14" i="77"/>
  <c r="V14" i="77"/>
  <c r="J14" i="77"/>
  <c r="AG14" i="77" s="1"/>
  <c r="AD9" i="77"/>
  <c r="V9" i="77"/>
  <c r="J9" i="77"/>
  <c r="AG9" i="77" s="1"/>
  <c r="AD4" i="77"/>
  <c r="Y4" i="77"/>
  <c r="V4" i="77"/>
  <c r="J4" i="77"/>
  <c r="AG4" i="77" s="1"/>
  <c r="AF4" i="77" l="1"/>
  <c r="AH4" i="77" s="1"/>
  <c r="Y49" i="77"/>
  <c r="AD49" i="77"/>
  <c r="J34" i="77"/>
  <c r="AG34" i="77" s="1"/>
  <c r="AF14" i="76"/>
  <c r="AH14" i="76" s="1"/>
  <c r="AF34" i="77"/>
  <c r="V44" i="77"/>
  <c r="AF44" i="77" s="1"/>
  <c r="AH44" i="77" s="1"/>
  <c r="J39" i="77"/>
  <c r="AG39" i="77" s="1"/>
  <c r="AF24" i="77"/>
  <c r="AH24" i="77" s="1"/>
  <c r="AF19" i="77"/>
  <c r="AH19" i="77" s="1"/>
  <c r="AF14" i="77"/>
  <c r="AH14" i="77" s="1"/>
  <c r="AF29" i="77"/>
  <c r="AH29" i="77" s="1"/>
  <c r="AF9" i="77"/>
  <c r="AF39" i="77"/>
  <c r="V29" i="76"/>
  <c r="AD54" i="76"/>
  <c r="Y54" i="76"/>
  <c r="V54" i="76"/>
  <c r="J54" i="76"/>
  <c r="AG54" i="76" s="1"/>
  <c r="AD49" i="76"/>
  <c r="Y49" i="76"/>
  <c r="J49" i="76"/>
  <c r="AG49" i="76" s="1"/>
  <c r="AD44" i="76"/>
  <c r="V44" i="76"/>
  <c r="J44" i="76"/>
  <c r="AG44" i="76" s="1"/>
  <c r="AD39" i="76"/>
  <c r="V39" i="76"/>
  <c r="J39" i="76"/>
  <c r="AG39" i="76" s="1"/>
  <c r="AD34" i="76"/>
  <c r="V34" i="76"/>
  <c r="J34" i="76"/>
  <c r="AG34" i="76" s="1"/>
  <c r="J29" i="76"/>
  <c r="AG29" i="76" s="1"/>
  <c r="AD24" i="76"/>
  <c r="Y24" i="76"/>
  <c r="V24" i="76"/>
  <c r="J24" i="76"/>
  <c r="AG24" i="76" s="1"/>
  <c r="AD19" i="76"/>
  <c r="V19" i="76"/>
  <c r="J19" i="76"/>
  <c r="AG19" i="76" s="1"/>
  <c r="AD9" i="76"/>
  <c r="AC9" i="76"/>
  <c r="Y9" i="76"/>
  <c r="V9" i="76"/>
  <c r="J9" i="76"/>
  <c r="AG9" i="76" s="1"/>
  <c r="AD4" i="76"/>
  <c r="AC4" i="76"/>
  <c r="Y4" i="76"/>
  <c r="V4" i="76"/>
  <c r="J4" i="76"/>
  <c r="AG4" i="76" s="1"/>
  <c r="AH15" i="76" l="1"/>
  <c r="AH16" i="76"/>
  <c r="AG59" i="76"/>
  <c r="AD59" i="76"/>
  <c r="V59" i="76"/>
  <c r="AH34" i="77"/>
  <c r="Y59" i="76"/>
  <c r="V49" i="77"/>
  <c r="AC59" i="76"/>
  <c r="AF54" i="76"/>
  <c r="AH54" i="76" s="1"/>
  <c r="AG49" i="77"/>
  <c r="AF39" i="76"/>
  <c r="AH39" i="76" s="1"/>
  <c r="AF4" i="76"/>
  <c r="AF49" i="77"/>
  <c r="AL3" i="77" s="1"/>
  <c r="AH39" i="77"/>
  <c r="AH16" i="77"/>
  <c r="AH15" i="77"/>
  <c r="AH9" i="77"/>
  <c r="AH5" i="77"/>
  <c r="AH6" i="77"/>
  <c r="AH31" i="77"/>
  <c r="AH30" i="77"/>
  <c r="AH45" i="77"/>
  <c r="AH46" i="77"/>
  <c r="AH26" i="77"/>
  <c r="AH25" i="77"/>
  <c r="AH21" i="77"/>
  <c r="AH20" i="77"/>
  <c r="AF9" i="76"/>
  <c r="AH9" i="76" s="1"/>
  <c r="AF29" i="76"/>
  <c r="AH29" i="76" s="1"/>
  <c r="AF44" i="76"/>
  <c r="AH44" i="76" s="1"/>
  <c r="AF24" i="76"/>
  <c r="AH24" i="76" s="1"/>
  <c r="AF19" i="76"/>
  <c r="AH19" i="76" s="1"/>
  <c r="AF34" i="76"/>
  <c r="AH34" i="76" s="1"/>
  <c r="AF49" i="76"/>
  <c r="AH49" i="76" s="1"/>
  <c r="D42" i="83" l="1"/>
  <c r="AH10" i="77"/>
  <c r="AH40" i="77"/>
  <c r="AH36" i="77"/>
  <c r="AF59" i="76"/>
  <c r="AL3" i="76" s="1"/>
  <c r="D43" i="83" s="1"/>
  <c r="AH46" i="76"/>
  <c r="AH45" i="76"/>
  <c r="AH50" i="76"/>
  <c r="AH51" i="76"/>
  <c r="AH56" i="76"/>
  <c r="AH55" i="76"/>
  <c r="AH10" i="76"/>
  <c r="AH11" i="76"/>
  <c r="AH30" i="76"/>
  <c r="AH31" i="76"/>
  <c r="AH35" i="76"/>
  <c r="AH36" i="76"/>
  <c r="AH40" i="76"/>
  <c r="AH41" i="76"/>
  <c r="AH26" i="76"/>
  <c r="AH25" i="76"/>
  <c r="AH4" i="76"/>
  <c r="AL36" i="76" s="1"/>
  <c r="AH20" i="76"/>
  <c r="AH21" i="76"/>
  <c r="AH49" i="77"/>
  <c r="AH35" i="77"/>
  <c r="AL11" i="77"/>
  <c r="AL24" i="77" s="1"/>
  <c r="AL25" i="77" s="1"/>
  <c r="AH41" i="77"/>
  <c r="AH11" i="77"/>
  <c r="AJ39" i="77" l="1"/>
  <c r="AJ29" i="77"/>
  <c r="AJ24" i="77"/>
  <c r="AJ14" i="77"/>
  <c r="AJ19" i="77"/>
  <c r="AJ44" i="77"/>
  <c r="AJ34" i="77"/>
  <c r="AJ9" i="77"/>
  <c r="AH59" i="76"/>
  <c r="AL15" i="76"/>
  <c r="AM15" i="76" s="1"/>
  <c r="AH5" i="76"/>
  <c r="AH6" i="76"/>
  <c r="AL32" i="76"/>
  <c r="AM11" i="77"/>
  <c r="AC34" i="75"/>
  <c r="Y29" i="75"/>
  <c r="Y24" i="75"/>
  <c r="Y39" i="75"/>
  <c r="Y34" i="75"/>
  <c r="Y19" i="75"/>
  <c r="AI49" i="77" l="1"/>
  <c r="AM3" i="77" s="1"/>
  <c r="E42" i="83" s="1"/>
  <c r="F42" i="83" s="1"/>
  <c r="AJ4" i="77"/>
  <c r="AJ49" i="77" s="1"/>
  <c r="AC49" i="74"/>
  <c r="AC59" i="74"/>
  <c r="Y74" i="74"/>
  <c r="Y49" i="74"/>
  <c r="AM4" i="77" l="1"/>
  <c r="AL14" i="74"/>
  <c r="AB79" i="74"/>
  <c r="AA79" i="74"/>
  <c r="Z79" i="74"/>
  <c r="AD39" i="75" l="1"/>
  <c r="AC39" i="75"/>
  <c r="V39" i="75"/>
  <c r="J39" i="75"/>
  <c r="AG39" i="75" s="1"/>
  <c r="AD34" i="75"/>
  <c r="V34" i="75"/>
  <c r="J34" i="75"/>
  <c r="AG34" i="75" s="1"/>
  <c r="AD29" i="75"/>
  <c r="J29" i="75"/>
  <c r="AG29" i="75" s="1"/>
  <c r="AD24" i="75"/>
  <c r="V24" i="75"/>
  <c r="J24" i="75"/>
  <c r="AG24" i="75" s="1"/>
  <c r="AD19" i="75"/>
  <c r="V19" i="75"/>
  <c r="J19" i="75"/>
  <c r="AG19" i="75" s="1"/>
  <c r="AD14" i="75"/>
  <c r="AC14" i="75"/>
  <c r="Y14" i="75"/>
  <c r="V14" i="75"/>
  <c r="J14" i="75"/>
  <c r="AG14" i="75" s="1"/>
  <c r="AD9" i="75"/>
  <c r="AC9" i="75"/>
  <c r="Y9" i="75"/>
  <c r="V9" i="75"/>
  <c r="J9" i="75"/>
  <c r="AG9" i="75" s="1"/>
  <c r="AD4" i="75"/>
  <c r="AC4" i="75"/>
  <c r="Y4" i="75"/>
  <c r="V4" i="75"/>
  <c r="J4" i="75"/>
  <c r="AG4" i="75" s="1"/>
  <c r="AE69" i="74"/>
  <c r="AE64" i="74"/>
  <c r="X69" i="74"/>
  <c r="X64" i="74"/>
  <c r="K69" i="74"/>
  <c r="K64" i="74"/>
  <c r="O59" i="74"/>
  <c r="M59" i="74"/>
  <c r="L49" i="74"/>
  <c r="AE39" i="74"/>
  <c r="AE34" i="74"/>
  <c r="X39" i="74"/>
  <c r="X34" i="74"/>
  <c r="K39" i="74"/>
  <c r="K34" i="74"/>
  <c r="N29" i="74"/>
  <c r="M29" i="74"/>
  <c r="Y29" i="73"/>
  <c r="AL13" i="73"/>
  <c r="AE109" i="73"/>
  <c r="AB109" i="73"/>
  <c r="AA109" i="73"/>
  <c r="Z109" i="73"/>
  <c r="Y44" i="75" l="1"/>
  <c r="AC44" i="75"/>
  <c r="AG44" i="75"/>
  <c r="AD44" i="75"/>
  <c r="AE79" i="74"/>
  <c r="V44" i="75"/>
  <c r="AF34" i="75"/>
  <c r="AH34" i="75" s="1"/>
  <c r="AF9" i="75"/>
  <c r="AH9" i="75" s="1"/>
  <c r="AF14" i="75"/>
  <c r="AH14" i="75" s="1"/>
  <c r="AF19" i="75"/>
  <c r="AH19" i="75" s="1"/>
  <c r="AF24" i="75"/>
  <c r="AH24" i="75" s="1"/>
  <c r="AF29" i="75"/>
  <c r="AH29" i="75" s="1"/>
  <c r="AF39" i="75"/>
  <c r="AH39" i="75" s="1"/>
  <c r="AF4" i="75"/>
  <c r="AD74" i="74"/>
  <c r="V74" i="74"/>
  <c r="J74" i="74"/>
  <c r="AG74" i="74" s="1"/>
  <c r="AD69" i="74"/>
  <c r="V69" i="74"/>
  <c r="J69" i="74"/>
  <c r="AG69" i="74" s="1"/>
  <c r="AD64" i="74"/>
  <c r="V64" i="74"/>
  <c r="J64" i="74"/>
  <c r="AG64" i="74" s="1"/>
  <c r="AD59" i="74"/>
  <c r="Y59" i="74"/>
  <c r="V59" i="74"/>
  <c r="J59" i="74"/>
  <c r="AG59" i="74" s="1"/>
  <c r="AD54" i="74"/>
  <c r="AC54" i="74"/>
  <c r="Y54" i="74"/>
  <c r="V54" i="74"/>
  <c r="J54" i="74"/>
  <c r="AG54" i="74" s="1"/>
  <c r="AD49" i="74"/>
  <c r="V49" i="74"/>
  <c r="J49" i="74"/>
  <c r="AG49" i="74" s="1"/>
  <c r="AD44" i="74"/>
  <c r="V44" i="74"/>
  <c r="J44" i="74"/>
  <c r="AG44" i="74" s="1"/>
  <c r="AD39" i="74"/>
  <c r="V39" i="74"/>
  <c r="J39" i="74"/>
  <c r="AG39" i="74" s="1"/>
  <c r="AD34" i="74"/>
  <c r="V34" i="74"/>
  <c r="J34" i="74"/>
  <c r="AG34" i="74" s="1"/>
  <c r="AD29" i="74"/>
  <c r="V29" i="74"/>
  <c r="J29" i="74"/>
  <c r="AG29" i="74" s="1"/>
  <c r="AD24" i="74"/>
  <c r="V24" i="74"/>
  <c r="J24" i="74"/>
  <c r="AG24" i="74" s="1"/>
  <c r="AD19" i="74"/>
  <c r="AC19" i="74"/>
  <c r="Y19" i="74"/>
  <c r="V19" i="74"/>
  <c r="J19" i="74"/>
  <c r="AG19" i="74" s="1"/>
  <c r="AD14" i="74"/>
  <c r="AC14" i="74"/>
  <c r="Y14" i="74"/>
  <c r="V14" i="74"/>
  <c r="J14" i="74"/>
  <c r="AG14" i="74" s="1"/>
  <c r="AD9" i="74"/>
  <c r="AC9" i="74"/>
  <c r="Y9" i="74"/>
  <c r="V9" i="74"/>
  <c r="J9" i="74"/>
  <c r="AG9" i="74" s="1"/>
  <c r="AD4" i="74"/>
  <c r="AC4" i="74"/>
  <c r="Y4" i="74"/>
  <c r="V4" i="74"/>
  <c r="J4" i="74"/>
  <c r="AG4" i="74" s="1"/>
  <c r="AH20" i="75" l="1"/>
  <c r="AH41" i="75"/>
  <c r="AH15" i="75"/>
  <c r="AD79" i="74"/>
  <c r="AH4" i="75"/>
  <c r="AH5" i="75" s="1"/>
  <c r="AF44" i="75"/>
  <c r="AL3" i="75" s="1"/>
  <c r="D41" i="83" s="1"/>
  <c r="V79" i="74"/>
  <c r="AG79" i="74"/>
  <c r="Y79" i="74"/>
  <c r="AC79" i="74"/>
  <c r="AF69" i="74"/>
  <c r="AH69" i="74" s="1"/>
  <c r="AL29" i="75"/>
  <c r="AH16" i="75"/>
  <c r="AH21" i="75"/>
  <c r="AH40" i="75"/>
  <c r="AH36" i="75"/>
  <c r="AH35" i="75"/>
  <c r="AH31" i="75"/>
  <c r="AH30" i="75"/>
  <c r="AH26" i="75"/>
  <c r="AH25" i="75"/>
  <c r="AH10" i="75"/>
  <c r="AH11" i="75"/>
  <c r="AF74" i="74"/>
  <c r="AH74" i="74" s="1"/>
  <c r="AF64" i="74"/>
  <c r="AH64" i="74" s="1"/>
  <c r="AF59" i="74"/>
  <c r="AH59" i="74" s="1"/>
  <c r="AF49" i="74"/>
  <c r="AH49" i="74" s="1"/>
  <c r="AH51" i="74" s="1"/>
  <c r="AF44" i="74"/>
  <c r="AH44" i="74" s="1"/>
  <c r="AF29" i="74"/>
  <c r="AH29" i="74" s="1"/>
  <c r="AH31" i="74" s="1"/>
  <c r="AF24" i="74"/>
  <c r="AH24" i="74" s="1"/>
  <c r="AF4" i="74"/>
  <c r="AH4" i="74" s="1"/>
  <c r="AF9" i="74"/>
  <c r="AH9" i="74" s="1"/>
  <c r="AF14" i="74"/>
  <c r="AH14" i="74" s="1"/>
  <c r="AH16" i="74" s="1"/>
  <c r="AF19" i="74"/>
  <c r="AH19" i="74" s="1"/>
  <c r="AF34" i="74"/>
  <c r="AH34" i="74" s="1"/>
  <c r="AF39" i="74"/>
  <c r="AH39" i="74" s="1"/>
  <c r="AF54" i="74"/>
  <c r="AH44" i="75" l="1"/>
  <c r="AL35" i="75"/>
  <c r="AL36" i="75" s="1"/>
  <c r="AL12" i="75"/>
  <c r="AM12" i="75" s="1"/>
  <c r="AH6" i="75"/>
  <c r="AL38" i="74"/>
  <c r="AL39" i="74" s="1"/>
  <c r="AH61" i="74"/>
  <c r="AH54" i="74"/>
  <c r="AL15" i="74" s="1"/>
  <c r="AF79" i="74"/>
  <c r="AL3" i="74" s="1"/>
  <c r="D40" i="83" s="1"/>
  <c r="AH50" i="74"/>
  <c r="AH46" i="74"/>
  <c r="AH45" i="74"/>
  <c r="AH30" i="74"/>
  <c r="AH15" i="74"/>
  <c r="AH21" i="74"/>
  <c r="AH20" i="74"/>
  <c r="AH36" i="74"/>
  <c r="AH35" i="74"/>
  <c r="AH60" i="74"/>
  <c r="AH41" i="74"/>
  <c r="AH40" i="74"/>
  <c r="AH6" i="74"/>
  <c r="AH5" i="74"/>
  <c r="AH66" i="74"/>
  <c r="AH65" i="74"/>
  <c r="AH75" i="74"/>
  <c r="AH76" i="74"/>
  <c r="AH25" i="74"/>
  <c r="AH26" i="74"/>
  <c r="AH11" i="74"/>
  <c r="AH10" i="74"/>
  <c r="AH71" i="74"/>
  <c r="AH70" i="74"/>
  <c r="AH79" i="74" l="1"/>
  <c r="AJ29" i="75"/>
  <c r="AJ9" i="75"/>
  <c r="AJ19" i="75"/>
  <c r="AJ14" i="75"/>
  <c r="AJ24" i="75"/>
  <c r="AJ34" i="75"/>
  <c r="AJ39" i="75"/>
  <c r="AL32" i="74"/>
  <c r="AH55" i="74"/>
  <c r="AH56" i="74"/>
  <c r="AM15" i="74"/>
  <c r="AI44" i="75" l="1"/>
  <c r="AM3" i="75" s="1"/>
  <c r="E41" i="83" s="1"/>
  <c r="F41" i="83" s="1"/>
  <c r="Y49" i="73"/>
  <c r="M64" i="73" l="1"/>
  <c r="Y104" i="73"/>
  <c r="Y99" i="73"/>
  <c r="Y59" i="73"/>
  <c r="AD104" i="73"/>
  <c r="AC104" i="73"/>
  <c r="V104" i="73"/>
  <c r="J104" i="73"/>
  <c r="AG104" i="73" s="1"/>
  <c r="AD99" i="73"/>
  <c r="AC99" i="73"/>
  <c r="V99" i="73"/>
  <c r="J99" i="73"/>
  <c r="AG99" i="73" s="1"/>
  <c r="AF104" i="73" l="1"/>
  <c r="AF99" i="73"/>
  <c r="N54" i="73" l="1"/>
  <c r="M54" i="73"/>
  <c r="L54" i="73"/>
  <c r="AC59" i="73" l="1"/>
  <c r="AD54" i="73" l="1"/>
  <c r="AC54" i="73"/>
  <c r="Y54" i="73"/>
  <c r="V54" i="73"/>
  <c r="J54" i="73"/>
  <c r="AG54" i="73" s="1"/>
  <c r="AD49" i="73"/>
  <c r="V49" i="73"/>
  <c r="J49" i="73"/>
  <c r="AG49" i="73" s="1"/>
  <c r="AF49" i="73" l="1"/>
  <c r="AF54" i="73"/>
  <c r="AB79" i="72" l="1"/>
  <c r="AL14" i="72"/>
  <c r="AE104" i="72"/>
  <c r="AA104" i="72"/>
  <c r="Z104" i="72"/>
  <c r="AC84" i="72"/>
  <c r="Y84" i="72"/>
  <c r="AH104" i="73" l="1"/>
  <c r="AD94" i="73"/>
  <c r="V94" i="73"/>
  <c r="J94" i="73"/>
  <c r="AG94" i="73" s="1"/>
  <c r="AD89" i="73"/>
  <c r="V89" i="73"/>
  <c r="J89" i="73"/>
  <c r="AG89" i="73" s="1"/>
  <c r="AD84" i="73"/>
  <c r="V84" i="73"/>
  <c r="J84" i="73"/>
  <c r="AG84" i="73" s="1"/>
  <c r="AD79" i="73"/>
  <c r="AC79" i="73"/>
  <c r="Y79" i="73"/>
  <c r="V79" i="73"/>
  <c r="J79" i="73"/>
  <c r="AG79" i="73" s="1"/>
  <c r="AD74" i="73"/>
  <c r="AC74" i="73"/>
  <c r="Y74" i="73"/>
  <c r="V74" i="73"/>
  <c r="J74" i="73"/>
  <c r="AG74" i="73" s="1"/>
  <c r="AD69" i="73"/>
  <c r="AC69" i="73"/>
  <c r="Y69" i="73"/>
  <c r="V69" i="73"/>
  <c r="J69" i="73"/>
  <c r="AG69" i="73" s="1"/>
  <c r="AD64" i="73"/>
  <c r="AC64" i="73"/>
  <c r="Y64" i="73"/>
  <c r="V64" i="73"/>
  <c r="J64" i="73"/>
  <c r="AG64" i="73" s="1"/>
  <c r="AD59" i="73"/>
  <c r="V59" i="73"/>
  <c r="J59" i="73"/>
  <c r="AG59" i="73" s="1"/>
  <c r="AD44" i="73"/>
  <c r="AC44" i="73"/>
  <c r="Y44" i="73"/>
  <c r="V44" i="73"/>
  <c r="J44" i="73"/>
  <c r="AG44" i="73" s="1"/>
  <c r="AD39" i="73"/>
  <c r="AC39" i="73"/>
  <c r="Y39" i="73"/>
  <c r="V39" i="73"/>
  <c r="J39" i="73"/>
  <c r="AG39" i="73" s="1"/>
  <c r="AD34" i="73"/>
  <c r="AC34" i="73"/>
  <c r="Y34" i="73"/>
  <c r="V34" i="73"/>
  <c r="J34" i="73"/>
  <c r="AG34" i="73" s="1"/>
  <c r="AD29" i="73"/>
  <c r="AC29" i="73"/>
  <c r="V29" i="73"/>
  <c r="J29" i="73"/>
  <c r="AG29" i="73" s="1"/>
  <c r="AD24" i="73"/>
  <c r="AC24" i="73"/>
  <c r="Y24" i="73"/>
  <c r="V24" i="73"/>
  <c r="J24" i="73"/>
  <c r="AG24" i="73" s="1"/>
  <c r="AD19" i="73"/>
  <c r="AC19" i="73"/>
  <c r="Y19" i="73"/>
  <c r="V19" i="73"/>
  <c r="J19" i="73"/>
  <c r="AG19" i="73" s="1"/>
  <c r="AD14" i="73"/>
  <c r="AC14" i="73"/>
  <c r="Y14" i="73"/>
  <c r="V14" i="73"/>
  <c r="J14" i="73"/>
  <c r="AG14" i="73" s="1"/>
  <c r="AD9" i="73"/>
  <c r="AC9" i="73"/>
  <c r="Y9" i="73"/>
  <c r="V9" i="73"/>
  <c r="J9" i="73"/>
  <c r="AG9" i="73" s="1"/>
  <c r="AD4" i="73"/>
  <c r="AC4" i="73"/>
  <c r="Y4" i="73"/>
  <c r="V4" i="73"/>
  <c r="J4" i="73"/>
  <c r="AG4" i="73" s="1"/>
  <c r="V109" i="73" l="1"/>
  <c r="Y109" i="73"/>
  <c r="AC109" i="73"/>
  <c r="AG109" i="73"/>
  <c r="AD109" i="73"/>
  <c r="AF84" i="73"/>
  <c r="AH84" i="73" s="1"/>
  <c r="AF69" i="73"/>
  <c r="AH69" i="73" s="1"/>
  <c r="AF64" i="73"/>
  <c r="AH64" i="73" s="1"/>
  <c r="AF44" i="73"/>
  <c r="AH44" i="73" s="1"/>
  <c r="AF14" i="73"/>
  <c r="AH14" i="73" s="1"/>
  <c r="AF94" i="73"/>
  <c r="AH94" i="73" s="1"/>
  <c r="AF59" i="73"/>
  <c r="AH59" i="73" s="1"/>
  <c r="AF4" i="73"/>
  <c r="AH4" i="73" s="1"/>
  <c r="AF9" i="73"/>
  <c r="AH9" i="73" s="1"/>
  <c r="AF19" i="73"/>
  <c r="AH19" i="73" s="1"/>
  <c r="AF24" i="73"/>
  <c r="AH24" i="73" s="1"/>
  <c r="AF29" i="73"/>
  <c r="AF34" i="73"/>
  <c r="AH34" i="73" s="1"/>
  <c r="AF39" i="73"/>
  <c r="AH39" i="73" s="1"/>
  <c r="AH49" i="73"/>
  <c r="AH54" i="73"/>
  <c r="AF74" i="73"/>
  <c r="AH74" i="73" s="1"/>
  <c r="AF79" i="73"/>
  <c r="AH79" i="73" s="1"/>
  <c r="AF89" i="73"/>
  <c r="AH89" i="73" s="1"/>
  <c r="AH99" i="73"/>
  <c r="AH106" i="73"/>
  <c r="AH105" i="73"/>
  <c r="AH36" i="73" l="1"/>
  <c r="AH11" i="73"/>
  <c r="AH16" i="73"/>
  <c r="AH46" i="73"/>
  <c r="AH65" i="73"/>
  <c r="AH21" i="73"/>
  <c r="AH70" i="73"/>
  <c r="AL33" i="73"/>
  <c r="AL34" i="73" s="1"/>
  <c r="AH29" i="73"/>
  <c r="AF109" i="73"/>
  <c r="AL3" i="73" s="1"/>
  <c r="D39" i="83" s="1"/>
  <c r="AH66" i="73"/>
  <c r="AH15" i="73"/>
  <c r="AH95" i="73"/>
  <c r="AH96" i="73"/>
  <c r="AH61" i="73"/>
  <c r="AH60" i="73"/>
  <c r="AH45" i="73"/>
  <c r="AH20" i="73"/>
  <c r="AH10" i="73"/>
  <c r="AH26" i="73"/>
  <c r="AH25" i="73"/>
  <c r="AH35" i="73"/>
  <c r="AH56" i="73"/>
  <c r="AH55" i="73"/>
  <c r="AH71" i="73"/>
  <c r="AH91" i="73"/>
  <c r="AH90" i="73"/>
  <c r="AH81" i="73"/>
  <c r="AH80" i="73"/>
  <c r="AH101" i="73"/>
  <c r="AH100" i="73"/>
  <c r="AH6" i="73"/>
  <c r="AH5" i="73"/>
  <c r="AH86" i="73"/>
  <c r="AH85" i="73"/>
  <c r="AH75" i="73"/>
  <c r="AH76" i="73"/>
  <c r="AH51" i="73"/>
  <c r="AH50" i="73"/>
  <c r="AH41" i="73"/>
  <c r="AH40" i="73"/>
  <c r="AH30" i="73" l="1"/>
  <c r="AH31" i="73"/>
  <c r="AH109" i="73"/>
  <c r="AL29" i="73"/>
  <c r="AL30" i="73" s="1"/>
  <c r="AL14" i="73"/>
  <c r="AM14" i="73" s="1"/>
  <c r="AJ29" i="73" l="1"/>
  <c r="AJ104" i="73"/>
  <c r="AJ74" i="73"/>
  <c r="AJ9" i="73"/>
  <c r="AJ84" i="73"/>
  <c r="AJ89" i="73"/>
  <c r="AJ34" i="73"/>
  <c r="AJ14" i="73"/>
  <c r="AJ24" i="73"/>
  <c r="AJ94" i="73"/>
  <c r="AJ54" i="73"/>
  <c r="AJ39" i="73"/>
  <c r="AJ99" i="73"/>
  <c r="AJ49" i="73"/>
  <c r="AJ64" i="73"/>
  <c r="AJ19" i="73"/>
  <c r="AJ44" i="73"/>
  <c r="AJ69" i="73"/>
  <c r="AJ79" i="73"/>
  <c r="AJ59" i="73"/>
  <c r="AL24" i="73"/>
  <c r="AL25" i="73" s="1"/>
  <c r="AL31" i="73"/>
  <c r="AB54" i="72"/>
  <c r="AB59" i="72"/>
  <c r="AB49" i="72"/>
  <c r="AI109" i="73" l="1"/>
  <c r="AM3" i="73" s="1"/>
  <c r="E39" i="83" s="1"/>
  <c r="F39" i="83" s="1"/>
  <c r="AJ4" i="73"/>
  <c r="AJ109" i="73" s="1"/>
  <c r="AB104" i="72"/>
  <c r="AD99" i="72"/>
  <c r="AC99" i="72"/>
  <c r="Y99" i="72"/>
  <c r="V99" i="72"/>
  <c r="J99" i="72"/>
  <c r="AG99" i="72" s="1"/>
  <c r="AM4" i="73" l="1"/>
  <c r="AF99" i="72"/>
  <c r="AH99" i="72" l="1"/>
  <c r="AH100" i="72" l="1"/>
  <c r="AH101" i="72"/>
  <c r="AC59" i="72" l="1"/>
  <c r="Y59" i="72"/>
  <c r="AC54" i="72" l="1"/>
  <c r="Y54" i="72"/>
  <c r="AC49" i="72" l="1"/>
  <c r="Y49" i="72"/>
  <c r="AC84" i="71" l="1"/>
  <c r="Y84" i="71"/>
  <c r="AL13" i="71"/>
  <c r="AE89" i="71"/>
  <c r="AA89" i="71"/>
  <c r="Z89" i="71"/>
  <c r="AC59" i="71" l="1"/>
  <c r="Y59" i="71"/>
  <c r="AC54" i="71"/>
  <c r="Y54" i="71"/>
  <c r="Y49" i="71"/>
  <c r="AC49" i="71"/>
  <c r="AD94" i="72"/>
  <c r="AC94" i="72"/>
  <c r="Y94" i="72"/>
  <c r="V94" i="72"/>
  <c r="J94" i="72"/>
  <c r="AG94" i="72" s="1"/>
  <c r="AD89" i="72"/>
  <c r="AC89" i="72"/>
  <c r="Y89" i="72"/>
  <c r="V89" i="72"/>
  <c r="J89" i="72"/>
  <c r="AG89" i="72" s="1"/>
  <c r="AD84" i="72"/>
  <c r="V84" i="72"/>
  <c r="J84" i="72"/>
  <c r="AG84" i="72" s="1"/>
  <c r="AD79" i="72"/>
  <c r="AC79" i="72"/>
  <c r="Y79" i="72"/>
  <c r="V79" i="72"/>
  <c r="J79" i="72"/>
  <c r="AG79" i="72" s="1"/>
  <c r="AD74" i="72"/>
  <c r="AC74" i="72"/>
  <c r="Y74" i="72"/>
  <c r="V74" i="72"/>
  <c r="J74" i="72"/>
  <c r="AG74" i="72" s="1"/>
  <c r="AD69" i="72"/>
  <c r="AC69" i="72"/>
  <c r="Y69" i="72"/>
  <c r="V69" i="72"/>
  <c r="J69" i="72"/>
  <c r="AG69" i="72" s="1"/>
  <c r="AD64" i="72"/>
  <c r="AC64" i="72"/>
  <c r="Y64" i="72"/>
  <c r="V64" i="72"/>
  <c r="J64" i="72"/>
  <c r="AG64" i="72" s="1"/>
  <c r="AD59" i="72"/>
  <c r="V59" i="72"/>
  <c r="J59" i="72"/>
  <c r="AG59" i="72" s="1"/>
  <c r="AD54" i="72"/>
  <c r="V54" i="72"/>
  <c r="J54" i="72"/>
  <c r="AG54" i="72" s="1"/>
  <c r="AD49" i="72"/>
  <c r="V49" i="72"/>
  <c r="J49" i="72"/>
  <c r="AG49" i="72" s="1"/>
  <c r="AD44" i="72"/>
  <c r="AC44" i="72"/>
  <c r="Y44" i="72"/>
  <c r="V44" i="72"/>
  <c r="J44" i="72"/>
  <c r="AG44" i="72" s="1"/>
  <c r="AD39" i="72"/>
  <c r="AC39" i="72"/>
  <c r="Y39" i="72"/>
  <c r="V39" i="72"/>
  <c r="J39" i="72"/>
  <c r="AG39" i="72" s="1"/>
  <c r="AD34" i="72"/>
  <c r="AC34" i="72"/>
  <c r="Y34" i="72"/>
  <c r="V34" i="72"/>
  <c r="J34" i="72"/>
  <c r="AG34" i="72" s="1"/>
  <c r="AD29" i="72"/>
  <c r="AC29" i="72"/>
  <c r="Y29" i="72"/>
  <c r="V29" i="72"/>
  <c r="J29" i="72"/>
  <c r="AG29" i="72" s="1"/>
  <c r="AD24" i="72"/>
  <c r="V24" i="72"/>
  <c r="J24" i="72"/>
  <c r="AG24" i="72" s="1"/>
  <c r="AD19" i="72"/>
  <c r="AC19" i="72"/>
  <c r="Y19" i="72"/>
  <c r="V19" i="72"/>
  <c r="J19" i="72"/>
  <c r="AG19" i="72" s="1"/>
  <c r="AD14" i="72"/>
  <c r="AC14" i="72"/>
  <c r="Y14" i="72"/>
  <c r="V14" i="72"/>
  <c r="J14" i="72"/>
  <c r="AG14" i="72" s="1"/>
  <c r="AD9" i="72"/>
  <c r="AC9" i="72"/>
  <c r="Y9" i="72"/>
  <c r="V9" i="72"/>
  <c r="J9" i="72"/>
  <c r="AG9" i="72" s="1"/>
  <c r="AD4" i="72"/>
  <c r="AC4" i="72"/>
  <c r="Y4" i="72"/>
  <c r="V4" i="72"/>
  <c r="J4" i="72"/>
  <c r="AG4" i="72" s="1"/>
  <c r="Y104" i="72" l="1"/>
  <c r="AD104" i="72"/>
  <c r="AC104" i="72"/>
  <c r="AG104" i="72"/>
  <c r="V104" i="72"/>
  <c r="AF14" i="72"/>
  <c r="AH14" i="72" s="1"/>
  <c r="AF29" i="72"/>
  <c r="AH29" i="72" s="1"/>
  <c r="AF94" i="72"/>
  <c r="AH94" i="72" s="1"/>
  <c r="AF89" i="72"/>
  <c r="AH89" i="72" s="1"/>
  <c r="AF64" i="72"/>
  <c r="AH64" i="72" s="1"/>
  <c r="AF59" i="72"/>
  <c r="AH59" i="72" s="1"/>
  <c r="AF54" i="72"/>
  <c r="AH54" i="72" s="1"/>
  <c r="AF44" i="72"/>
  <c r="AH44" i="72" s="1"/>
  <c r="AF39" i="72"/>
  <c r="AH39" i="72" s="1"/>
  <c r="AF19" i="72"/>
  <c r="AH19" i="72" s="1"/>
  <c r="AF4" i="72"/>
  <c r="AH4" i="72" s="1"/>
  <c r="AF79" i="72"/>
  <c r="AF74" i="72"/>
  <c r="AH74" i="72" s="1"/>
  <c r="AF34" i="72"/>
  <c r="AH34" i="72" s="1"/>
  <c r="AF24" i="72"/>
  <c r="AH24" i="72" s="1"/>
  <c r="AF9" i="72"/>
  <c r="AH9" i="72" s="1"/>
  <c r="AF49" i="72"/>
  <c r="AF69" i="72"/>
  <c r="AH69" i="72" s="1"/>
  <c r="AF84" i="72"/>
  <c r="AL14" i="70"/>
  <c r="AB84" i="71"/>
  <c r="AB79" i="71"/>
  <c r="AB49" i="71"/>
  <c r="AD84" i="71"/>
  <c r="V84" i="71"/>
  <c r="J84" i="71"/>
  <c r="AG84" i="71" s="1"/>
  <c r="AD74" i="71"/>
  <c r="AC74" i="71"/>
  <c r="Y74" i="71"/>
  <c r="V74" i="71"/>
  <c r="J74" i="71"/>
  <c r="AG74" i="71" s="1"/>
  <c r="AD69" i="71"/>
  <c r="AC69" i="71"/>
  <c r="Y69" i="71"/>
  <c r="V69" i="71"/>
  <c r="J69" i="71"/>
  <c r="AG69" i="71" s="1"/>
  <c r="AB89" i="71" l="1"/>
  <c r="AH96" i="72"/>
  <c r="AH36" i="72"/>
  <c r="AH20" i="72"/>
  <c r="AH30" i="72"/>
  <c r="AH41" i="72"/>
  <c r="AH15" i="72"/>
  <c r="AH11" i="72"/>
  <c r="AH45" i="72"/>
  <c r="AF69" i="71"/>
  <c r="AL34" i="72"/>
  <c r="AL35" i="72" s="1"/>
  <c r="AF74" i="71"/>
  <c r="AH84" i="72"/>
  <c r="AF104" i="72"/>
  <c r="AL3" i="72" s="1"/>
  <c r="D38" i="83" s="1"/>
  <c r="AH79" i="72"/>
  <c r="AH95" i="72"/>
  <c r="AH91" i="72"/>
  <c r="AH90" i="72"/>
  <c r="AH76" i="72"/>
  <c r="AH75" i="72"/>
  <c r="AH46" i="72"/>
  <c r="AH25" i="72"/>
  <c r="AH26" i="72"/>
  <c r="AH21" i="72"/>
  <c r="AH16" i="72"/>
  <c r="AH10" i="72"/>
  <c r="AH31" i="72"/>
  <c r="AH35" i="72"/>
  <c r="AH40" i="72"/>
  <c r="AH49" i="72"/>
  <c r="AH70" i="72"/>
  <c r="AH71" i="72"/>
  <c r="AH66" i="72"/>
  <c r="AH65" i="72"/>
  <c r="AH5" i="72"/>
  <c r="AH6" i="72"/>
  <c r="AH61" i="72"/>
  <c r="AH60" i="72"/>
  <c r="AH56" i="72"/>
  <c r="AH55" i="72"/>
  <c r="AF84" i="71"/>
  <c r="AH80" i="72" l="1"/>
  <c r="AH51" i="72"/>
  <c r="AH104" i="72"/>
  <c r="AL29" i="72"/>
  <c r="AL15" i="72"/>
  <c r="AL25" i="72" s="1"/>
  <c r="AH85" i="72"/>
  <c r="AH86" i="72"/>
  <c r="AH81" i="72"/>
  <c r="AH50" i="72"/>
  <c r="Z79" i="70"/>
  <c r="Z74" i="70"/>
  <c r="AJ49" i="72" l="1"/>
  <c r="AJ99" i="72"/>
  <c r="AJ24" i="72"/>
  <c r="AJ34" i="72"/>
  <c r="AJ39" i="72"/>
  <c r="AJ89" i="72"/>
  <c r="AJ94" i="72"/>
  <c r="AJ29" i="72"/>
  <c r="AJ64" i="72"/>
  <c r="AJ9" i="72"/>
  <c r="AJ69" i="72"/>
  <c r="AJ19" i="72"/>
  <c r="AJ74" i="72"/>
  <c r="AJ54" i="72"/>
  <c r="AJ59" i="72"/>
  <c r="AJ14" i="72"/>
  <c r="AJ44" i="72"/>
  <c r="AJ79" i="72"/>
  <c r="AJ84" i="72"/>
  <c r="AL26" i="72"/>
  <c r="AL30" i="72"/>
  <c r="AL31" i="72" s="1"/>
  <c r="AL38" i="72" s="1"/>
  <c r="AM15" i="72"/>
  <c r="Z54" i="70"/>
  <c r="Z49" i="70"/>
  <c r="AI104" i="72" l="1"/>
  <c r="AM3" i="72" s="1"/>
  <c r="E38" i="83" s="1"/>
  <c r="F38" i="83" s="1"/>
  <c r="AJ4" i="72"/>
  <c r="AJ104" i="72" s="1"/>
  <c r="AE94" i="70"/>
  <c r="AE89" i="70"/>
  <c r="AE84" i="70"/>
  <c r="AE79" i="70"/>
  <c r="AE74" i="70"/>
  <c r="AE69" i="70"/>
  <c r="W94" i="70"/>
  <c r="W89" i="70"/>
  <c r="W84" i="70"/>
  <c r="W79" i="70"/>
  <c r="W74" i="70"/>
  <c r="W69" i="70"/>
  <c r="AB54" i="70"/>
  <c r="AB49" i="70"/>
  <c r="AM4" i="72" l="1"/>
  <c r="AH84" i="71"/>
  <c r="AD79" i="71"/>
  <c r="AC79" i="71"/>
  <c r="Y79" i="71"/>
  <c r="V79" i="71"/>
  <c r="J79" i="71"/>
  <c r="AG79" i="71" s="1"/>
  <c r="AD64" i="71"/>
  <c r="AC64" i="71"/>
  <c r="Y64" i="71"/>
  <c r="V64" i="71"/>
  <c r="J64" i="71"/>
  <c r="AG64" i="71" s="1"/>
  <c r="AD59" i="71"/>
  <c r="V59" i="71"/>
  <c r="J59" i="71"/>
  <c r="AG59" i="71" s="1"/>
  <c r="AD54" i="71"/>
  <c r="V54" i="71"/>
  <c r="J54" i="71"/>
  <c r="AG54" i="71" s="1"/>
  <c r="AD49" i="71"/>
  <c r="V49" i="71"/>
  <c r="J49" i="71"/>
  <c r="AG49" i="71" s="1"/>
  <c r="AD44" i="71"/>
  <c r="AC44" i="71"/>
  <c r="Y44" i="71"/>
  <c r="V44" i="71"/>
  <c r="J44" i="71"/>
  <c r="AG44" i="71" s="1"/>
  <c r="AD39" i="71"/>
  <c r="AC39" i="71"/>
  <c r="Y39" i="71"/>
  <c r="V39" i="71"/>
  <c r="J39" i="71"/>
  <c r="AG39" i="71" s="1"/>
  <c r="AD34" i="71"/>
  <c r="AC34" i="71"/>
  <c r="Y34" i="71"/>
  <c r="V34" i="71"/>
  <c r="J34" i="71"/>
  <c r="AG34" i="71" s="1"/>
  <c r="AD29" i="71"/>
  <c r="AC29" i="71"/>
  <c r="Y29" i="71"/>
  <c r="V29" i="71"/>
  <c r="J29" i="71"/>
  <c r="AG29" i="71" s="1"/>
  <c r="AD24" i="71"/>
  <c r="AC24" i="71"/>
  <c r="Y24" i="71"/>
  <c r="V24" i="71"/>
  <c r="J24" i="71"/>
  <c r="AG24" i="71" s="1"/>
  <c r="AD19" i="71"/>
  <c r="AC19" i="71"/>
  <c r="Y19" i="71"/>
  <c r="V19" i="71"/>
  <c r="J19" i="71"/>
  <c r="AG19" i="71" s="1"/>
  <c r="AD14" i="71"/>
  <c r="AC14" i="71"/>
  <c r="Y14" i="71"/>
  <c r="V14" i="71"/>
  <c r="J14" i="71"/>
  <c r="AG14" i="71" s="1"/>
  <c r="AD9" i="71"/>
  <c r="AC9" i="71"/>
  <c r="Y9" i="71"/>
  <c r="V9" i="71"/>
  <c r="J9" i="71"/>
  <c r="AG9" i="71" s="1"/>
  <c r="AD4" i="71"/>
  <c r="AC4" i="71"/>
  <c r="Y4" i="71"/>
  <c r="V4" i="71"/>
  <c r="J4" i="71"/>
  <c r="AG4" i="71" s="1"/>
  <c r="Y89" i="71" l="1"/>
  <c r="AC89" i="71"/>
  <c r="AD89" i="71"/>
  <c r="V89" i="71"/>
  <c r="AG89" i="71"/>
  <c r="AF79" i="71"/>
  <c r="AH79" i="71" s="1"/>
  <c r="AF64" i="71"/>
  <c r="AF59" i="71"/>
  <c r="AH59" i="71" s="1"/>
  <c r="AF54" i="71"/>
  <c r="AH54" i="71" s="1"/>
  <c r="AF49" i="71"/>
  <c r="AH49" i="71" s="1"/>
  <c r="AF44" i="71"/>
  <c r="AH44" i="71" s="1"/>
  <c r="AF39" i="71"/>
  <c r="AH39" i="71" s="1"/>
  <c r="AF34" i="71"/>
  <c r="AH34" i="71" s="1"/>
  <c r="AF29" i="71"/>
  <c r="AH29" i="71" s="1"/>
  <c r="AF24" i="71"/>
  <c r="AH24" i="71" s="1"/>
  <c r="AF19" i="71"/>
  <c r="AH19" i="71" s="1"/>
  <c r="AF14" i="71"/>
  <c r="AH14" i="71" s="1"/>
  <c r="AF9" i="71"/>
  <c r="AH9" i="71" s="1"/>
  <c r="AH69" i="71"/>
  <c r="AH85" i="71"/>
  <c r="AH86" i="71"/>
  <c r="AH74" i="71"/>
  <c r="AF4" i="71"/>
  <c r="AH4" i="71" s="1"/>
  <c r="AL33" i="71" l="1"/>
  <c r="AH64" i="71"/>
  <c r="AF89" i="71"/>
  <c r="AL3" i="71" s="1"/>
  <c r="D37" i="83" s="1"/>
  <c r="AH40" i="71"/>
  <c r="AH41" i="71"/>
  <c r="AH26" i="71"/>
  <c r="AH25" i="71"/>
  <c r="AH11" i="71"/>
  <c r="AH10" i="71"/>
  <c r="AH31" i="71"/>
  <c r="AH30" i="71"/>
  <c r="AH36" i="71"/>
  <c r="AH35" i="71"/>
  <c r="AH6" i="71"/>
  <c r="AH5" i="71"/>
  <c r="AH55" i="71"/>
  <c r="AH56" i="71"/>
  <c r="AH51" i="71"/>
  <c r="AH50" i="71"/>
  <c r="AH20" i="71"/>
  <c r="AH21" i="71"/>
  <c r="AH46" i="71"/>
  <c r="AH45" i="71"/>
  <c r="AH81" i="71"/>
  <c r="AH80" i="71"/>
  <c r="AH61" i="71"/>
  <c r="AH60" i="71"/>
  <c r="AH71" i="71"/>
  <c r="AH70" i="71"/>
  <c r="AH76" i="71"/>
  <c r="AH75" i="71"/>
  <c r="AH16" i="71"/>
  <c r="AH15" i="71"/>
  <c r="AL14" i="71" l="1"/>
  <c r="AH89" i="71"/>
  <c r="AL38" i="71"/>
  <c r="AL39" i="71" s="1"/>
  <c r="AH65" i="71"/>
  <c r="AH66" i="71"/>
  <c r="AM14" i="71"/>
  <c r="AJ64" i="71" l="1"/>
  <c r="AJ84" i="71"/>
  <c r="AJ74" i="71"/>
  <c r="AJ79" i="71"/>
  <c r="AJ19" i="71"/>
  <c r="AJ29" i="71"/>
  <c r="AJ59" i="71"/>
  <c r="AJ49" i="71"/>
  <c r="AJ69" i="71"/>
  <c r="AJ9" i="71"/>
  <c r="AJ14" i="71"/>
  <c r="AJ39" i="71"/>
  <c r="AJ24" i="71"/>
  <c r="AJ34" i="71"/>
  <c r="AJ44" i="71"/>
  <c r="AJ54" i="71"/>
  <c r="J84" i="70"/>
  <c r="J94" i="70"/>
  <c r="AA99" i="70"/>
  <c r="AD94" i="70"/>
  <c r="AC94" i="70"/>
  <c r="Y94" i="70"/>
  <c r="V94" i="70"/>
  <c r="AD89" i="70"/>
  <c r="AC89" i="70"/>
  <c r="Y89" i="70"/>
  <c r="V89" i="70"/>
  <c r="J89" i="70"/>
  <c r="AG89" i="70" s="1"/>
  <c r="AD84" i="70"/>
  <c r="AC84" i="70"/>
  <c r="Y84" i="70"/>
  <c r="V84" i="70"/>
  <c r="AD79" i="70"/>
  <c r="AC79" i="70"/>
  <c r="Y79" i="70"/>
  <c r="V79" i="70"/>
  <c r="J79" i="70"/>
  <c r="AG79" i="70" s="1"/>
  <c r="AD74" i="70"/>
  <c r="AC74" i="70"/>
  <c r="Y74" i="70"/>
  <c r="V74" i="70"/>
  <c r="J74" i="70"/>
  <c r="AG74" i="70" s="1"/>
  <c r="AG94" i="70" l="1"/>
  <c r="AE99" i="70"/>
  <c r="AG84" i="70"/>
  <c r="AF94" i="70"/>
  <c r="AF89" i="70"/>
  <c r="AH89" i="70" s="1"/>
  <c r="AF84" i="70"/>
  <c r="AF79" i="70"/>
  <c r="AH79" i="70" s="1"/>
  <c r="AF74" i="70"/>
  <c r="AH74" i="70" s="1"/>
  <c r="H54" i="70"/>
  <c r="J54" i="70" s="1"/>
  <c r="H49" i="70"/>
  <c r="AD54" i="70"/>
  <c r="AC54" i="70"/>
  <c r="Y54" i="70"/>
  <c r="AD69" i="70"/>
  <c r="AC69" i="70"/>
  <c r="Y69" i="70"/>
  <c r="V69" i="70"/>
  <c r="J69" i="70"/>
  <c r="AG69" i="70" s="1"/>
  <c r="AH94" i="70" l="1"/>
  <c r="AH84" i="70"/>
  <c r="AH91" i="70"/>
  <c r="AH90" i="70"/>
  <c r="AH81" i="70"/>
  <c r="AH80" i="70"/>
  <c r="AH76" i="70"/>
  <c r="AH75" i="70"/>
  <c r="AG54" i="70"/>
  <c r="V54" i="70"/>
  <c r="AF54" i="70" s="1"/>
  <c r="AF69" i="70"/>
  <c r="AH85" i="70" l="1"/>
  <c r="AH96" i="70"/>
  <c r="AH95" i="70"/>
  <c r="AH86" i="70"/>
  <c r="AH54" i="70"/>
  <c r="AH69" i="70"/>
  <c r="AH56" i="70" l="1"/>
  <c r="AL34" i="70"/>
  <c r="AL35" i="70" s="1"/>
  <c r="AH55" i="70"/>
  <c r="AH70" i="70"/>
  <c r="AH71" i="70"/>
  <c r="AL14" i="69" l="1"/>
  <c r="AL8" i="69"/>
  <c r="Z34" i="70"/>
  <c r="Z29" i="70"/>
  <c r="Z19" i="70"/>
  <c r="Z24" i="70"/>
  <c r="AE59" i="69"/>
  <c r="W59" i="69"/>
  <c r="AE54" i="69"/>
  <c r="W54" i="69"/>
  <c r="AE49" i="69"/>
  <c r="W49" i="69"/>
  <c r="AE44" i="69"/>
  <c r="W44" i="69"/>
  <c r="AE39" i="69"/>
  <c r="W39" i="69"/>
  <c r="AE34" i="69"/>
  <c r="W34" i="69"/>
  <c r="AE24" i="69"/>
  <c r="W24" i="69"/>
  <c r="AE29" i="69"/>
  <c r="W29" i="69"/>
  <c r="AE19" i="69"/>
  <c r="AE14" i="69"/>
  <c r="AE9" i="69"/>
  <c r="W19" i="69"/>
  <c r="W14" i="69"/>
  <c r="W9" i="69"/>
  <c r="Z14" i="70"/>
  <c r="Z9" i="70"/>
  <c r="AD59" i="70"/>
  <c r="AC59" i="70"/>
  <c r="Y59" i="70"/>
  <c r="V59" i="70"/>
  <c r="J59" i="70"/>
  <c r="AG59" i="70" s="1"/>
  <c r="AD49" i="70"/>
  <c r="AC49" i="70"/>
  <c r="Y49" i="70"/>
  <c r="V49" i="70"/>
  <c r="J49" i="70"/>
  <c r="AG49" i="70" s="1"/>
  <c r="AD44" i="70"/>
  <c r="AC44" i="70"/>
  <c r="Y44" i="70"/>
  <c r="V44" i="70"/>
  <c r="J44" i="70"/>
  <c r="AG44" i="70" s="1"/>
  <c r="AD39" i="70"/>
  <c r="AC39" i="70"/>
  <c r="Y39" i="70"/>
  <c r="V39" i="70"/>
  <c r="J39" i="70"/>
  <c r="AG39" i="70" s="1"/>
  <c r="AB19" i="70"/>
  <c r="AB99" i="70" s="1"/>
  <c r="H34" i="70"/>
  <c r="V34" i="70" s="1"/>
  <c r="H29" i="70"/>
  <c r="V29" i="70" s="1"/>
  <c r="H24" i="70"/>
  <c r="V24" i="70" s="1"/>
  <c r="H19" i="70"/>
  <c r="AD24" i="70"/>
  <c r="AC24" i="70"/>
  <c r="Y24" i="70"/>
  <c r="AD34" i="70"/>
  <c r="AC34" i="70"/>
  <c r="Y34" i="70"/>
  <c r="AD29" i="70"/>
  <c r="AC29" i="70"/>
  <c r="Y29" i="70"/>
  <c r="Z99" i="70" l="1"/>
  <c r="AF49" i="70"/>
  <c r="AF44" i="70"/>
  <c r="J34" i="70"/>
  <c r="AG34" i="70" s="1"/>
  <c r="AF39" i="70"/>
  <c r="AF59" i="70"/>
  <c r="AF34" i="70"/>
  <c r="AF29" i="70"/>
  <c r="J29" i="70"/>
  <c r="AG29" i="70" s="1"/>
  <c r="J24" i="70"/>
  <c r="AG24" i="70" s="1"/>
  <c r="AF24" i="70"/>
  <c r="AD14" i="70"/>
  <c r="AC14" i="70"/>
  <c r="Y14" i="70"/>
  <c r="V14" i="70"/>
  <c r="J14" i="70"/>
  <c r="AG14" i="70" s="1"/>
  <c r="AD19" i="70"/>
  <c r="AC19" i="70"/>
  <c r="Y19" i="70"/>
  <c r="V19" i="70"/>
  <c r="J19" i="70"/>
  <c r="AG19" i="70" s="1"/>
  <c r="K9" i="70"/>
  <c r="Y4" i="69"/>
  <c r="Y9" i="69"/>
  <c r="Y29" i="69"/>
  <c r="AC10" i="67"/>
  <c r="AF14" i="70" l="1"/>
  <c r="AF19" i="70"/>
  <c r="AD64" i="70"/>
  <c r="AC64" i="70"/>
  <c r="Y64" i="70"/>
  <c r="V64" i="70"/>
  <c r="J64" i="70"/>
  <c r="AG64" i="70" s="1"/>
  <c r="AH49" i="70"/>
  <c r="AD9" i="70"/>
  <c r="AC9" i="70"/>
  <c r="Y9" i="70"/>
  <c r="V9" i="70"/>
  <c r="J9" i="70"/>
  <c r="AG9" i="70" s="1"/>
  <c r="Y4" i="70"/>
  <c r="AD4" i="70"/>
  <c r="AC4" i="70"/>
  <c r="V4" i="70"/>
  <c r="J4" i="70"/>
  <c r="AG4" i="70" s="1"/>
  <c r="AG99" i="70" l="1"/>
  <c r="AD99" i="70"/>
  <c r="Y99" i="70"/>
  <c r="V99" i="70"/>
  <c r="AC99" i="70"/>
  <c r="AF64" i="70"/>
  <c r="AH64" i="70" s="1"/>
  <c r="AH39" i="70"/>
  <c r="AH19" i="70"/>
  <c r="AH14" i="70"/>
  <c r="AF9" i="70"/>
  <c r="AH9" i="70" s="1"/>
  <c r="AH51" i="70"/>
  <c r="AH50" i="70"/>
  <c r="AH24" i="70"/>
  <c r="AH29" i="70"/>
  <c r="AH59" i="70"/>
  <c r="AH34" i="70"/>
  <c r="AH44" i="70"/>
  <c r="AF4" i="70"/>
  <c r="AH21" i="70" l="1"/>
  <c r="AF99" i="70"/>
  <c r="AL3" i="70" s="1"/>
  <c r="D36" i="83" s="1"/>
  <c r="AH40" i="70"/>
  <c r="AH41" i="70"/>
  <c r="AH20" i="70"/>
  <c r="AH11" i="70"/>
  <c r="AH10" i="70"/>
  <c r="AH4" i="70"/>
  <c r="AH65" i="70"/>
  <c r="AH66" i="70"/>
  <c r="AH46" i="70"/>
  <c r="AH45" i="70"/>
  <c r="AH25" i="70"/>
  <c r="AH26" i="70"/>
  <c r="AH36" i="70"/>
  <c r="AH35" i="70"/>
  <c r="AH31" i="70"/>
  <c r="AH30" i="70"/>
  <c r="AH16" i="70"/>
  <c r="AH15" i="70"/>
  <c r="AH61" i="70"/>
  <c r="AH60" i="70"/>
  <c r="AL30" i="70" l="1"/>
  <c r="AL31" i="70" s="1"/>
  <c r="AL32" i="70" s="1"/>
  <c r="AH99" i="70"/>
  <c r="AL15" i="70"/>
  <c r="AM15" i="70" s="1"/>
  <c r="AH6" i="70"/>
  <c r="AH5" i="70"/>
  <c r="W40" i="68"/>
  <c r="AJ79" i="70" l="1"/>
  <c r="AJ89" i="70"/>
  <c r="AJ74" i="70"/>
  <c r="AJ94" i="70"/>
  <c r="AJ84" i="70"/>
  <c r="AJ54" i="70"/>
  <c r="AJ69" i="70"/>
  <c r="AJ49" i="70"/>
  <c r="AJ29" i="70"/>
  <c r="AJ14" i="70"/>
  <c r="AJ39" i="70"/>
  <c r="AJ9" i="70"/>
  <c r="AJ34" i="70"/>
  <c r="AJ64" i="70"/>
  <c r="AJ59" i="70"/>
  <c r="AJ44" i="70"/>
  <c r="AJ24" i="70"/>
  <c r="AJ19" i="70"/>
  <c r="AL27" i="70"/>
  <c r="AL28" i="70" s="1"/>
  <c r="AE64" i="69"/>
  <c r="AB64" i="69"/>
  <c r="AA64" i="69"/>
  <c r="Y52" i="68"/>
  <c r="X111" i="68"/>
  <c r="Z29" i="69"/>
  <c r="Z64" i="69" s="1"/>
  <c r="Y111" i="68"/>
  <c r="Y106" i="68"/>
  <c r="Y100" i="68"/>
  <c r="Y94" i="68"/>
  <c r="Y88" i="68"/>
  <c r="Y82" i="68"/>
  <c r="Y76" i="68"/>
  <c r="Y64" i="68"/>
  <c r="Y58" i="68"/>
  <c r="Y46" i="68"/>
  <c r="Y40" i="68"/>
  <c r="Y34" i="68"/>
  <c r="Y28" i="68"/>
  <c r="Y22" i="68"/>
  <c r="Y16" i="68"/>
  <c r="AJ4" i="70" l="1"/>
  <c r="AJ99" i="70" s="1"/>
  <c r="AI99" i="70"/>
  <c r="AM3" i="70" s="1"/>
  <c r="E36" i="83" s="1"/>
  <c r="F36" i="83" s="1"/>
  <c r="V111" i="68"/>
  <c r="AB115" i="68"/>
  <c r="AA115" i="68"/>
  <c r="AD111" i="68"/>
  <c r="AC111" i="68"/>
  <c r="J111" i="68"/>
  <c r="AG111" i="68" s="1"/>
  <c r="AL16" i="68"/>
  <c r="AL9" i="68"/>
  <c r="V24" i="69"/>
  <c r="AM4" i="70" l="1"/>
  <c r="AF111" i="68"/>
  <c r="AH111" i="68" l="1"/>
  <c r="V4" i="69"/>
  <c r="AD59" i="69"/>
  <c r="AC59" i="69"/>
  <c r="Y59" i="69"/>
  <c r="V59" i="69"/>
  <c r="J59" i="69"/>
  <c r="AG59" i="69" s="1"/>
  <c r="AD54" i="69"/>
  <c r="AC54" i="69"/>
  <c r="Y54" i="69"/>
  <c r="V54" i="69"/>
  <c r="J54" i="69"/>
  <c r="AG54" i="69" s="1"/>
  <c r="AD49" i="69"/>
  <c r="AC49" i="69"/>
  <c r="Y49" i="69"/>
  <c r="V49" i="69"/>
  <c r="J49" i="69"/>
  <c r="AG49" i="69" s="1"/>
  <c r="AD44" i="69"/>
  <c r="AC44" i="69"/>
  <c r="Y44" i="69"/>
  <c r="V44" i="69"/>
  <c r="J44" i="69"/>
  <c r="AG44" i="69" s="1"/>
  <c r="AD39" i="69"/>
  <c r="AC39" i="69"/>
  <c r="Y39" i="69"/>
  <c r="V39" i="69"/>
  <c r="J39" i="69"/>
  <c r="AG39" i="69" s="1"/>
  <c r="AD34" i="69"/>
  <c r="AC34" i="69"/>
  <c r="Y34" i="69"/>
  <c r="V34" i="69"/>
  <c r="J34" i="69"/>
  <c r="AG34" i="69" s="1"/>
  <c r="AD29" i="69"/>
  <c r="AC29" i="69"/>
  <c r="V29" i="69"/>
  <c r="J29" i="69"/>
  <c r="AG29" i="69" s="1"/>
  <c r="AD24" i="69"/>
  <c r="AC24" i="69"/>
  <c r="Y24" i="69"/>
  <c r="J24" i="69"/>
  <c r="AG24" i="69" s="1"/>
  <c r="AD19" i="69"/>
  <c r="AC19" i="69"/>
  <c r="Y19" i="69"/>
  <c r="V19" i="69"/>
  <c r="J19" i="69"/>
  <c r="AG19" i="69" s="1"/>
  <c r="AD14" i="69"/>
  <c r="AC14" i="69"/>
  <c r="Y14" i="69"/>
  <c r="V14" i="69"/>
  <c r="J14" i="69"/>
  <c r="AG14" i="69" s="1"/>
  <c r="AD9" i="69"/>
  <c r="AC9" i="69"/>
  <c r="V9" i="69"/>
  <c r="J9" i="69"/>
  <c r="AG9" i="69" s="1"/>
  <c r="AD4" i="69"/>
  <c r="AC4" i="69"/>
  <c r="J4" i="69"/>
  <c r="AG4" i="69" s="1"/>
  <c r="AH113" i="68" l="1"/>
  <c r="AH112" i="68"/>
  <c r="AC64" i="69"/>
  <c r="Y64" i="69"/>
  <c r="AD64" i="69"/>
  <c r="V64" i="69"/>
  <c r="AF24" i="69"/>
  <c r="AH24" i="69" s="1"/>
  <c r="AG64" i="69"/>
  <c r="AF44" i="69"/>
  <c r="AH44" i="69" s="1"/>
  <c r="AF49" i="69"/>
  <c r="AH49" i="69" s="1"/>
  <c r="AF54" i="69"/>
  <c r="AF39" i="69"/>
  <c r="AH39" i="69" s="1"/>
  <c r="AF59" i="69"/>
  <c r="AH59" i="69" s="1"/>
  <c r="AF34" i="69"/>
  <c r="AH34" i="69" s="1"/>
  <c r="AF29" i="69"/>
  <c r="AH29" i="69" s="1"/>
  <c r="AF19" i="69"/>
  <c r="AH19" i="69" s="1"/>
  <c r="AF14" i="69"/>
  <c r="AH14" i="69" s="1"/>
  <c r="AF9" i="69"/>
  <c r="AH9" i="69" s="1"/>
  <c r="AF4" i="69"/>
  <c r="J22" i="68"/>
  <c r="J16" i="68"/>
  <c r="V16" i="68"/>
  <c r="V82" i="68"/>
  <c r="AD82" i="68"/>
  <c r="AC82" i="68"/>
  <c r="AD76" i="68"/>
  <c r="AC76" i="68"/>
  <c r="AE10" i="68"/>
  <c r="AE115" i="68" s="1"/>
  <c r="AH25" i="69" l="1"/>
  <c r="AH45" i="69"/>
  <c r="AH54" i="69"/>
  <c r="AH55" i="69" s="1"/>
  <c r="AF64" i="69"/>
  <c r="AL3" i="69" s="1"/>
  <c r="D35" i="83" s="1"/>
  <c r="AH46" i="69"/>
  <c r="AH61" i="69"/>
  <c r="AH60" i="69"/>
  <c r="AH51" i="69"/>
  <c r="AH50" i="69"/>
  <c r="AH36" i="69"/>
  <c r="AH35" i="69"/>
  <c r="AH31" i="69"/>
  <c r="AH30" i="69"/>
  <c r="AH26" i="69"/>
  <c r="AH20" i="69"/>
  <c r="AH21" i="69"/>
  <c r="AH4" i="69"/>
  <c r="AH15" i="69"/>
  <c r="AH16" i="69"/>
  <c r="AH41" i="69"/>
  <c r="AH40" i="69"/>
  <c r="AH10" i="69"/>
  <c r="AH11" i="69"/>
  <c r="AF82" i="68"/>
  <c r="J82" i="68"/>
  <c r="J76" i="68"/>
  <c r="AG76" i="68" s="1"/>
  <c r="V76" i="68"/>
  <c r="AF76" i="68" s="1"/>
  <c r="V10" i="68"/>
  <c r="AH56" i="69" l="1"/>
  <c r="AL15" i="69"/>
  <c r="AL9" i="69"/>
  <c r="AM9" i="69" s="1"/>
  <c r="AH64" i="69"/>
  <c r="AG82" i="68"/>
  <c r="AM15" i="69"/>
  <c r="AH6" i="69"/>
  <c r="AH5" i="69"/>
  <c r="AJ54" i="69" l="1"/>
  <c r="AJ4" i="69"/>
  <c r="AJ39" i="69"/>
  <c r="AJ29" i="69"/>
  <c r="AJ14" i="69"/>
  <c r="AJ59" i="69"/>
  <c r="AJ34" i="69"/>
  <c r="AJ9" i="69"/>
  <c r="AJ49" i="69"/>
  <c r="AJ24" i="69"/>
  <c r="AJ19" i="69"/>
  <c r="AJ44" i="69"/>
  <c r="AH82" i="68"/>
  <c r="Z46" i="68"/>
  <c r="W22" i="68"/>
  <c r="W28" i="68"/>
  <c r="W34" i="68"/>
  <c r="W70" i="68"/>
  <c r="J10" i="68"/>
  <c r="AC4" i="67"/>
  <c r="AC106" i="68"/>
  <c r="AC100" i="68"/>
  <c r="AC94" i="68"/>
  <c r="AC88" i="68"/>
  <c r="AC70" i="68"/>
  <c r="AC64" i="68"/>
  <c r="AC58" i="68"/>
  <c r="AC52" i="68"/>
  <c r="AC46" i="68"/>
  <c r="AC40" i="68"/>
  <c r="AC34" i="68"/>
  <c r="AC28" i="68"/>
  <c r="AC22" i="68"/>
  <c r="AC16" i="68"/>
  <c r="AC10" i="68"/>
  <c r="AC4" i="68"/>
  <c r="AD4" i="68"/>
  <c r="AD10" i="68"/>
  <c r="Z4" i="68"/>
  <c r="AI64" i="69" l="1"/>
  <c r="AM3" i="69" s="1"/>
  <c r="E35" i="83" s="1"/>
  <c r="F35" i="83" s="1"/>
  <c r="Z115" i="68"/>
  <c r="AJ64" i="69"/>
  <c r="AC115" i="68"/>
  <c r="Y10" i="68"/>
  <c r="AF10" i="68" s="1"/>
  <c r="Y4" i="68"/>
  <c r="Y76" i="67"/>
  <c r="AM4" i="69" l="1"/>
  <c r="AL16" i="67"/>
  <c r="AE82" i="67"/>
  <c r="AA82" i="67"/>
  <c r="Z64" i="67"/>
  <c r="AC76" i="67" l="1"/>
  <c r="AC70" i="67"/>
  <c r="AC64" i="67"/>
  <c r="AC58" i="67"/>
  <c r="AC52" i="67"/>
  <c r="AC46" i="67"/>
  <c r="AC40" i="67"/>
  <c r="AC34" i="67"/>
  <c r="AC28" i="67"/>
  <c r="AC22" i="67"/>
  <c r="AC16" i="67"/>
  <c r="Y70" i="67"/>
  <c r="Y64" i="67"/>
  <c r="Y58" i="67"/>
  <c r="Y52" i="67"/>
  <c r="Y46" i="67"/>
  <c r="Y40" i="67"/>
  <c r="Y34" i="67"/>
  <c r="Y28" i="67"/>
  <c r="Y22" i="67"/>
  <c r="Y16" i="67"/>
  <c r="Y10" i="67"/>
  <c r="Y4" i="67"/>
  <c r="Y10" i="66"/>
  <c r="AB76" i="67"/>
  <c r="AB34" i="67"/>
  <c r="Z76" i="67"/>
  <c r="Z34" i="67"/>
  <c r="AD76" i="67"/>
  <c r="V76" i="67"/>
  <c r="J76" i="67"/>
  <c r="AG76" i="67" s="1"/>
  <c r="V64" i="67"/>
  <c r="J64" i="67"/>
  <c r="AG64" i="67" s="1"/>
  <c r="Z4" i="67"/>
  <c r="AB82" i="67" l="1"/>
  <c r="AC82" i="67"/>
  <c r="Y82" i="67"/>
  <c r="Z82" i="67"/>
  <c r="AF76" i="67"/>
  <c r="V46" i="67" l="1"/>
  <c r="J4" i="67"/>
  <c r="V4" i="67"/>
  <c r="AL16" i="66"/>
  <c r="AD106" i="68"/>
  <c r="V106" i="68"/>
  <c r="J106" i="68"/>
  <c r="AG106" i="68" s="1"/>
  <c r="AD100" i="68"/>
  <c r="V100" i="68"/>
  <c r="J100" i="68"/>
  <c r="AG100" i="68" s="1"/>
  <c r="AD94" i="68"/>
  <c r="V94" i="68"/>
  <c r="J94" i="68"/>
  <c r="AG94" i="68" s="1"/>
  <c r="AD88" i="68"/>
  <c r="V88" i="68"/>
  <c r="J88" i="68"/>
  <c r="AG88" i="68" s="1"/>
  <c r="AH83" i="68"/>
  <c r="AD70" i="68"/>
  <c r="Y70" i="68"/>
  <c r="V70" i="68"/>
  <c r="J70" i="68"/>
  <c r="AG70" i="68" s="1"/>
  <c r="AD64" i="68"/>
  <c r="V64" i="68"/>
  <c r="J64" i="68"/>
  <c r="AG64" i="68" s="1"/>
  <c r="AD58" i="68"/>
  <c r="V58" i="68"/>
  <c r="J58" i="68"/>
  <c r="AG58" i="68" s="1"/>
  <c r="AD52" i="68"/>
  <c r="V52" i="68"/>
  <c r="J52" i="68"/>
  <c r="AG52" i="68" s="1"/>
  <c r="AD46" i="68"/>
  <c r="V46" i="68"/>
  <c r="J46" i="68"/>
  <c r="AG46" i="68" s="1"/>
  <c r="AD40" i="68"/>
  <c r="V40" i="68"/>
  <c r="J40" i="68"/>
  <c r="AG40" i="68" s="1"/>
  <c r="AD34" i="68"/>
  <c r="V34" i="68"/>
  <c r="J34" i="68"/>
  <c r="AG34" i="68" s="1"/>
  <c r="AD28" i="68"/>
  <c r="V28" i="68"/>
  <c r="J28" i="68"/>
  <c r="AG28" i="68" s="1"/>
  <c r="AD22" i="68"/>
  <c r="V22" i="68"/>
  <c r="AG22" i="68"/>
  <c r="AD16" i="68"/>
  <c r="AG16" i="68"/>
  <c r="AG10" i="68"/>
  <c r="V4" i="68"/>
  <c r="J4" i="68"/>
  <c r="AG4" i="68" s="1"/>
  <c r="AH76" i="67"/>
  <c r="AH77" i="67" s="1"/>
  <c r="AD70" i="67"/>
  <c r="V70" i="67"/>
  <c r="J70" i="67"/>
  <c r="AG70" i="67" s="1"/>
  <c r="AD64" i="67"/>
  <c r="AD58" i="67"/>
  <c r="V58" i="67"/>
  <c r="J58" i="67"/>
  <c r="AG58" i="67" s="1"/>
  <c r="AD52" i="67"/>
  <c r="V52" i="67"/>
  <c r="J52" i="67"/>
  <c r="AG52" i="67" s="1"/>
  <c r="AD46" i="67"/>
  <c r="J46" i="67"/>
  <c r="AG46" i="67" s="1"/>
  <c r="AD40" i="67"/>
  <c r="V40" i="67"/>
  <c r="J40" i="67"/>
  <c r="AG40" i="67" s="1"/>
  <c r="AD34" i="67"/>
  <c r="V34" i="67"/>
  <c r="J34" i="67"/>
  <c r="AG34" i="67" s="1"/>
  <c r="AD28" i="67"/>
  <c r="V28" i="67"/>
  <c r="J28" i="67"/>
  <c r="AG28" i="67" s="1"/>
  <c r="AD22" i="67"/>
  <c r="V22" i="67"/>
  <c r="J22" i="67"/>
  <c r="AG22" i="67" s="1"/>
  <c r="AD16" i="67"/>
  <c r="V16" i="67"/>
  <c r="J16" i="67"/>
  <c r="AG16" i="67" s="1"/>
  <c r="AD10" i="67"/>
  <c r="V10" i="67"/>
  <c r="J10" i="67"/>
  <c r="AG10" i="67" s="1"/>
  <c r="AD4" i="67"/>
  <c r="AG4" i="67"/>
  <c r="V115" i="68" l="1"/>
  <c r="AD115" i="68"/>
  <c r="AG115" i="68"/>
  <c r="Y115" i="68"/>
  <c r="V82" i="67"/>
  <c r="AD82" i="67"/>
  <c r="AF22" i="67"/>
  <c r="AH22" i="67" s="1"/>
  <c r="AH23" i="67" s="1"/>
  <c r="AF94" i="68"/>
  <c r="AH94" i="68" s="1"/>
  <c r="AH95" i="68" s="1"/>
  <c r="AF106" i="68"/>
  <c r="AF100" i="68"/>
  <c r="AH100" i="68" s="1"/>
  <c r="AH101" i="68" s="1"/>
  <c r="AF88" i="68"/>
  <c r="AF64" i="68"/>
  <c r="AH64" i="68" s="1"/>
  <c r="AH65" i="68" s="1"/>
  <c r="AF70" i="68"/>
  <c r="AH70" i="68" s="1"/>
  <c r="AH71" i="68" s="1"/>
  <c r="AF52" i="68"/>
  <c r="AH52" i="68" s="1"/>
  <c r="AF58" i="68"/>
  <c r="AH58" i="68" s="1"/>
  <c r="AH59" i="68" s="1"/>
  <c r="AF46" i="68"/>
  <c r="AH46" i="68" s="1"/>
  <c r="AH47" i="68" s="1"/>
  <c r="AG82" i="67"/>
  <c r="AF40" i="68"/>
  <c r="AH40" i="68" s="1"/>
  <c r="AF34" i="68"/>
  <c r="AH34" i="68" s="1"/>
  <c r="AH35" i="68" s="1"/>
  <c r="AF28" i="68"/>
  <c r="AH28" i="68" s="1"/>
  <c r="AH29" i="68" s="1"/>
  <c r="AF22" i="68"/>
  <c r="AH22" i="68" s="1"/>
  <c r="AH23" i="68" s="1"/>
  <c r="AF16" i="68"/>
  <c r="AH16" i="68" s="1"/>
  <c r="AF4" i="68"/>
  <c r="AH4" i="68" s="1"/>
  <c r="AF58" i="67"/>
  <c r="AH58" i="67" s="1"/>
  <c r="AF52" i="67"/>
  <c r="AH52" i="67" s="1"/>
  <c r="AH53" i="67" s="1"/>
  <c r="AF46" i="67"/>
  <c r="AH46" i="67" s="1"/>
  <c r="AH47" i="67" s="1"/>
  <c r="AF40" i="67"/>
  <c r="AH40" i="67" s="1"/>
  <c r="AH41" i="67" s="1"/>
  <c r="AF34" i="67"/>
  <c r="AH34" i="67" s="1"/>
  <c r="AH35" i="67" s="1"/>
  <c r="AH84" i="68"/>
  <c r="AF28" i="67"/>
  <c r="AH28" i="67" s="1"/>
  <c r="AH29" i="67" s="1"/>
  <c r="AF10" i="67"/>
  <c r="AH10" i="67" s="1"/>
  <c r="AH11" i="67" s="1"/>
  <c r="AF4" i="67"/>
  <c r="AH4" i="67" s="1"/>
  <c r="AF16" i="67"/>
  <c r="AH16" i="67" s="1"/>
  <c r="AH17" i="67" s="1"/>
  <c r="AF64" i="67"/>
  <c r="AF70" i="67"/>
  <c r="AH70" i="67" s="1"/>
  <c r="AH71" i="67" s="1"/>
  <c r="AH78" i="67"/>
  <c r="AC64" i="66"/>
  <c r="AC58" i="66"/>
  <c r="AC52" i="66"/>
  <c r="AC46" i="66"/>
  <c r="AC40" i="66"/>
  <c r="AC34" i="66"/>
  <c r="AC28" i="66"/>
  <c r="AC22" i="66"/>
  <c r="AC16" i="66"/>
  <c r="AC10" i="66"/>
  <c r="AC4" i="66"/>
  <c r="AH5" i="67" l="1"/>
  <c r="AH41" i="68"/>
  <c r="AH17" i="68"/>
  <c r="AH88" i="68"/>
  <c r="AF115" i="68"/>
  <c r="AL3" i="68" s="1"/>
  <c r="D34" i="83" s="1"/>
  <c r="AH106" i="68"/>
  <c r="AH108" i="68" s="1"/>
  <c r="AH53" i="68"/>
  <c r="AH5" i="68"/>
  <c r="AH96" i="68"/>
  <c r="AH10" i="68"/>
  <c r="AH11" i="68" s="1"/>
  <c r="AH54" i="68"/>
  <c r="AH66" i="68"/>
  <c r="AH72" i="68"/>
  <c r="AH60" i="68"/>
  <c r="AH64" i="67"/>
  <c r="AH66" i="67" s="1"/>
  <c r="AF82" i="67"/>
  <c r="AL3" i="67" s="1"/>
  <c r="D33" i="83" s="1"/>
  <c r="AH24" i="68"/>
  <c r="AH54" i="67"/>
  <c r="AH60" i="67"/>
  <c r="AH59" i="67"/>
  <c r="AH102" i="68"/>
  <c r="AH6" i="68"/>
  <c r="AH18" i="68"/>
  <c r="AH48" i="68"/>
  <c r="AH36" i="68"/>
  <c r="AH30" i="68"/>
  <c r="AH42" i="68"/>
  <c r="AH42" i="67"/>
  <c r="AH18" i="67"/>
  <c r="AH24" i="67"/>
  <c r="AH72" i="67"/>
  <c r="AH6" i="67"/>
  <c r="AH30" i="67"/>
  <c r="AH48" i="67"/>
  <c r="AH12" i="67"/>
  <c r="AH36" i="67"/>
  <c r="AB88" i="65"/>
  <c r="AB135" i="64"/>
  <c r="AH82" i="67" l="1"/>
  <c r="AL10" i="68"/>
  <c r="AM10" i="68" s="1"/>
  <c r="AH90" i="68"/>
  <c r="AH89" i="68"/>
  <c r="AH107" i="68"/>
  <c r="AH12" i="68"/>
  <c r="AH65" i="67"/>
  <c r="AL17" i="67"/>
  <c r="Y4" i="66"/>
  <c r="AM17" i="67" l="1"/>
  <c r="AL16" i="65"/>
  <c r="AE88" i="65"/>
  <c r="AA88" i="65"/>
  <c r="Z88" i="65"/>
  <c r="AD70" i="66" l="1"/>
  <c r="AC70" i="66"/>
  <c r="AC75" i="66" s="1"/>
  <c r="Y70" i="66"/>
  <c r="V70" i="66"/>
  <c r="J70" i="66"/>
  <c r="AG70" i="66" s="1"/>
  <c r="AD64" i="66"/>
  <c r="V64" i="66"/>
  <c r="J64" i="66"/>
  <c r="AG64" i="66" s="1"/>
  <c r="AD58" i="66"/>
  <c r="V58" i="66"/>
  <c r="J58" i="66"/>
  <c r="AG58" i="66" s="1"/>
  <c r="AD52" i="66"/>
  <c r="V52" i="66"/>
  <c r="J52" i="66"/>
  <c r="AG52" i="66" s="1"/>
  <c r="AD46" i="66"/>
  <c r="V46" i="66"/>
  <c r="J46" i="66"/>
  <c r="AG46" i="66" s="1"/>
  <c r="AD40" i="66"/>
  <c r="V40" i="66"/>
  <c r="J40" i="66"/>
  <c r="AG40" i="66" s="1"/>
  <c r="AD34" i="66"/>
  <c r="V34" i="66"/>
  <c r="J34" i="66"/>
  <c r="AG34" i="66" s="1"/>
  <c r="AD28" i="66"/>
  <c r="Y28" i="66"/>
  <c r="V28" i="66"/>
  <c r="J28" i="66"/>
  <c r="AG28" i="66" s="1"/>
  <c r="AD22" i="66"/>
  <c r="Y22" i="66"/>
  <c r="V22" i="66"/>
  <c r="J22" i="66"/>
  <c r="AG22" i="66" s="1"/>
  <c r="AD16" i="66"/>
  <c r="V16" i="66"/>
  <c r="J16" i="66"/>
  <c r="AG16" i="66" s="1"/>
  <c r="AD10" i="66"/>
  <c r="V10" i="66"/>
  <c r="J10" i="66"/>
  <c r="AG10" i="66" s="1"/>
  <c r="AD4" i="66"/>
  <c r="V4" i="66"/>
  <c r="J4" i="66"/>
  <c r="AG4" i="66" s="1"/>
  <c r="AC70" i="65"/>
  <c r="AC64" i="65"/>
  <c r="AC58" i="65"/>
  <c r="AC52" i="65"/>
  <c r="AC46" i="65"/>
  <c r="AC40" i="65"/>
  <c r="AC34" i="65"/>
  <c r="AC28" i="65"/>
  <c r="AC22" i="65"/>
  <c r="AC16" i="65"/>
  <c r="AC10" i="65"/>
  <c r="AC4" i="65"/>
  <c r="Y70" i="65"/>
  <c r="Y64" i="65"/>
  <c r="Y58" i="65"/>
  <c r="Y52" i="65"/>
  <c r="Y46" i="65"/>
  <c r="Y40" i="65"/>
  <c r="Y34" i="65"/>
  <c r="AL16" i="64"/>
  <c r="Y75" i="66" l="1"/>
  <c r="AG75" i="66"/>
  <c r="V75" i="66"/>
  <c r="AD75" i="66"/>
  <c r="AF10" i="66"/>
  <c r="AH10" i="66" s="1"/>
  <c r="AF58" i="66"/>
  <c r="AH58" i="66" s="1"/>
  <c r="AF34" i="66"/>
  <c r="AH34" i="66" s="1"/>
  <c r="AF70" i="66"/>
  <c r="AF64" i="66"/>
  <c r="AH64" i="66" s="1"/>
  <c r="AF52" i="66"/>
  <c r="AH52" i="66" s="1"/>
  <c r="AF46" i="66"/>
  <c r="AH46" i="66" s="1"/>
  <c r="AF40" i="66"/>
  <c r="AH40" i="66" s="1"/>
  <c r="AF28" i="66"/>
  <c r="AH28" i="66" s="1"/>
  <c r="AF22" i="66"/>
  <c r="AH22" i="66" s="1"/>
  <c r="AF16" i="66"/>
  <c r="AH16" i="66" s="1"/>
  <c r="AF4" i="66"/>
  <c r="Y28" i="65"/>
  <c r="Y22" i="65"/>
  <c r="Y16" i="65"/>
  <c r="Y10" i="65"/>
  <c r="Y4" i="65"/>
  <c r="Y128" i="64"/>
  <c r="Y122" i="64"/>
  <c r="Y111" i="64"/>
  <c r="Y106" i="64"/>
  <c r="Y88" i="64"/>
  <c r="AF75" i="66" l="1"/>
  <c r="AL3" i="66" s="1"/>
  <c r="D32" i="83" s="1"/>
  <c r="AH11" i="66"/>
  <c r="AH29" i="66"/>
  <c r="AH41" i="66"/>
  <c r="AH70" i="66"/>
  <c r="AH24" i="66"/>
  <c r="AH23" i="66"/>
  <c r="AH66" i="66"/>
  <c r="AH65" i="66"/>
  <c r="AH48" i="66"/>
  <c r="AH47" i="66"/>
  <c r="AH42" i="66"/>
  <c r="AH17" i="66"/>
  <c r="AH18" i="66"/>
  <c r="AH12" i="66"/>
  <c r="AH36" i="66"/>
  <c r="AH35" i="66"/>
  <c r="AH4" i="66"/>
  <c r="AH54" i="66"/>
  <c r="AH53" i="66"/>
  <c r="AH30" i="66"/>
  <c r="AH60" i="66"/>
  <c r="AH59" i="66"/>
  <c r="AD4" i="65"/>
  <c r="AH75" i="66" l="1"/>
  <c r="AL17" i="66"/>
  <c r="AM17" i="66" s="1"/>
  <c r="AH72" i="66"/>
  <c r="AH71" i="66"/>
  <c r="AH6" i="66"/>
  <c r="AH5" i="66"/>
  <c r="AE135" i="64"/>
  <c r="AA135" i="64"/>
  <c r="Z135" i="64"/>
  <c r="AD82" i="65"/>
  <c r="AC82" i="65"/>
  <c r="V82" i="65"/>
  <c r="J82" i="65"/>
  <c r="AG82" i="65" s="1"/>
  <c r="AD76" i="65"/>
  <c r="AC76" i="65"/>
  <c r="Y76" i="65"/>
  <c r="Y88" i="65" s="1"/>
  <c r="V76" i="65"/>
  <c r="J76" i="65"/>
  <c r="AG76" i="65" s="1"/>
  <c r="AD70" i="65"/>
  <c r="V70" i="65"/>
  <c r="J70" i="65"/>
  <c r="AG70" i="65" s="1"/>
  <c r="AD64" i="65"/>
  <c r="V64" i="65"/>
  <c r="J64" i="65"/>
  <c r="AG64" i="65" s="1"/>
  <c r="AD58" i="65"/>
  <c r="V58" i="65"/>
  <c r="J58" i="65"/>
  <c r="AG58" i="65" s="1"/>
  <c r="AD52" i="65"/>
  <c r="V52" i="65"/>
  <c r="J52" i="65"/>
  <c r="AG52" i="65" s="1"/>
  <c r="AD46" i="65"/>
  <c r="V46" i="65"/>
  <c r="J46" i="65"/>
  <c r="AG46" i="65" s="1"/>
  <c r="AD40" i="65"/>
  <c r="V40" i="65"/>
  <c r="J40" i="65"/>
  <c r="AG40" i="65" s="1"/>
  <c r="AD34" i="65"/>
  <c r="V34" i="65"/>
  <c r="J34" i="65"/>
  <c r="AG34" i="65" s="1"/>
  <c r="AD28" i="65"/>
  <c r="V28" i="65"/>
  <c r="J28" i="65"/>
  <c r="AG28" i="65" s="1"/>
  <c r="AD22" i="65"/>
  <c r="V22" i="65"/>
  <c r="J22" i="65"/>
  <c r="AG22" i="65" s="1"/>
  <c r="AD16" i="65"/>
  <c r="V16" i="65"/>
  <c r="J16" i="65"/>
  <c r="AG16" i="65" s="1"/>
  <c r="AD10" i="65"/>
  <c r="V10" i="65"/>
  <c r="J10" i="65"/>
  <c r="AG10" i="65" s="1"/>
  <c r="V4" i="65"/>
  <c r="J4" i="65"/>
  <c r="AG4" i="65" s="1"/>
  <c r="AC128" i="64"/>
  <c r="AC88" i="65" l="1"/>
  <c r="AD88" i="65"/>
  <c r="AF22" i="65"/>
  <c r="AH22" i="65" s="1"/>
  <c r="AH23" i="65" s="1"/>
  <c r="AG88" i="65"/>
  <c r="V88" i="65"/>
  <c r="AF76" i="65"/>
  <c r="AH76" i="65" s="1"/>
  <c r="AH78" i="65" s="1"/>
  <c r="AF70" i="65"/>
  <c r="AH70" i="65" s="1"/>
  <c r="AF46" i="65"/>
  <c r="AH46" i="65" s="1"/>
  <c r="AF40" i="65"/>
  <c r="AH40" i="65" s="1"/>
  <c r="AF82" i="65"/>
  <c r="AF64" i="65"/>
  <c r="AH64" i="65" s="1"/>
  <c r="AH65" i="65" s="1"/>
  <c r="AF58" i="65"/>
  <c r="AH58" i="65" s="1"/>
  <c r="AH59" i="65" s="1"/>
  <c r="AF52" i="65"/>
  <c r="AH52" i="65" s="1"/>
  <c r="AH53" i="65" s="1"/>
  <c r="AF34" i="65"/>
  <c r="AH34" i="65" s="1"/>
  <c r="AF28" i="65"/>
  <c r="AH28" i="65" s="1"/>
  <c r="AH29" i="65" s="1"/>
  <c r="AF16" i="65"/>
  <c r="AH16" i="65" s="1"/>
  <c r="AF10" i="65"/>
  <c r="AH10" i="65" s="1"/>
  <c r="AF4" i="65"/>
  <c r="AC122" i="64"/>
  <c r="AH82" i="65" l="1"/>
  <c r="AF88" i="65"/>
  <c r="AL3" i="65" s="1"/>
  <c r="D31" i="83" s="1"/>
  <c r="AH72" i="65"/>
  <c r="AH71" i="65"/>
  <c r="AH48" i="65"/>
  <c r="AH47" i="65"/>
  <c r="AH18" i="65"/>
  <c r="AH17" i="65"/>
  <c r="AH24" i="65"/>
  <c r="AH77" i="65"/>
  <c r="AH66" i="65"/>
  <c r="AH54" i="65"/>
  <c r="AH30" i="65"/>
  <c r="AH11" i="65"/>
  <c r="AH12" i="65"/>
  <c r="AH4" i="65"/>
  <c r="AH88" i="65" s="1"/>
  <c r="AH60" i="65"/>
  <c r="AH42" i="65"/>
  <c r="AH41" i="65"/>
  <c r="AH35" i="65"/>
  <c r="AH36" i="65"/>
  <c r="AC116" i="64"/>
  <c r="AH5" i="65" l="1"/>
  <c r="AL17" i="65"/>
  <c r="AM17" i="65" s="1"/>
  <c r="AH84" i="65"/>
  <c r="AH83" i="65"/>
  <c r="AH6" i="65"/>
  <c r="AC111" i="64"/>
  <c r="AC100" i="64" l="1"/>
  <c r="AC94" i="64" l="1"/>
  <c r="AC88" i="64" l="1"/>
  <c r="Y22" i="64" l="1"/>
  <c r="Y16" i="64"/>
  <c r="Y10" i="64"/>
  <c r="AC82" i="64"/>
  <c r="AC76" i="64"/>
  <c r="AC70" i="64"/>
  <c r="AC64" i="64"/>
  <c r="AC58" i="64"/>
  <c r="AC52" i="64"/>
  <c r="AC46" i="64"/>
  <c r="AC40" i="64"/>
  <c r="AC34" i="64"/>
  <c r="AC28" i="64"/>
  <c r="AC22" i="64"/>
  <c r="AC16" i="64"/>
  <c r="AC10" i="64"/>
  <c r="AC4" i="64"/>
  <c r="Y82" i="64"/>
  <c r="Y76" i="64"/>
  <c r="Y64" i="64"/>
  <c r="Y52" i="64"/>
  <c r="Y46" i="64"/>
  <c r="Y40" i="64"/>
  <c r="Y34" i="64"/>
  <c r="Y28" i="64"/>
  <c r="Y4" i="64"/>
  <c r="AC70" i="63"/>
  <c r="AC64" i="63"/>
  <c r="AC58" i="63"/>
  <c r="AC52" i="63"/>
  <c r="AC46" i="63"/>
  <c r="AC40" i="63"/>
  <c r="AC34" i="63"/>
  <c r="AC28" i="63"/>
  <c r="AC22" i="63"/>
  <c r="AC16" i="63"/>
  <c r="AC10" i="63"/>
  <c r="AC4" i="63"/>
  <c r="Y135" i="64" l="1"/>
  <c r="AD4" i="64" l="1"/>
  <c r="AL16" i="63"/>
  <c r="AE75" i="63"/>
  <c r="AC75" i="63"/>
  <c r="AB75" i="63"/>
  <c r="AA75" i="63"/>
  <c r="Z75" i="63"/>
  <c r="J4" i="64"/>
  <c r="AG4" i="64" s="1"/>
  <c r="V4" i="64"/>
  <c r="AD128" i="64"/>
  <c r="V128" i="64"/>
  <c r="J128" i="64"/>
  <c r="AG128" i="64" s="1"/>
  <c r="AD122" i="64"/>
  <c r="V122" i="64"/>
  <c r="J122" i="64"/>
  <c r="AG122" i="64" s="1"/>
  <c r="AD116" i="64"/>
  <c r="V116" i="64"/>
  <c r="J116" i="64"/>
  <c r="AG116" i="64" s="1"/>
  <c r="AD111" i="64"/>
  <c r="V111" i="64"/>
  <c r="J111" i="64"/>
  <c r="AG111" i="64" s="1"/>
  <c r="AD106" i="64"/>
  <c r="AC106" i="64"/>
  <c r="AC135" i="64" s="1"/>
  <c r="V106" i="64"/>
  <c r="J106" i="64"/>
  <c r="AG106" i="64" s="1"/>
  <c r="AD100" i="64"/>
  <c r="V100" i="64"/>
  <c r="J100" i="64"/>
  <c r="AG100" i="64" s="1"/>
  <c r="AD94" i="64"/>
  <c r="V94" i="64"/>
  <c r="J94" i="64"/>
  <c r="AG94" i="64" s="1"/>
  <c r="AD88" i="64"/>
  <c r="V88" i="64"/>
  <c r="J88" i="64"/>
  <c r="AG88" i="64" s="1"/>
  <c r="AD82" i="64"/>
  <c r="V82" i="64"/>
  <c r="J82" i="64"/>
  <c r="AG82" i="64" s="1"/>
  <c r="AD76" i="64"/>
  <c r="V76" i="64"/>
  <c r="J76" i="64"/>
  <c r="AG76" i="64" s="1"/>
  <c r="AD70" i="64"/>
  <c r="V70" i="64"/>
  <c r="J70" i="64"/>
  <c r="AG70" i="64" s="1"/>
  <c r="AD64" i="64"/>
  <c r="V64" i="64"/>
  <c r="J64" i="64"/>
  <c r="AG64" i="64" s="1"/>
  <c r="AD58" i="64"/>
  <c r="V58" i="64"/>
  <c r="J58" i="64"/>
  <c r="AG58" i="64" s="1"/>
  <c r="AD52" i="64"/>
  <c r="V52" i="64"/>
  <c r="J52" i="64"/>
  <c r="AG52" i="64" s="1"/>
  <c r="AD46" i="64"/>
  <c r="V46" i="64"/>
  <c r="J46" i="64"/>
  <c r="AG46" i="64" s="1"/>
  <c r="AD40" i="64"/>
  <c r="V40" i="64"/>
  <c r="J40" i="64"/>
  <c r="AG40" i="64" s="1"/>
  <c r="AD34" i="64"/>
  <c r="V34" i="64"/>
  <c r="J34" i="64"/>
  <c r="AG34" i="64" s="1"/>
  <c r="AD28" i="64"/>
  <c r="V28" i="64"/>
  <c r="J28" i="64"/>
  <c r="AG28" i="64" s="1"/>
  <c r="AD22" i="64"/>
  <c r="V22" i="64"/>
  <c r="J22" i="64"/>
  <c r="AG22" i="64" s="1"/>
  <c r="AD16" i="64"/>
  <c r="V16" i="64"/>
  <c r="J16" i="64"/>
  <c r="AG16" i="64" s="1"/>
  <c r="AD10" i="64"/>
  <c r="V10" i="64"/>
  <c r="J10" i="64"/>
  <c r="AG10" i="64" s="1"/>
  <c r="AG135" i="64" l="1"/>
  <c r="AF52" i="64"/>
  <c r="AH52" i="64" s="1"/>
  <c r="AH53" i="64" s="1"/>
  <c r="AF4" i="64"/>
  <c r="AH4" i="64" s="1"/>
  <c r="V135" i="64"/>
  <c r="AD135" i="64"/>
  <c r="AF94" i="64"/>
  <c r="AH94" i="64" s="1"/>
  <c r="AH96" i="64" s="1"/>
  <c r="AF16" i="64"/>
  <c r="AH16" i="64" s="1"/>
  <c r="AH17" i="64" s="1"/>
  <c r="AF40" i="64"/>
  <c r="AH40" i="64" s="1"/>
  <c r="AF128" i="64"/>
  <c r="AH128" i="64" s="1"/>
  <c r="AF122" i="64"/>
  <c r="AH122" i="64" s="1"/>
  <c r="AH123" i="64" s="1"/>
  <c r="AF116" i="64"/>
  <c r="AH116" i="64" s="1"/>
  <c r="AH117" i="64" s="1"/>
  <c r="AF111" i="64"/>
  <c r="AH111" i="64" s="1"/>
  <c r="AH112" i="64" s="1"/>
  <c r="AF106" i="64"/>
  <c r="AH106" i="64" s="1"/>
  <c r="AF100" i="64"/>
  <c r="AH100" i="64" s="1"/>
  <c r="AH101" i="64" s="1"/>
  <c r="AF88" i="64"/>
  <c r="AH88" i="64" s="1"/>
  <c r="AF82" i="64"/>
  <c r="AH82" i="64" s="1"/>
  <c r="AH83" i="64" s="1"/>
  <c r="AF76" i="64"/>
  <c r="AH76" i="64" s="1"/>
  <c r="AF64" i="64"/>
  <c r="AF58" i="64"/>
  <c r="AH58" i="64" s="1"/>
  <c r="AF10" i="64"/>
  <c r="AH10" i="64" s="1"/>
  <c r="AF28" i="64"/>
  <c r="AH28" i="64" s="1"/>
  <c r="AH30" i="64" s="1"/>
  <c r="AF34" i="64"/>
  <c r="AH34" i="64" s="1"/>
  <c r="AH35" i="64" s="1"/>
  <c r="AF70" i="64"/>
  <c r="AH70" i="64" s="1"/>
  <c r="AF46" i="64"/>
  <c r="AH46" i="64" s="1"/>
  <c r="AH47" i="64" s="1"/>
  <c r="AF22" i="64"/>
  <c r="AH22" i="64" s="1"/>
  <c r="AH5" i="64" l="1"/>
  <c r="AH64" i="64"/>
  <c r="AH135" i="64" s="1"/>
  <c r="AF135" i="64"/>
  <c r="AL3" i="64" s="1"/>
  <c r="D30" i="83" s="1"/>
  <c r="AH129" i="64"/>
  <c r="AH130" i="64"/>
  <c r="AH124" i="64"/>
  <c r="AH118" i="64"/>
  <c r="AH95" i="64"/>
  <c r="AH84" i="64"/>
  <c r="AH77" i="64"/>
  <c r="AH78" i="64"/>
  <c r="AH60" i="64"/>
  <c r="AH59" i="64"/>
  <c r="AH29" i="64"/>
  <c r="AH48" i="64"/>
  <c r="AH24" i="64"/>
  <c r="AH23" i="64"/>
  <c r="AH36" i="64"/>
  <c r="AH66" i="64"/>
  <c r="AH102" i="64"/>
  <c r="AH90" i="64"/>
  <c r="AH89" i="64"/>
  <c r="AH113" i="64"/>
  <c r="AH6" i="64"/>
  <c r="AH12" i="64"/>
  <c r="AH11" i="64"/>
  <c r="AH42" i="64"/>
  <c r="AH41" i="64"/>
  <c r="AH18" i="64"/>
  <c r="AH107" i="64"/>
  <c r="AH108" i="64"/>
  <c r="AH71" i="64"/>
  <c r="AH72" i="64"/>
  <c r="AH54" i="64"/>
  <c r="AH65" i="64" l="1"/>
  <c r="AL17" i="64"/>
  <c r="AM17" i="64" l="1"/>
  <c r="AL16" i="62"/>
  <c r="AE139" i="62"/>
  <c r="AA139" i="62"/>
  <c r="Z139" i="62"/>
  <c r="AD70" i="63"/>
  <c r="V70" i="63"/>
  <c r="J70" i="63"/>
  <c r="AG70" i="63" s="1"/>
  <c r="AD64" i="63"/>
  <c r="V64" i="63"/>
  <c r="J64" i="63"/>
  <c r="AG64" i="63" s="1"/>
  <c r="AD58" i="63"/>
  <c r="V58" i="63"/>
  <c r="J58" i="63"/>
  <c r="AG58" i="63" s="1"/>
  <c r="AD52" i="63"/>
  <c r="V52" i="63"/>
  <c r="J52" i="63"/>
  <c r="AG52" i="63" s="1"/>
  <c r="AD46" i="63"/>
  <c r="Y46" i="63"/>
  <c r="V46" i="63"/>
  <c r="J46" i="63"/>
  <c r="AG46" i="63" s="1"/>
  <c r="AD40" i="63"/>
  <c r="Y40" i="63"/>
  <c r="V40" i="63"/>
  <c r="J40" i="63"/>
  <c r="AG40" i="63" s="1"/>
  <c r="AD34" i="63"/>
  <c r="Y34" i="63"/>
  <c r="V34" i="63"/>
  <c r="J34" i="63"/>
  <c r="AG34" i="63" s="1"/>
  <c r="AD28" i="63"/>
  <c r="V28" i="63"/>
  <c r="J28" i="63"/>
  <c r="AG28" i="63" s="1"/>
  <c r="AD22" i="63"/>
  <c r="V22" i="63"/>
  <c r="J22" i="63"/>
  <c r="AG22" i="63" s="1"/>
  <c r="AD16" i="63"/>
  <c r="Y16" i="63"/>
  <c r="V16" i="63"/>
  <c r="J16" i="63"/>
  <c r="AG16" i="63" s="1"/>
  <c r="AD10" i="63"/>
  <c r="Y10" i="63"/>
  <c r="V10" i="63"/>
  <c r="J10" i="63"/>
  <c r="AG10" i="63" s="1"/>
  <c r="AD4" i="63"/>
  <c r="V4" i="63"/>
  <c r="J4" i="63"/>
  <c r="AG4" i="63" s="1"/>
  <c r="AC122" i="62"/>
  <c r="AC116" i="62"/>
  <c r="AC111" i="62"/>
  <c r="AC106" i="62"/>
  <c r="AC100" i="62"/>
  <c r="AB122" i="62"/>
  <c r="AB116" i="62"/>
  <c r="AB94" i="62"/>
  <c r="AB82" i="62"/>
  <c r="AB52" i="61"/>
  <c r="AB46" i="61"/>
  <c r="AC52" i="61"/>
  <c r="AC46" i="61"/>
  <c r="Y134" i="62"/>
  <c r="AB139" i="62" l="1"/>
  <c r="V75" i="63"/>
  <c r="AD75" i="63"/>
  <c r="AF10" i="63"/>
  <c r="AH10" i="63" s="1"/>
  <c r="Y75" i="63"/>
  <c r="AG75" i="63"/>
  <c r="AF64" i="63"/>
  <c r="AH64" i="63" s="1"/>
  <c r="AF58" i="63"/>
  <c r="AH58" i="63" s="1"/>
  <c r="AF52" i="63"/>
  <c r="AH52" i="63" s="1"/>
  <c r="AF28" i="63"/>
  <c r="AH28" i="63" s="1"/>
  <c r="AF70" i="63"/>
  <c r="AH70" i="63" s="1"/>
  <c r="AF46" i="63"/>
  <c r="AF16" i="63"/>
  <c r="AH16" i="63" s="1"/>
  <c r="AF22" i="63"/>
  <c r="AH22" i="63" s="1"/>
  <c r="AF34" i="63"/>
  <c r="AH34" i="63" s="1"/>
  <c r="AF40" i="63"/>
  <c r="AH40" i="63" s="1"/>
  <c r="AF4" i="63"/>
  <c r="AH4" i="63" s="1"/>
  <c r="AD134" i="62"/>
  <c r="AC134" i="62"/>
  <c r="V134" i="62"/>
  <c r="J134" i="62"/>
  <c r="AG134" i="62" s="1"/>
  <c r="AD128" i="62"/>
  <c r="Y128" i="62"/>
  <c r="V128" i="62"/>
  <c r="J128" i="62"/>
  <c r="AG128" i="62" s="1"/>
  <c r="AD122" i="62"/>
  <c r="V122" i="62"/>
  <c r="J122" i="62"/>
  <c r="AG122" i="62" s="1"/>
  <c r="AH17" i="63" l="1"/>
  <c r="AH11" i="63"/>
  <c r="AH53" i="63"/>
  <c r="AH60" i="63"/>
  <c r="AH35" i="63"/>
  <c r="AH30" i="63"/>
  <c r="AH46" i="63"/>
  <c r="AH75" i="63" s="1"/>
  <c r="AF75" i="63"/>
  <c r="AL3" i="63" s="1"/>
  <c r="D29" i="83" s="1"/>
  <c r="AH42" i="63"/>
  <c r="AH41" i="63"/>
  <c r="AH72" i="63"/>
  <c r="AH71" i="63"/>
  <c r="AH54" i="63"/>
  <c r="AH29" i="63"/>
  <c r="AH59" i="63"/>
  <c r="AH36" i="63"/>
  <c r="AH5" i="63"/>
  <c r="AH6" i="63"/>
  <c r="AH12" i="63"/>
  <c r="AH66" i="63"/>
  <c r="AH65" i="63"/>
  <c r="AH24" i="63"/>
  <c r="AH23" i="63"/>
  <c r="AH18" i="63"/>
  <c r="AF134" i="62"/>
  <c r="AH134" i="62" s="1"/>
  <c r="AF128" i="62"/>
  <c r="AH128" i="62" s="1"/>
  <c r="AF122" i="62"/>
  <c r="AH122" i="62" s="1"/>
  <c r="AH124" i="62" l="1"/>
  <c r="AH129" i="62"/>
  <c r="AH48" i="63"/>
  <c r="AH47" i="63"/>
  <c r="AL17" i="63"/>
  <c r="AH130" i="62"/>
  <c r="AH135" i="62"/>
  <c r="AH136" i="62"/>
  <c r="AH123" i="62"/>
  <c r="AM17" i="63" l="1"/>
  <c r="AD52" i="62"/>
  <c r="Y52" i="62"/>
  <c r="V52" i="62"/>
  <c r="J52" i="62"/>
  <c r="AG52" i="62" s="1"/>
  <c r="AF52" i="62" l="1"/>
  <c r="AH52" i="62" s="1"/>
  <c r="AH54" i="62" l="1"/>
  <c r="AH53" i="62"/>
  <c r="Y70" i="62" l="1"/>
  <c r="Y64" i="62" l="1"/>
  <c r="Y58" i="62" l="1"/>
  <c r="Y40" i="62"/>
  <c r="Y34" i="62"/>
  <c r="Y28" i="62"/>
  <c r="Y22" i="62"/>
  <c r="AL16" i="61" l="1"/>
  <c r="AE75" i="61"/>
  <c r="AB75" i="61"/>
  <c r="AA75" i="61"/>
  <c r="Z75" i="61"/>
  <c r="AD116" i="62"/>
  <c r="V116" i="62"/>
  <c r="J116" i="62"/>
  <c r="AG116" i="62" s="1"/>
  <c r="AD111" i="62"/>
  <c r="V111" i="62"/>
  <c r="J111" i="62"/>
  <c r="AG111" i="62" s="1"/>
  <c r="AD106" i="62"/>
  <c r="V106" i="62"/>
  <c r="J106" i="62"/>
  <c r="AG106" i="62" s="1"/>
  <c r="AD100" i="62"/>
  <c r="V100" i="62"/>
  <c r="J100" i="62"/>
  <c r="AG100" i="62" s="1"/>
  <c r="AD94" i="62"/>
  <c r="Y94" i="62"/>
  <c r="V94" i="62"/>
  <c r="J94" i="62"/>
  <c r="AG94" i="62" s="1"/>
  <c r="AD88" i="62"/>
  <c r="AC88" i="62"/>
  <c r="AC139" i="62" s="1"/>
  <c r="Y88" i="62"/>
  <c r="V88" i="62"/>
  <c r="J88" i="62"/>
  <c r="AG88" i="62" s="1"/>
  <c r="AD82" i="62"/>
  <c r="Y82" i="62"/>
  <c r="V82" i="62"/>
  <c r="J82" i="62"/>
  <c r="AG82" i="62" s="1"/>
  <c r="AD76" i="62"/>
  <c r="Y76" i="62"/>
  <c r="V76" i="62"/>
  <c r="J76" i="62"/>
  <c r="AG76" i="62" s="1"/>
  <c r="AD70" i="62"/>
  <c r="V70" i="62"/>
  <c r="J70" i="62"/>
  <c r="AG70" i="62" s="1"/>
  <c r="AD64" i="62"/>
  <c r="V64" i="62"/>
  <c r="J64" i="62"/>
  <c r="AG64" i="62" s="1"/>
  <c r="AD58" i="62"/>
  <c r="V58" i="62"/>
  <c r="J58" i="62"/>
  <c r="AG58" i="62" s="1"/>
  <c r="AD46" i="62"/>
  <c r="Y46" i="62"/>
  <c r="V46" i="62"/>
  <c r="J46" i="62"/>
  <c r="AG46" i="62" s="1"/>
  <c r="AD40" i="62"/>
  <c r="V40" i="62"/>
  <c r="J40" i="62"/>
  <c r="AG40" i="62" s="1"/>
  <c r="AD34" i="62"/>
  <c r="V34" i="62"/>
  <c r="J34" i="62"/>
  <c r="AG34" i="62" s="1"/>
  <c r="AD28" i="62"/>
  <c r="V28" i="62"/>
  <c r="J28" i="62"/>
  <c r="AG28" i="62" s="1"/>
  <c r="AD22" i="62"/>
  <c r="V22" i="62"/>
  <c r="J22" i="62"/>
  <c r="AG22" i="62" s="1"/>
  <c r="AD16" i="62"/>
  <c r="Y16" i="62"/>
  <c r="V16" i="62"/>
  <c r="J16" i="62"/>
  <c r="AG16" i="62" s="1"/>
  <c r="AD10" i="62"/>
  <c r="Y10" i="62"/>
  <c r="V10" i="62"/>
  <c r="J10" i="62"/>
  <c r="AG10" i="62" s="1"/>
  <c r="AD4" i="62"/>
  <c r="Y4" i="62"/>
  <c r="V4" i="62"/>
  <c r="J4" i="62"/>
  <c r="AG4" i="62" s="1"/>
  <c r="Y70" i="61"/>
  <c r="Y64" i="61"/>
  <c r="AC22" i="60"/>
  <c r="AG139" i="62" l="1"/>
  <c r="Y139" i="62"/>
  <c r="V139" i="62"/>
  <c r="AD139" i="62"/>
  <c r="AF28" i="62"/>
  <c r="AH28" i="62" s="1"/>
  <c r="AF34" i="62"/>
  <c r="AH34" i="62" s="1"/>
  <c r="AF94" i="62"/>
  <c r="AH94" i="62" s="1"/>
  <c r="AF111" i="62"/>
  <c r="AH111" i="62" s="1"/>
  <c r="AF100" i="62"/>
  <c r="AH100" i="62" s="1"/>
  <c r="AF106" i="62"/>
  <c r="AH106" i="62" s="1"/>
  <c r="AF116" i="62"/>
  <c r="AF88" i="62"/>
  <c r="AH88" i="62" s="1"/>
  <c r="AF82" i="62"/>
  <c r="AH82" i="62" s="1"/>
  <c r="AF58" i="62"/>
  <c r="AH58" i="62" s="1"/>
  <c r="AF46" i="62"/>
  <c r="AH46" i="62" s="1"/>
  <c r="AF10" i="62"/>
  <c r="AH10" i="62" s="1"/>
  <c r="AF4" i="62"/>
  <c r="AF64" i="62"/>
  <c r="AH64" i="62" s="1"/>
  <c r="AF76" i="62"/>
  <c r="AH76" i="62" s="1"/>
  <c r="AF70" i="62"/>
  <c r="AH70" i="62" s="1"/>
  <c r="AF40" i="62"/>
  <c r="AH40" i="62" s="1"/>
  <c r="AF22" i="62"/>
  <c r="AF16" i="62"/>
  <c r="AH16" i="62" s="1"/>
  <c r="Y28" i="61"/>
  <c r="AH112" i="62" l="1"/>
  <c r="AH11" i="62"/>
  <c r="AH96" i="62"/>
  <c r="AH71" i="62"/>
  <c r="AH78" i="62"/>
  <c r="AH47" i="62"/>
  <c r="AH41" i="62"/>
  <c r="AH65" i="62"/>
  <c r="AH4" i="62"/>
  <c r="AF139" i="62"/>
  <c r="AL3" i="62" s="1"/>
  <c r="D28" i="83" s="1"/>
  <c r="AH116" i="62"/>
  <c r="AH22" i="62"/>
  <c r="AH102" i="62"/>
  <c r="AH101" i="62"/>
  <c r="AH113" i="62"/>
  <c r="AH95" i="62"/>
  <c r="AH30" i="62"/>
  <c r="AH29" i="62"/>
  <c r="AH60" i="62"/>
  <c r="AH59" i="62"/>
  <c r="AH36" i="62"/>
  <c r="AH35" i="62"/>
  <c r="AH90" i="62"/>
  <c r="AH89" i="62"/>
  <c r="AH83" i="62"/>
  <c r="AH84" i="62"/>
  <c r="AH12" i="62"/>
  <c r="AH48" i="62"/>
  <c r="AH77" i="62"/>
  <c r="AH17" i="62"/>
  <c r="AH18" i="62"/>
  <c r="AH6" i="62"/>
  <c r="AH66" i="62"/>
  <c r="AH42" i="62"/>
  <c r="AH108" i="62"/>
  <c r="AH107" i="62"/>
  <c r="AH72" i="62"/>
  <c r="Y22" i="61"/>
  <c r="AL9" i="60"/>
  <c r="AE64" i="60"/>
  <c r="AB64" i="60"/>
  <c r="AA64" i="60"/>
  <c r="Z64" i="60"/>
  <c r="AH139" i="62" l="1"/>
  <c r="AH5" i="62"/>
  <c r="AH23" i="62"/>
  <c r="AL17" i="62"/>
  <c r="AM17" i="62" s="1"/>
  <c r="AH118" i="62"/>
  <c r="AH117" i="62"/>
  <c r="AH24" i="62"/>
  <c r="AD70" i="61"/>
  <c r="V70" i="61"/>
  <c r="J70" i="61"/>
  <c r="AG70" i="61" s="1"/>
  <c r="AD64" i="61"/>
  <c r="V64" i="61"/>
  <c r="J64" i="61"/>
  <c r="AG64" i="61" s="1"/>
  <c r="AD58" i="61"/>
  <c r="AC58" i="61"/>
  <c r="AC75" i="61" s="1"/>
  <c r="Y58" i="61"/>
  <c r="V58" i="61"/>
  <c r="J58" i="61"/>
  <c r="AG58" i="61" s="1"/>
  <c r="AD52" i="61"/>
  <c r="V52" i="61"/>
  <c r="J52" i="61"/>
  <c r="AG52" i="61" s="1"/>
  <c r="AD46" i="61"/>
  <c r="V46" i="61"/>
  <c r="J46" i="61"/>
  <c r="AG46" i="61" s="1"/>
  <c r="AD40" i="61"/>
  <c r="Y40" i="61"/>
  <c r="V40" i="61"/>
  <c r="J40" i="61"/>
  <c r="AG40" i="61" s="1"/>
  <c r="AD34" i="61"/>
  <c r="Y34" i="61"/>
  <c r="V34" i="61"/>
  <c r="J34" i="61"/>
  <c r="AG34" i="61" s="1"/>
  <c r="AD28" i="61"/>
  <c r="V28" i="61"/>
  <c r="J28" i="61"/>
  <c r="AG28" i="61" s="1"/>
  <c r="AD22" i="61"/>
  <c r="V22" i="61"/>
  <c r="J22" i="61"/>
  <c r="AG22" i="61" s="1"/>
  <c r="AD16" i="61"/>
  <c r="Y16" i="61"/>
  <c r="V16" i="61"/>
  <c r="J16" i="61"/>
  <c r="AG16" i="61" s="1"/>
  <c r="AD10" i="61"/>
  <c r="Y10" i="61"/>
  <c r="V10" i="61"/>
  <c r="J10" i="61"/>
  <c r="AG10" i="61" s="1"/>
  <c r="AD4" i="61"/>
  <c r="Y4" i="61"/>
  <c r="V4" i="61"/>
  <c r="J4" i="61"/>
  <c r="AG4" i="61" s="1"/>
  <c r="AJ4" i="62" l="1"/>
  <c r="AJ128" i="62"/>
  <c r="AJ134" i="62"/>
  <c r="AJ122" i="62"/>
  <c r="AJ52" i="62"/>
  <c r="AJ10" i="62"/>
  <c r="AJ94" i="62"/>
  <c r="AJ70" i="62"/>
  <c r="AJ100" i="62"/>
  <c r="AJ88" i="62"/>
  <c r="AJ16" i="62"/>
  <c r="AJ58" i="62"/>
  <c r="AJ64" i="62"/>
  <c r="AJ28" i="62"/>
  <c r="AJ76" i="62"/>
  <c r="AJ106" i="62"/>
  <c r="AJ40" i="62"/>
  <c r="AJ111" i="62"/>
  <c r="AJ46" i="62"/>
  <c r="AJ34" i="62"/>
  <c r="AJ82" i="62"/>
  <c r="AJ22" i="62"/>
  <c r="AJ116" i="62"/>
  <c r="AF52" i="61"/>
  <c r="AH52" i="61" s="1"/>
  <c r="V75" i="61"/>
  <c r="AD75" i="61"/>
  <c r="Y75" i="61"/>
  <c r="AG75" i="61"/>
  <c r="AF64" i="61"/>
  <c r="AH64" i="61" s="1"/>
  <c r="AF70" i="61"/>
  <c r="AH70" i="61" s="1"/>
  <c r="AF28" i="61"/>
  <c r="AH28" i="61" s="1"/>
  <c r="AF22" i="61"/>
  <c r="AH22" i="61" s="1"/>
  <c r="AF46" i="61"/>
  <c r="AH46" i="61" s="1"/>
  <c r="AF58" i="61"/>
  <c r="AH58" i="61" s="1"/>
  <c r="AF16" i="61"/>
  <c r="AH16" i="61" s="1"/>
  <c r="AF10" i="61"/>
  <c r="AH10" i="61" s="1"/>
  <c r="AF34" i="61"/>
  <c r="AF40" i="61"/>
  <c r="AH40" i="61" s="1"/>
  <c r="AF4" i="61"/>
  <c r="Y46" i="60"/>
  <c r="Y40" i="60"/>
  <c r="AJ139" i="62" l="1"/>
  <c r="AI139" i="62"/>
  <c r="AM3" i="62" s="1"/>
  <c r="E28" i="83" s="1"/>
  <c r="F28" i="83" s="1"/>
  <c r="AH71" i="61"/>
  <c r="AH18" i="61"/>
  <c r="AH53" i="61"/>
  <c r="AH65" i="61"/>
  <c r="AH59" i="61"/>
  <c r="AH23" i="61"/>
  <c r="AH29" i="61"/>
  <c r="AH34" i="61"/>
  <c r="AF75" i="61"/>
  <c r="AL3" i="61" s="1"/>
  <c r="D27" i="83" s="1"/>
  <c r="AH48" i="61"/>
  <c r="AH47" i="61"/>
  <c r="AH72" i="61"/>
  <c r="AH54" i="61"/>
  <c r="AH60" i="61"/>
  <c r="AH24" i="61"/>
  <c r="AH17" i="61"/>
  <c r="AH4" i="61"/>
  <c r="AH30" i="61"/>
  <c r="AH42" i="61"/>
  <c r="AH41" i="61"/>
  <c r="AH66" i="61"/>
  <c r="AH12" i="61"/>
  <c r="AH11" i="61"/>
  <c r="AD4" i="60"/>
  <c r="Y4" i="60"/>
  <c r="AM4" i="62" l="1"/>
  <c r="AH75" i="61"/>
  <c r="AL17" i="61"/>
  <c r="AH36" i="61"/>
  <c r="AH35" i="61"/>
  <c r="AH5" i="61"/>
  <c r="AH6" i="61"/>
  <c r="AL9" i="59"/>
  <c r="AE51" i="59"/>
  <c r="AC51" i="59"/>
  <c r="AB51" i="59"/>
  <c r="AA51" i="59"/>
  <c r="Z51" i="59"/>
  <c r="AD58" i="60"/>
  <c r="AC58" i="60"/>
  <c r="AC64" i="60" s="1"/>
  <c r="Y58" i="60"/>
  <c r="V58" i="60"/>
  <c r="J58" i="60"/>
  <c r="AG58" i="60" s="1"/>
  <c r="AD52" i="60"/>
  <c r="Y52" i="60"/>
  <c r="V52" i="60"/>
  <c r="J52" i="60"/>
  <c r="AG52" i="60" s="1"/>
  <c r="AD46" i="60"/>
  <c r="V46" i="60"/>
  <c r="J46" i="60"/>
  <c r="AG46" i="60" s="1"/>
  <c r="AD40" i="60"/>
  <c r="V40" i="60"/>
  <c r="J40" i="60"/>
  <c r="AG40" i="60" s="1"/>
  <c r="AD34" i="60"/>
  <c r="Y34" i="60"/>
  <c r="V34" i="60"/>
  <c r="J34" i="60"/>
  <c r="AG34" i="60" s="1"/>
  <c r="AD28" i="60"/>
  <c r="Y28" i="60"/>
  <c r="V28" i="60"/>
  <c r="J28" i="60"/>
  <c r="AG28" i="60" s="1"/>
  <c r="AD22" i="60"/>
  <c r="V22" i="60"/>
  <c r="J22" i="60"/>
  <c r="AG22" i="60" s="1"/>
  <c r="AD16" i="60"/>
  <c r="Y16" i="60"/>
  <c r="V16" i="60"/>
  <c r="J16" i="60"/>
  <c r="AG16" i="60" s="1"/>
  <c r="AD10" i="60"/>
  <c r="Y10" i="60"/>
  <c r="V10" i="60"/>
  <c r="J10" i="60"/>
  <c r="AG10" i="60" s="1"/>
  <c r="V4" i="60"/>
  <c r="J4" i="60"/>
  <c r="AG4" i="60" s="1"/>
  <c r="AM17" i="61" l="1"/>
  <c r="Y64" i="60"/>
  <c r="AD64" i="60"/>
  <c r="V64" i="60"/>
  <c r="AG64" i="60"/>
  <c r="AF58" i="60"/>
  <c r="AH58" i="60" s="1"/>
  <c r="AF52" i="60"/>
  <c r="AH52" i="60" s="1"/>
  <c r="AF34" i="60"/>
  <c r="AH34" i="60" s="1"/>
  <c r="AF10" i="60"/>
  <c r="AH10" i="60" s="1"/>
  <c r="AH12" i="60" s="1"/>
  <c r="AF46" i="60"/>
  <c r="AH46" i="60" s="1"/>
  <c r="AH47" i="60" s="1"/>
  <c r="AF40" i="60"/>
  <c r="AH40" i="60" s="1"/>
  <c r="AF16" i="60"/>
  <c r="AH16" i="60" s="1"/>
  <c r="AF22" i="60"/>
  <c r="AF28" i="60"/>
  <c r="AH28" i="60" s="1"/>
  <c r="AF4" i="60"/>
  <c r="AL9" i="58"/>
  <c r="AE99" i="58"/>
  <c r="AB99" i="58"/>
  <c r="AA99" i="58"/>
  <c r="Z99" i="58"/>
  <c r="AD46" i="59"/>
  <c r="Y46" i="59"/>
  <c r="V46" i="59"/>
  <c r="J46" i="59"/>
  <c r="AG46" i="59" s="1"/>
  <c r="AD40" i="59"/>
  <c r="Y40" i="59"/>
  <c r="V40" i="59"/>
  <c r="J40" i="59"/>
  <c r="AG40" i="59" s="1"/>
  <c r="AD34" i="59"/>
  <c r="Y34" i="59"/>
  <c r="V34" i="59"/>
  <c r="J34" i="59"/>
  <c r="AG34" i="59" s="1"/>
  <c r="AD28" i="59"/>
  <c r="Y28" i="59"/>
  <c r="V28" i="59"/>
  <c r="J28" i="59"/>
  <c r="AG28" i="59" s="1"/>
  <c r="AD22" i="59"/>
  <c r="Y22" i="59"/>
  <c r="V22" i="59"/>
  <c r="J22" i="59"/>
  <c r="AG22" i="59" s="1"/>
  <c r="AD16" i="59"/>
  <c r="Y16" i="59"/>
  <c r="V16" i="59"/>
  <c r="J16" i="59"/>
  <c r="AG16" i="59" s="1"/>
  <c r="AD10" i="59"/>
  <c r="Y10" i="59"/>
  <c r="V10" i="59"/>
  <c r="J10" i="59"/>
  <c r="AG10" i="59" s="1"/>
  <c r="AD4" i="59"/>
  <c r="Y4" i="59"/>
  <c r="V4" i="59"/>
  <c r="J4" i="59"/>
  <c r="AG4" i="59" s="1"/>
  <c r="Y94" i="58"/>
  <c r="Y88" i="58"/>
  <c r="Y82" i="58"/>
  <c r="AG51" i="59" l="1"/>
  <c r="Y51" i="59"/>
  <c r="AD51" i="59"/>
  <c r="AF4" i="59"/>
  <c r="AH4" i="59" s="1"/>
  <c r="V51" i="59"/>
  <c r="AH22" i="60"/>
  <c r="AH23" i="60" s="1"/>
  <c r="AF64" i="60"/>
  <c r="AL3" i="60" s="1"/>
  <c r="D26" i="83" s="1"/>
  <c r="AH54" i="60"/>
  <c r="AH53" i="60"/>
  <c r="AH42" i="60"/>
  <c r="AH41" i="60"/>
  <c r="AH11" i="60"/>
  <c r="AH4" i="60"/>
  <c r="AH48" i="60"/>
  <c r="AH30" i="60"/>
  <c r="AH29" i="60"/>
  <c r="AH17" i="60"/>
  <c r="AH18" i="60"/>
  <c r="AH35" i="60"/>
  <c r="AH36" i="60"/>
  <c r="AH59" i="60"/>
  <c r="AH60" i="60"/>
  <c r="AF46" i="59"/>
  <c r="AH46" i="59" s="1"/>
  <c r="AF28" i="59"/>
  <c r="AH28" i="59" s="1"/>
  <c r="AF22" i="59"/>
  <c r="AH22" i="59" s="1"/>
  <c r="AF16" i="59"/>
  <c r="AH16" i="59" s="1"/>
  <c r="AF10" i="59"/>
  <c r="AH10" i="59" s="1"/>
  <c r="AF34" i="59"/>
  <c r="AF40" i="59"/>
  <c r="AH40" i="59" s="1"/>
  <c r="AC52" i="57"/>
  <c r="Y64" i="58"/>
  <c r="Y52" i="58"/>
  <c r="Y46" i="58"/>
  <c r="Y28" i="58"/>
  <c r="AD16" i="58"/>
  <c r="Y16" i="58"/>
  <c r="Y10" i="58"/>
  <c r="AH64" i="60" l="1"/>
  <c r="AH29" i="59"/>
  <c r="AH17" i="59"/>
  <c r="AH24" i="60"/>
  <c r="AL10" i="60"/>
  <c r="AM10" i="60" s="1"/>
  <c r="AH34" i="59"/>
  <c r="AH35" i="59" s="1"/>
  <c r="AF51" i="59"/>
  <c r="AL3" i="59" s="1"/>
  <c r="D25" i="83" s="1"/>
  <c r="AH6" i="60"/>
  <c r="AH5" i="60"/>
  <c r="AH18" i="59"/>
  <c r="AH30" i="59"/>
  <c r="AH23" i="59"/>
  <c r="AH24" i="59"/>
  <c r="AH42" i="59"/>
  <c r="AH41" i="59"/>
  <c r="AH12" i="59"/>
  <c r="AH11" i="59"/>
  <c r="AH48" i="59"/>
  <c r="AH47" i="59"/>
  <c r="AH6" i="59"/>
  <c r="AH5" i="59"/>
  <c r="AD4" i="58"/>
  <c r="Y4" i="58"/>
  <c r="AL16" i="57"/>
  <c r="AE57" i="57"/>
  <c r="AB57" i="57"/>
  <c r="AA57" i="57"/>
  <c r="Z57" i="57"/>
  <c r="AD94" i="58"/>
  <c r="AC94" i="58"/>
  <c r="V94" i="58"/>
  <c r="J94" i="58"/>
  <c r="AG94" i="58" s="1"/>
  <c r="AD88" i="58"/>
  <c r="AC88" i="58"/>
  <c r="V88" i="58"/>
  <c r="J88" i="58"/>
  <c r="AG88" i="58" s="1"/>
  <c r="AD82" i="58"/>
  <c r="AC82" i="58"/>
  <c r="V82" i="58"/>
  <c r="J82" i="58"/>
  <c r="AG82" i="58" s="1"/>
  <c r="AD76" i="58"/>
  <c r="Y76" i="58"/>
  <c r="V76" i="58"/>
  <c r="J76" i="58"/>
  <c r="AG76" i="58" s="1"/>
  <c r="AD70" i="58"/>
  <c r="Y70" i="58"/>
  <c r="V70" i="58"/>
  <c r="J70" i="58"/>
  <c r="AG70" i="58" s="1"/>
  <c r="AD64" i="58"/>
  <c r="V64" i="58"/>
  <c r="J64" i="58"/>
  <c r="AG64" i="58" s="1"/>
  <c r="AD58" i="58"/>
  <c r="AC58" i="58"/>
  <c r="Y58" i="58"/>
  <c r="V58" i="58"/>
  <c r="J58" i="58"/>
  <c r="AG58" i="58" s="1"/>
  <c r="AD52" i="58"/>
  <c r="V52" i="58"/>
  <c r="J52" i="58"/>
  <c r="AG52" i="58" s="1"/>
  <c r="AD46" i="58"/>
  <c r="V46" i="58"/>
  <c r="J46" i="58"/>
  <c r="AG46" i="58" s="1"/>
  <c r="AD40" i="58"/>
  <c r="Y40" i="58"/>
  <c r="V40" i="58"/>
  <c r="J40" i="58"/>
  <c r="AG40" i="58" s="1"/>
  <c r="AD34" i="58"/>
  <c r="Y34" i="58"/>
  <c r="V34" i="58"/>
  <c r="J34" i="58"/>
  <c r="AG34" i="58" s="1"/>
  <c r="AD28" i="58"/>
  <c r="V28" i="58"/>
  <c r="J28" i="58"/>
  <c r="AG28" i="58" s="1"/>
  <c r="AD22" i="58"/>
  <c r="Y22" i="58"/>
  <c r="V22" i="58"/>
  <c r="J22" i="58"/>
  <c r="AG22" i="58" s="1"/>
  <c r="V16" i="58"/>
  <c r="J16" i="58"/>
  <c r="AG16" i="58" s="1"/>
  <c r="AD10" i="58"/>
  <c r="V10" i="58"/>
  <c r="J10" i="58"/>
  <c r="AG10" i="58" s="1"/>
  <c r="V4" i="58"/>
  <c r="J4" i="58"/>
  <c r="AG4" i="58" s="1"/>
  <c r="Y46" i="57"/>
  <c r="Y28" i="56"/>
  <c r="Y70" i="56"/>
  <c r="Y40" i="57"/>
  <c r="Y34" i="57"/>
  <c r="AG99" i="58" l="1"/>
  <c r="AH51" i="59"/>
  <c r="AL10" i="59"/>
  <c r="AM10" i="59" s="1"/>
  <c r="AF88" i="58"/>
  <c r="AH88" i="58" s="1"/>
  <c r="AC99" i="58"/>
  <c r="Y99" i="58"/>
  <c r="AD99" i="58"/>
  <c r="V99" i="58"/>
  <c r="AH36" i="59"/>
  <c r="AF94" i="58"/>
  <c r="AH94" i="58" s="1"/>
  <c r="AF82" i="58"/>
  <c r="AH82" i="58" s="1"/>
  <c r="AF76" i="58"/>
  <c r="AH76" i="58" s="1"/>
  <c r="AF70" i="58"/>
  <c r="AH70" i="58" s="1"/>
  <c r="AF64" i="58"/>
  <c r="AF58" i="58"/>
  <c r="AH58" i="58" s="1"/>
  <c r="AF40" i="58"/>
  <c r="AH40" i="58" s="1"/>
  <c r="AF22" i="58"/>
  <c r="AH22" i="58" s="1"/>
  <c r="AF10" i="58"/>
  <c r="AH10" i="58" s="1"/>
  <c r="AF16" i="58"/>
  <c r="AH16" i="58" s="1"/>
  <c r="AF28" i="58"/>
  <c r="AH28" i="58" s="1"/>
  <c r="AF34" i="58"/>
  <c r="AH34" i="58" s="1"/>
  <c r="AF46" i="58"/>
  <c r="AH46" i="58" s="1"/>
  <c r="AF52" i="58"/>
  <c r="AH52" i="58" s="1"/>
  <c r="AF4" i="58"/>
  <c r="Y28" i="57"/>
  <c r="AL23" i="59" l="1"/>
  <c r="AJ40" i="59"/>
  <c r="AJ28" i="59"/>
  <c r="AJ10" i="59"/>
  <c r="AJ22" i="59"/>
  <c r="AJ16" i="59"/>
  <c r="AJ4" i="59"/>
  <c r="AJ46" i="59"/>
  <c r="AJ34" i="59"/>
  <c r="AH89" i="58"/>
  <c r="AH47" i="58"/>
  <c r="AH29" i="58"/>
  <c r="AH17" i="58"/>
  <c r="AH23" i="58"/>
  <c r="AH42" i="58"/>
  <c r="AH60" i="58"/>
  <c r="AL24" i="59"/>
  <c r="AH64" i="58"/>
  <c r="AF99" i="58"/>
  <c r="AL3" i="58" s="1"/>
  <c r="D24" i="83" s="1"/>
  <c r="AH84" i="58"/>
  <c r="AH83" i="58"/>
  <c r="AH90" i="58"/>
  <c r="AH77" i="58"/>
  <c r="AH78" i="58"/>
  <c r="AH72" i="58"/>
  <c r="AH71" i="58"/>
  <c r="AH66" i="58"/>
  <c r="AH12" i="58"/>
  <c r="AH11" i="58"/>
  <c r="AH59" i="58"/>
  <c r="AH41" i="58"/>
  <c r="AH18" i="58"/>
  <c r="AH24" i="58"/>
  <c r="AH48" i="58"/>
  <c r="AH53" i="58"/>
  <c r="AH54" i="58"/>
  <c r="AH30" i="58"/>
  <c r="AH4" i="58"/>
  <c r="AH95" i="58"/>
  <c r="AH96" i="58"/>
  <c r="AH36" i="58"/>
  <c r="AH35" i="58"/>
  <c r="AD16" i="57"/>
  <c r="Y16" i="57"/>
  <c r="AJ51" i="59" l="1"/>
  <c r="AI51" i="59"/>
  <c r="AM3" i="59" s="1"/>
  <c r="E25" i="83" s="1"/>
  <c r="F25" i="83" s="1"/>
  <c r="AH99" i="58"/>
  <c r="AH5" i="58"/>
  <c r="AH65" i="58"/>
  <c r="AL10" i="58"/>
  <c r="AH6" i="58"/>
  <c r="AD4" i="57"/>
  <c r="Y4" i="57"/>
  <c r="Y40" i="56"/>
  <c r="AJ64" i="58" l="1"/>
  <c r="AM4" i="59"/>
  <c r="AJ46" i="58"/>
  <c r="AJ34" i="58"/>
  <c r="AJ40" i="58"/>
  <c r="AJ58" i="58"/>
  <c r="AJ10" i="58"/>
  <c r="AJ22" i="58"/>
  <c r="AJ76" i="58"/>
  <c r="AJ52" i="58"/>
  <c r="AJ82" i="58"/>
  <c r="AJ94" i="58"/>
  <c r="AJ70" i="58"/>
  <c r="AJ16" i="58"/>
  <c r="AJ88" i="58"/>
  <c r="AJ28" i="58"/>
  <c r="AM10" i="58"/>
  <c r="AL23" i="58"/>
  <c r="AL24" i="58" s="1"/>
  <c r="AL9" i="56"/>
  <c r="AE81" i="56"/>
  <c r="AB81" i="56"/>
  <c r="AA81" i="56"/>
  <c r="Z81" i="56"/>
  <c r="Y10" i="57"/>
  <c r="AD52" i="57"/>
  <c r="V52" i="57"/>
  <c r="J52" i="57"/>
  <c r="AG52" i="57" s="1"/>
  <c r="AD46" i="57"/>
  <c r="V46" i="57"/>
  <c r="J46" i="57"/>
  <c r="AG46" i="57" s="1"/>
  <c r="AD40" i="57"/>
  <c r="V40" i="57"/>
  <c r="J40" i="57"/>
  <c r="AG40" i="57" s="1"/>
  <c r="AD34" i="57"/>
  <c r="V34" i="57"/>
  <c r="J34" i="57"/>
  <c r="AG34" i="57" s="1"/>
  <c r="AD28" i="57"/>
  <c r="V28" i="57"/>
  <c r="J28" i="57"/>
  <c r="AG28" i="57" s="1"/>
  <c r="AD22" i="57"/>
  <c r="Y22" i="57"/>
  <c r="V22" i="57"/>
  <c r="J22" i="57"/>
  <c r="AG22" i="57" s="1"/>
  <c r="V16" i="57"/>
  <c r="J16" i="57"/>
  <c r="AG16" i="57" s="1"/>
  <c r="AD10" i="57"/>
  <c r="AC10" i="57"/>
  <c r="AC57" i="57" s="1"/>
  <c r="V10" i="57"/>
  <c r="J10" i="57"/>
  <c r="AG10" i="57" s="1"/>
  <c r="V4" i="57"/>
  <c r="J4" i="57"/>
  <c r="AG4" i="57" s="1"/>
  <c r="Y76" i="56"/>
  <c r="AG57" i="57" l="1"/>
  <c r="Y57" i="57"/>
  <c r="AI99" i="58"/>
  <c r="AM3" i="58" s="1"/>
  <c r="E24" i="83" s="1"/>
  <c r="F24" i="83" s="1"/>
  <c r="AJ4" i="58"/>
  <c r="AJ99" i="58" s="1"/>
  <c r="AD57" i="57"/>
  <c r="V57" i="57"/>
  <c r="AF52" i="57"/>
  <c r="AH52" i="57" s="1"/>
  <c r="AF4" i="57"/>
  <c r="AH4" i="57" s="1"/>
  <c r="AF16" i="57"/>
  <c r="AH16" i="57" s="1"/>
  <c r="AF22" i="57"/>
  <c r="AH22" i="57" s="1"/>
  <c r="AF28" i="57"/>
  <c r="AH28" i="57" s="1"/>
  <c r="AF34" i="57"/>
  <c r="AH34" i="57" s="1"/>
  <c r="AF40" i="57"/>
  <c r="AH40" i="57" s="1"/>
  <c r="AF46" i="57"/>
  <c r="AH46" i="57" s="1"/>
  <c r="AF10" i="57"/>
  <c r="AM4" i="58" l="1"/>
  <c r="AH29" i="57"/>
  <c r="AH17" i="57"/>
  <c r="AH5" i="57"/>
  <c r="AH41" i="57"/>
  <c r="AH35" i="57"/>
  <c r="AF57" i="57"/>
  <c r="AL3" i="57" s="1"/>
  <c r="D23" i="83" s="1"/>
  <c r="AH48" i="57"/>
  <c r="AH47" i="57"/>
  <c r="AH18" i="57"/>
  <c r="AH23" i="57"/>
  <c r="AH24" i="57"/>
  <c r="AH30" i="57"/>
  <c r="AH42" i="57"/>
  <c r="AH36" i="57"/>
  <c r="AH10" i="57"/>
  <c r="AH57" i="57" s="1"/>
  <c r="AH53" i="57"/>
  <c r="AH54" i="57"/>
  <c r="AH6" i="57"/>
  <c r="Y64" i="56"/>
  <c r="Y58" i="56"/>
  <c r="Y52" i="56"/>
  <c r="AJ40" i="57" l="1"/>
  <c r="AJ28" i="57"/>
  <c r="AJ22" i="57"/>
  <c r="AJ16" i="57"/>
  <c r="AJ52" i="57"/>
  <c r="AJ34" i="57"/>
  <c r="AJ46" i="57"/>
  <c r="AJ10" i="57"/>
  <c r="AL17" i="57"/>
  <c r="AH12" i="57"/>
  <c r="AH11" i="57"/>
  <c r="AM17" i="57"/>
  <c r="Y46" i="56"/>
  <c r="Y34" i="56"/>
  <c r="AI57" i="57" l="1"/>
  <c r="AM3" i="57" s="1"/>
  <c r="E23" i="83" s="1"/>
  <c r="F23" i="83" s="1"/>
  <c r="AJ4" i="57"/>
  <c r="AJ57" i="57" s="1"/>
  <c r="Y22" i="56"/>
  <c r="Y16" i="56"/>
  <c r="Y10" i="56"/>
  <c r="Y4" i="56"/>
  <c r="Y70" i="55"/>
  <c r="Y64" i="55"/>
  <c r="Y58" i="55"/>
  <c r="Y64" i="54"/>
  <c r="AM4" i="57" l="1"/>
  <c r="Y81" i="56"/>
  <c r="AD4" i="56"/>
  <c r="AL9" i="55"/>
  <c r="AE75" i="55"/>
  <c r="AB75" i="55"/>
  <c r="AA75" i="55"/>
  <c r="Z75" i="55"/>
  <c r="AD76" i="56"/>
  <c r="V76" i="56"/>
  <c r="J76" i="56"/>
  <c r="AG76" i="56" s="1"/>
  <c r="AD70" i="56"/>
  <c r="AC70" i="56"/>
  <c r="V70" i="56"/>
  <c r="J70" i="56"/>
  <c r="AG70" i="56" s="1"/>
  <c r="AD64" i="56"/>
  <c r="V64" i="56"/>
  <c r="J64" i="56"/>
  <c r="AG64" i="56" s="1"/>
  <c r="AD58" i="56"/>
  <c r="AC58" i="56"/>
  <c r="V58" i="56"/>
  <c r="J58" i="56"/>
  <c r="AG58" i="56" s="1"/>
  <c r="AD52" i="56"/>
  <c r="V52" i="56"/>
  <c r="J52" i="56"/>
  <c r="AG52" i="56" s="1"/>
  <c r="AD46" i="56"/>
  <c r="V46" i="56"/>
  <c r="J46" i="56"/>
  <c r="AG46" i="56" s="1"/>
  <c r="AD40" i="56"/>
  <c r="V40" i="56"/>
  <c r="J40" i="56"/>
  <c r="AG40" i="56" s="1"/>
  <c r="AD34" i="56"/>
  <c r="AC34" i="56"/>
  <c r="V34" i="56"/>
  <c r="J34" i="56"/>
  <c r="AG34" i="56" s="1"/>
  <c r="AD28" i="56"/>
  <c r="V28" i="56"/>
  <c r="J28" i="56"/>
  <c r="AG28" i="56" s="1"/>
  <c r="AD22" i="56"/>
  <c r="V22" i="56"/>
  <c r="J22" i="56"/>
  <c r="AG22" i="56" s="1"/>
  <c r="AD16" i="56"/>
  <c r="V16" i="56"/>
  <c r="J16" i="56"/>
  <c r="AG16" i="56" s="1"/>
  <c r="AD10" i="56"/>
  <c r="AC10" i="56"/>
  <c r="V10" i="56"/>
  <c r="J10" i="56"/>
  <c r="AG10" i="56" s="1"/>
  <c r="AC4" i="56"/>
  <c r="V4" i="56"/>
  <c r="J4" i="56"/>
  <c r="AG4" i="56" s="1"/>
  <c r="AG81" i="56" l="1"/>
  <c r="V81" i="56"/>
  <c r="AC81" i="56"/>
  <c r="AD81" i="56"/>
  <c r="AF76" i="56"/>
  <c r="AH76" i="56" s="1"/>
  <c r="AF70" i="56"/>
  <c r="AH70" i="56" s="1"/>
  <c r="AF58" i="56"/>
  <c r="AH58" i="56" s="1"/>
  <c r="AF46" i="56"/>
  <c r="AH46" i="56" s="1"/>
  <c r="AF28" i="56"/>
  <c r="AH28" i="56" s="1"/>
  <c r="AF22" i="56"/>
  <c r="AH22" i="56" s="1"/>
  <c r="AF16" i="56"/>
  <c r="AF64" i="56"/>
  <c r="AH64" i="56" s="1"/>
  <c r="AF52" i="56"/>
  <c r="AH52" i="56" s="1"/>
  <c r="AF40" i="56"/>
  <c r="AH40" i="56" s="1"/>
  <c r="AF34" i="56"/>
  <c r="AH34" i="56" s="1"/>
  <c r="AF10" i="56"/>
  <c r="AH10" i="56" s="1"/>
  <c r="AF4" i="56"/>
  <c r="AC94" i="54"/>
  <c r="AC100" i="54"/>
  <c r="AC111" i="54"/>
  <c r="AC10" i="55"/>
  <c r="AC4" i="55"/>
  <c r="Y28" i="55"/>
  <c r="Y10" i="55"/>
  <c r="Y4" i="55"/>
  <c r="Y111" i="54"/>
  <c r="Y106" i="54"/>
  <c r="Y100" i="54"/>
  <c r="AL9" i="54"/>
  <c r="AE122" i="54"/>
  <c r="AB122" i="54"/>
  <c r="AA122" i="54"/>
  <c r="Z122" i="54"/>
  <c r="AD117" i="54"/>
  <c r="AC117" i="54"/>
  <c r="Y117" i="54"/>
  <c r="V117" i="54"/>
  <c r="J117" i="54"/>
  <c r="AG117" i="54" s="1"/>
  <c r="AH11" i="56" l="1"/>
  <c r="AH59" i="56"/>
  <c r="AH48" i="56"/>
  <c r="AH23" i="56"/>
  <c r="AF117" i="54"/>
  <c r="AH117" i="54" s="1"/>
  <c r="AH72" i="56"/>
  <c r="AH16" i="56"/>
  <c r="AF81" i="56"/>
  <c r="AL3" i="56" s="1"/>
  <c r="D22" i="83" s="1"/>
  <c r="AH78" i="56"/>
  <c r="AH77" i="56"/>
  <c r="AH36" i="56"/>
  <c r="AH35" i="56"/>
  <c r="AH24" i="56"/>
  <c r="AH60" i="56"/>
  <c r="AH65" i="56"/>
  <c r="AH66" i="56"/>
  <c r="AH71" i="56"/>
  <c r="AH47" i="56"/>
  <c r="AH42" i="56"/>
  <c r="AH41" i="56"/>
  <c r="AH12" i="56"/>
  <c r="AH30" i="56"/>
  <c r="AH29" i="56"/>
  <c r="AH54" i="56"/>
  <c r="AH53" i="56"/>
  <c r="AH4" i="56"/>
  <c r="AH81" i="56" l="1"/>
  <c r="AJ16" i="56" s="1"/>
  <c r="AH118" i="54"/>
  <c r="AH5" i="56"/>
  <c r="AL10" i="56"/>
  <c r="AL23" i="56" s="1"/>
  <c r="AL24" i="56" s="1"/>
  <c r="AH18" i="56"/>
  <c r="AH17" i="56"/>
  <c r="AH6" i="56"/>
  <c r="AH119" i="54"/>
  <c r="AJ4" i="56" l="1"/>
  <c r="AJ64" i="56"/>
  <c r="AJ40" i="56"/>
  <c r="AJ28" i="56"/>
  <c r="AJ46" i="56"/>
  <c r="AJ22" i="56"/>
  <c r="AJ76" i="56"/>
  <c r="AJ58" i="56"/>
  <c r="AJ34" i="56"/>
  <c r="AJ70" i="56"/>
  <c r="AJ10" i="56"/>
  <c r="AJ52" i="56"/>
  <c r="AM10" i="56"/>
  <c r="AD4" i="55"/>
  <c r="AJ81" i="56" l="1"/>
  <c r="AI81" i="56"/>
  <c r="AM3" i="56" s="1"/>
  <c r="E22" i="83" s="1"/>
  <c r="F22" i="83" s="1"/>
  <c r="AD70" i="55"/>
  <c r="AC70" i="55"/>
  <c r="V70" i="55"/>
  <c r="J70" i="55"/>
  <c r="AG70" i="55" s="1"/>
  <c r="AD64" i="55"/>
  <c r="V64" i="55"/>
  <c r="J64" i="55"/>
  <c r="AG64" i="55" s="1"/>
  <c r="AD58" i="55"/>
  <c r="V58" i="55"/>
  <c r="J58" i="55"/>
  <c r="AG58" i="55" s="1"/>
  <c r="AD52" i="55"/>
  <c r="AC52" i="55"/>
  <c r="V52" i="55"/>
  <c r="J52" i="55"/>
  <c r="AG52" i="55" s="1"/>
  <c r="AD46" i="55"/>
  <c r="AC46" i="55"/>
  <c r="V46" i="55"/>
  <c r="J46" i="55"/>
  <c r="AG46" i="55" s="1"/>
  <c r="AD40" i="55"/>
  <c r="AC40" i="55"/>
  <c r="V40" i="55"/>
  <c r="J40" i="55"/>
  <c r="AG40" i="55" s="1"/>
  <c r="AD34" i="55"/>
  <c r="AC34" i="55"/>
  <c r="Y34" i="55"/>
  <c r="V34" i="55"/>
  <c r="J34" i="55"/>
  <c r="AG34" i="55" s="1"/>
  <c r="AD28" i="55"/>
  <c r="AC28" i="55"/>
  <c r="V28" i="55"/>
  <c r="J28" i="55"/>
  <c r="AG28" i="55" s="1"/>
  <c r="AD22" i="55"/>
  <c r="AC22" i="55"/>
  <c r="Y22" i="55"/>
  <c r="V22" i="55"/>
  <c r="J22" i="55"/>
  <c r="AG22" i="55" s="1"/>
  <c r="AD16" i="55"/>
  <c r="AC16" i="55"/>
  <c r="Y16" i="55"/>
  <c r="V16" i="55"/>
  <c r="J16" i="55"/>
  <c r="AG16" i="55" s="1"/>
  <c r="AD10" i="55"/>
  <c r="V10" i="55"/>
  <c r="J10" i="55"/>
  <c r="AG10" i="55" s="1"/>
  <c r="V4" i="55"/>
  <c r="J4" i="55"/>
  <c r="AG4" i="55" s="1"/>
  <c r="AD111" i="54"/>
  <c r="V111" i="54"/>
  <c r="J111" i="54"/>
  <c r="AG111" i="54" s="1"/>
  <c r="AD106" i="54"/>
  <c r="AC106" i="54"/>
  <c r="V106" i="54"/>
  <c r="J106" i="54"/>
  <c r="AG106" i="54" s="1"/>
  <c r="AM4" i="56" l="1"/>
  <c r="AG75" i="55"/>
  <c r="Y75" i="55"/>
  <c r="AD75" i="55"/>
  <c r="AC75" i="55"/>
  <c r="V75" i="55"/>
  <c r="AF64" i="55"/>
  <c r="AH64" i="55" s="1"/>
  <c r="AF16" i="55"/>
  <c r="AH16" i="55" s="1"/>
  <c r="AF40" i="55"/>
  <c r="AH40" i="55" s="1"/>
  <c r="AF10" i="55"/>
  <c r="AH10" i="55" s="1"/>
  <c r="AF4" i="55"/>
  <c r="AH4" i="55" s="1"/>
  <c r="AF22" i="55"/>
  <c r="AH22" i="55" s="1"/>
  <c r="AF28" i="55"/>
  <c r="AH28" i="55" s="1"/>
  <c r="AF34" i="55"/>
  <c r="AH34" i="55" s="1"/>
  <c r="AF46" i="55"/>
  <c r="AH46" i="55" s="1"/>
  <c r="AF52" i="55"/>
  <c r="AF58" i="55"/>
  <c r="AH58" i="55" s="1"/>
  <c r="AF70" i="55"/>
  <c r="AH70" i="55" s="1"/>
  <c r="AF111" i="54"/>
  <c r="AH111" i="54" s="1"/>
  <c r="AF106" i="54"/>
  <c r="AH106" i="54" s="1"/>
  <c r="AH66" i="55" l="1"/>
  <c r="AH42" i="55"/>
  <c r="AH5" i="55"/>
  <c r="AH36" i="55"/>
  <c r="AH71" i="55"/>
  <c r="AH11" i="55"/>
  <c r="AH52" i="55"/>
  <c r="AH75" i="55" s="1"/>
  <c r="AF75" i="55"/>
  <c r="AL3" i="55" s="1"/>
  <c r="D21" i="83" s="1"/>
  <c r="AH108" i="54"/>
  <c r="AH107" i="54"/>
  <c r="AH12" i="55"/>
  <c r="AH23" i="55"/>
  <c r="AH24" i="55"/>
  <c r="AH30" i="55"/>
  <c r="AH29" i="55"/>
  <c r="AH35" i="55"/>
  <c r="AH41" i="55"/>
  <c r="AH47" i="55"/>
  <c r="AH48" i="55"/>
  <c r="AH65" i="55"/>
  <c r="AH6" i="55"/>
  <c r="AH18" i="55"/>
  <c r="AH17" i="55"/>
  <c r="AH72" i="55"/>
  <c r="AH60" i="55"/>
  <c r="AH59" i="55"/>
  <c r="AH113" i="54"/>
  <c r="AH112" i="54"/>
  <c r="AJ58" i="55" l="1"/>
  <c r="AJ16" i="55"/>
  <c r="AJ64" i="55"/>
  <c r="AJ28" i="55"/>
  <c r="AJ46" i="55"/>
  <c r="AJ70" i="55"/>
  <c r="AJ40" i="55"/>
  <c r="AJ34" i="55"/>
  <c r="AJ22" i="55"/>
  <c r="AJ10" i="55"/>
  <c r="AH53" i="55"/>
  <c r="AJ52" i="55"/>
  <c r="AL10" i="55"/>
  <c r="AL22" i="55" s="1"/>
  <c r="AH54" i="55"/>
  <c r="Y82" i="54"/>
  <c r="Y76" i="54"/>
  <c r="Y70" i="54"/>
  <c r="Y58" i="54"/>
  <c r="Y52" i="54"/>
  <c r="Y40" i="54"/>
  <c r="Y34" i="54"/>
  <c r="Y28" i="54"/>
  <c r="AC88" i="54"/>
  <c r="AC82" i="54"/>
  <c r="AC76" i="54"/>
  <c r="AC64" i="54"/>
  <c r="AC52" i="54"/>
  <c r="AC46" i="54"/>
  <c r="AC40" i="54"/>
  <c r="AC34" i="54"/>
  <c r="AC28" i="54"/>
  <c r="AC16" i="54"/>
  <c r="AC22" i="54"/>
  <c r="Y22" i="54"/>
  <c r="Y16" i="54"/>
  <c r="Y10" i="54"/>
  <c r="AC10" i="54"/>
  <c r="AC4" i="54"/>
  <c r="Y4" i="54"/>
  <c r="AM10" i="55" l="1"/>
  <c r="AI75" i="55"/>
  <c r="AM3" i="55" s="1"/>
  <c r="E21" i="83" s="1"/>
  <c r="F21" i="83" s="1"/>
  <c r="AL23" i="55"/>
  <c r="AJ4" i="55"/>
  <c r="AJ75" i="55" s="1"/>
  <c r="Y34" i="53"/>
  <c r="AC34" i="53"/>
  <c r="AC28" i="53"/>
  <c r="Y28" i="53"/>
  <c r="AM4" i="55" l="1"/>
  <c r="AD100" i="54"/>
  <c r="V100" i="54"/>
  <c r="J100" i="54"/>
  <c r="AG100" i="54" s="1"/>
  <c r="AD94" i="54"/>
  <c r="V94" i="54"/>
  <c r="J94" i="54"/>
  <c r="AG94" i="54" s="1"/>
  <c r="AD88" i="54"/>
  <c r="V88" i="54"/>
  <c r="J88" i="54"/>
  <c r="AG88" i="54" s="1"/>
  <c r="AD82" i="54"/>
  <c r="V82" i="54"/>
  <c r="J82" i="54"/>
  <c r="AG82" i="54" s="1"/>
  <c r="AD76" i="54"/>
  <c r="V76" i="54"/>
  <c r="J76" i="54"/>
  <c r="AG76" i="54" s="1"/>
  <c r="AD70" i="54"/>
  <c r="AC70" i="54"/>
  <c r="V70" i="54"/>
  <c r="J70" i="54"/>
  <c r="AG70" i="54" s="1"/>
  <c r="AD64" i="54"/>
  <c r="V64" i="54"/>
  <c r="J64" i="54"/>
  <c r="AG64" i="54" s="1"/>
  <c r="AD58" i="54"/>
  <c r="AC58" i="54"/>
  <c r="V58" i="54"/>
  <c r="J58" i="54"/>
  <c r="AG58" i="54" s="1"/>
  <c r="AD52" i="54"/>
  <c r="V52" i="54"/>
  <c r="J52" i="54"/>
  <c r="AG52" i="54" s="1"/>
  <c r="AD46" i="54"/>
  <c r="Y46" i="54"/>
  <c r="Y122" i="54" s="1"/>
  <c r="V46" i="54"/>
  <c r="J46" i="54"/>
  <c r="AG46" i="54" s="1"/>
  <c r="AD40" i="54"/>
  <c r="V40" i="54"/>
  <c r="J40" i="54"/>
  <c r="AG40" i="54" s="1"/>
  <c r="AD4" i="54"/>
  <c r="AD34" i="54"/>
  <c r="V34" i="54"/>
  <c r="J34" i="54"/>
  <c r="AG34" i="54" s="1"/>
  <c r="AD28" i="54"/>
  <c r="V28" i="54"/>
  <c r="J28" i="54"/>
  <c r="AG28" i="54" s="1"/>
  <c r="AD22" i="54"/>
  <c r="V22" i="54"/>
  <c r="J22" i="54"/>
  <c r="AG22" i="54" s="1"/>
  <c r="AD16" i="54"/>
  <c r="V16" i="54"/>
  <c r="J16" i="54"/>
  <c r="AG16" i="54" s="1"/>
  <c r="AD10" i="54"/>
  <c r="V10" i="54"/>
  <c r="J10" i="54"/>
  <c r="AG10" i="54" s="1"/>
  <c r="V4" i="54"/>
  <c r="J4" i="54"/>
  <c r="AG4" i="54" s="1"/>
  <c r="Z39" i="53"/>
  <c r="AA39" i="53"/>
  <c r="AB39" i="53"/>
  <c r="AE39" i="53"/>
  <c r="AL9" i="53"/>
  <c r="AD34" i="53"/>
  <c r="V34" i="53"/>
  <c r="J34" i="53"/>
  <c r="AG34" i="53" s="1"/>
  <c r="AD28" i="53"/>
  <c r="V28" i="53"/>
  <c r="J28" i="53"/>
  <c r="AG28" i="53" s="1"/>
  <c r="AG122" i="54" l="1"/>
  <c r="AC122" i="54"/>
  <c r="V122" i="54"/>
  <c r="AD122" i="54"/>
  <c r="AF100" i="54"/>
  <c r="AH100" i="54" s="1"/>
  <c r="AF94" i="54"/>
  <c r="AH94" i="54" s="1"/>
  <c r="AF88" i="54"/>
  <c r="AH88" i="54" s="1"/>
  <c r="AF82" i="54"/>
  <c r="AH82" i="54" s="1"/>
  <c r="AF76" i="54"/>
  <c r="AH76" i="54" s="1"/>
  <c r="AF70" i="54"/>
  <c r="AH70" i="54" s="1"/>
  <c r="AF64" i="54"/>
  <c r="AF58" i="54"/>
  <c r="AH58" i="54" s="1"/>
  <c r="AF52" i="54"/>
  <c r="AH52" i="54" s="1"/>
  <c r="AF46" i="54"/>
  <c r="AH46" i="54" s="1"/>
  <c r="AF40" i="54"/>
  <c r="AH40" i="54" s="1"/>
  <c r="AF22" i="54"/>
  <c r="AH22" i="54" s="1"/>
  <c r="AF28" i="54"/>
  <c r="AH28" i="54" s="1"/>
  <c r="AF16" i="54"/>
  <c r="AF10" i="54"/>
  <c r="AH10" i="54" s="1"/>
  <c r="AF4" i="54"/>
  <c r="AF34" i="54"/>
  <c r="AH34" i="54" s="1"/>
  <c r="AF34" i="53"/>
  <c r="AH34" i="53" s="1"/>
  <c r="AF28" i="53"/>
  <c r="AH28" i="53" s="1"/>
  <c r="AH29" i="53" l="1"/>
  <c r="AH23" i="54"/>
  <c r="AH83" i="54"/>
  <c r="AH41" i="54"/>
  <c r="AH90" i="54"/>
  <c r="AH59" i="54"/>
  <c r="AH11" i="54"/>
  <c r="AH71" i="54"/>
  <c r="AH30" i="54"/>
  <c r="AH64" i="54"/>
  <c r="AF122" i="54"/>
  <c r="AL3" i="54" s="1"/>
  <c r="D20" i="83" s="1"/>
  <c r="AH4" i="54"/>
  <c r="AH16" i="54"/>
  <c r="AH84" i="54"/>
  <c r="AH96" i="54"/>
  <c r="AH95" i="54"/>
  <c r="AH89" i="54"/>
  <c r="AH102" i="54"/>
  <c r="AH101" i="54"/>
  <c r="AH72" i="54"/>
  <c r="AH78" i="54"/>
  <c r="AH77" i="54"/>
  <c r="AH60" i="54"/>
  <c r="AH54" i="54"/>
  <c r="AH53" i="54"/>
  <c r="AH48" i="54"/>
  <c r="AH47" i="54"/>
  <c r="AH42" i="54"/>
  <c r="AH29" i="54"/>
  <c r="AH36" i="54"/>
  <c r="AH35" i="54"/>
  <c r="AH12" i="54"/>
  <c r="AH24" i="54"/>
  <c r="AH36" i="53"/>
  <c r="AH35" i="53"/>
  <c r="AH30" i="53"/>
  <c r="AH122" i="54" l="1"/>
  <c r="AH17" i="54"/>
  <c r="AL10" i="54"/>
  <c r="AL23" i="54" s="1"/>
  <c r="AL24" i="54" s="1"/>
  <c r="AH65" i="54"/>
  <c r="AH66" i="54"/>
  <c r="AH6" i="54"/>
  <c r="AH5" i="54"/>
  <c r="AH18" i="54"/>
  <c r="Y22" i="53"/>
  <c r="AC22" i="53"/>
  <c r="AC16" i="53"/>
  <c r="Y16" i="53"/>
  <c r="Y10" i="53"/>
  <c r="AC10" i="53"/>
  <c r="AC4" i="53"/>
  <c r="Y4" i="53"/>
  <c r="AD22" i="53"/>
  <c r="V22" i="53"/>
  <c r="J22" i="53"/>
  <c r="AG22" i="53" s="1"/>
  <c r="AD16" i="53"/>
  <c r="V16" i="53"/>
  <c r="J16" i="53"/>
  <c r="AG16" i="53" s="1"/>
  <c r="AD10" i="53"/>
  <c r="V10" i="53"/>
  <c r="J10" i="53"/>
  <c r="AG10" i="53" s="1"/>
  <c r="AD4" i="53"/>
  <c r="V4" i="53"/>
  <c r="J4" i="53"/>
  <c r="AG4" i="53" s="1"/>
  <c r="AL9" i="52"/>
  <c r="AE22" i="52"/>
  <c r="AB22" i="52"/>
  <c r="AA22" i="52"/>
  <c r="Z22" i="52"/>
  <c r="AG39" i="53" l="1"/>
  <c r="AJ64" i="54"/>
  <c r="AJ4" i="54"/>
  <c r="AJ117" i="54"/>
  <c r="AJ106" i="54"/>
  <c r="AJ111" i="54"/>
  <c r="AJ10" i="54"/>
  <c r="AJ46" i="54"/>
  <c r="AJ58" i="54"/>
  <c r="AJ34" i="54"/>
  <c r="AJ76" i="54"/>
  <c r="AJ82" i="54"/>
  <c r="AJ40" i="54"/>
  <c r="AJ28" i="54"/>
  <c r="AJ88" i="54"/>
  <c r="AJ52" i="54"/>
  <c r="AJ100" i="54"/>
  <c r="AJ70" i="54"/>
  <c r="AJ22" i="54"/>
  <c r="AJ94" i="54"/>
  <c r="AJ16" i="54"/>
  <c r="AM10" i="54"/>
  <c r="Y39" i="53"/>
  <c r="AD39" i="53"/>
  <c r="AC39" i="53"/>
  <c r="V39" i="53"/>
  <c r="AF4" i="53"/>
  <c r="AF22" i="53"/>
  <c r="AF10" i="53"/>
  <c r="AF16" i="53"/>
  <c r="AH16" i="53" s="1"/>
  <c r="Y16" i="52"/>
  <c r="Y10" i="52"/>
  <c r="Y4" i="52"/>
  <c r="AD16" i="52"/>
  <c r="AC16" i="52"/>
  <c r="V16" i="52"/>
  <c r="J16" i="52"/>
  <c r="AG16" i="52" s="1"/>
  <c r="AD10" i="52"/>
  <c r="AC10" i="52"/>
  <c r="V10" i="52"/>
  <c r="J10" i="52"/>
  <c r="AG10" i="52" s="1"/>
  <c r="AD4" i="52"/>
  <c r="AC4" i="52"/>
  <c r="V4" i="52"/>
  <c r="J4" i="52"/>
  <c r="AG4" i="52" s="1"/>
  <c r="AG22" i="52" l="1"/>
  <c r="V22" i="52"/>
  <c r="AJ122" i="54"/>
  <c r="AI122" i="54"/>
  <c r="AM3" i="54" s="1"/>
  <c r="E20" i="83" s="1"/>
  <c r="F20" i="83" s="1"/>
  <c r="AC22" i="52"/>
  <c r="AD22" i="52"/>
  <c r="Y22" i="52"/>
  <c r="AH4" i="53"/>
  <c r="AF39" i="53"/>
  <c r="AL3" i="53" s="1"/>
  <c r="D19" i="83" s="1"/>
  <c r="AH10" i="53"/>
  <c r="AH22" i="53"/>
  <c r="AH18" i="53"/>
  <c r="AH17" i="53"/>
  <c r="AF10" i="52"/>
  <c r="AH10" i="52" s="1"/>
  <c r="AF4" i="52"/>
  <c r="AF16" i="52"/>
  <c r="Y10" i="51"/>
  <c r="AC4" i="51"/>
  <c r="Y4" i="51"/>
  <c r="Y28" i="51"/>
  <c r="Y22" i="51"/>
  <c r="AC22" i="51"/>
  <c r="AC16" i="51"/>
  <c r="Y16" i="51"/>
  <c r="AC10" i="51"/>
  <c r="AL9" i="51"/>
  <c r="AE33" i="51"/>
  <c r="AB33" i="51"/>
  <c r="AA33" i="51"/>
  <c r="Z33" i="51"/>
  <c r="AM4" i="54" l="1"/>
  <c r="AH5" i="53"/>
  <c r="AH39" i="53"/>
  <c r="AJ10" i="53" s="1"/>
  <c r="AH4" i="52"/>
  <c r="AH6" i="52" s="1"/>
  <c r="AF22" i="52"/>
  <c r="AL3" i="52" s="1"/>
  <c r="D18" i="83" s="1"/>
  <c r="AH6" i="53"/>
  <c r="AL10" i="53"/>
  <c r="AH12" i="53"/>
  <c r="AH11" i="53"/>
  <c r="AH23" i="53"/>
  <c r="AH24" i="53"/>
  <c r="AH12" i="52"/>
  <c r="AH11" i="52"/>
  <c r="AH16" i="52"/>
  <c r="AH5" i="52"/>
  <c r="Y33" i="51"/>
  <c r="AD28" i="51"/>
  <c r="AC28" i="51"/>
  <c r="AC33" i="51" s="1"/>
  <c r="V28" i="51"/>
  <c r="J28" i="51"/>
  <c r="AG28" i="51" s="1"/>
  <c r="AD22" i="51"/>
  <c r="V22" i="51"/>
  <c r="J22" i="51"/>
  <c r="AG22" i="51" s="1"/>
  <c r="AD16" i="51"/>
  <c r="V16" i="51"/>
  <c r="J16" i="51"/>
  <c r="AG16" i="51" s="1"/>
  <c r="AD10" i="51"/>
  <c r="V10" i="51"/>
  <c r="J10" i="51"/>
  <c r="AG10" i="51" s="1"/>
  <c r="AD4" i="51"/>
  <c r="V4" i="51"/>
  <c r="J4" i="51"/>
  <c r="AG4" i="51" s="1"/>
  <c r="AH22" i="52" l="1"/>
  <c r="AJ34" i="53"/>
  <c r="AJ28" i="53"/>
  <c r="AJ16" i="53"/>
  <c r="AJ22" i="53"/>
  <c r="AG33" i="51"/>
  <c r="AF4" i="51"/>
  <c r="AH4" i="51" s="1"/>
  <c r="V33" i="51"/>
  <c r="AD33" i="51"/>
  <c r="AL10" i="52"/>
  <c r="AL21" i="52" s="1"/>
  <c r="AM10" i="53"/>
  <c r="AL22" i="53"/>
  <c r="AL23" i="53" s="1"/>
  <c r="AH17" i="52"/>
  <c r="AH18" i="52"/>
  <c r="AF28" i="51"/>
  <c r="AH28" i="51" s="1"/>
  <c r="AF10" i="51"/>
  <c r="AF16" i="51"/>
  <c r="AH16" i="51" s="1"/>
  <c r="AF22" i="51"/>
  <c r="AH22" i="51" s="1"/>
  <c r="AJ10" i="52" l="1"/>
  <c r="AJ16" i="52"/>
  <c r="AI39" i="53"/>
  <c r="AM3" i="53" s="1"/>
  <c r="E19" i="83" s="1"/>
  <c r="F19" i="83" s="1"/>
  <c r="AJ4" i="53"/>
  <c r="AJ39" i="53" s="1"/>
  <c r="AH23" i="51"/>
  <c r="AH17" i="51"/>
  <c r="AL22" i="52"/>
  <c r="AM10" i="52"/>
  <c r="AH10" i="51"/>
  <c r="AF33" i="51"/>
  <c r="AL3" i="51" s="1"/>
  <c r="D17" i="83" s="1"/>
  <c r="AH18" i="51"/>
  <c r="AH6" i="51"/>
  <c r="AH5" i="51"/>
  <c r="AH24" i="51"/>
  <c r="AH30" i="51"/>
  <c r="AH29" i="51"/>
  <c r="AL9" i="50"/>
  <c r="AE45" i="50"/>
  <c r="AB45" i="50"/>
  <c r="AA45" i="50"/>
  <c r="Z45" i="50"/>
  <c r="AM4" i="53" l="1"/>
  <c r="AH33" i="51"/>
  <c r="AL10" i="51"/>
  <c r="AM10" i="51" s="1"/>
  <c r="AI22" i="52"/>
  <c r="AM3" i="52" s="1"/>
  <c r="E18" i="83" s="1"/>
  <c r="F18" i="83" s="1"/>
  <c r="AJ4" i="52"/>
  <c r="AJ22" i="52" s="1"/>
  <c r="AH12" i="51"/>
  <c r="AH11" i="51"/>
  <c r="AJ4" i="51" l="1"/>
  <c r="AJ28" i="51"/>
  <c r="AJ16" i="51"/>
  <c r="AJ22" i="51"/>
  <c r="AJ10" i="51"/>
  <c r="AM4" i="52"/>
  <c r="AC40" i="50"/>
  <c r="Y40" i="50"/>
  <c r="AI33" i="51" l="1"/>
  <c r="AM3" i="51" s="1"/>
  <c r="E17" i="83" s="1"/>
  <c r="F17" i="83" s="1"/>
  <c r="AJ33" i="51"/>
  <c r="Y34" i="50"/>
  <c r="AC34" i="50"/>
  <c r="AC28" i="50"/>
  <c r="Y28" i="50"/>
  <c r="AC22" i="50"/>
  <c r="Y22" i="50"/>
  <c r="AC16" i="50"/>
  <c r="Y10" i="50"/>
  <c r="AC10" i="50"/>
  <c r="AC4" i="50"/>
  <c r="Y4" i="50"/>
  <c r="AM4" i="51" l="1"/>
  <c r="Y45" i="50"/>
  <c r="AC45" i="50"/>
  <c r="Y22" i="49"/>
  <c r="AC22" i="49"/>
  <c r="AC16" i="49"/>
  <c r="AC10" i="49"/>
  <c r="AC4" i="49"/>
  <c r="Y16" i="49"/>
  <c r="Y10" i="49"/>
  <c r="Y4" i="49"/>
  <c r="AL9" i="49" l="1"/>
  <c r="AE27" i="49"/>
  <c r="AC27" i="49"/>
  <c r="AB27" i="49"/>
  <c r="AA27" i="49"/>
  <c r="Z27" i="49"/>
  <c r="Y27" i="49"/>
  <c r="AD40" i="50" l="1"/>
  <c r="V40" i="50"/>
  <c r="J40" i="50"/>
  <c r="AG40" i="50" s="1"/>
  <c r="AD34" i="50"/>
  <c r="V34" i="50"/>
  <c r="J34" i="50"/>
  <c r="AG34" i="50" s="1"/>
  <c r="AD28" i="50"/>
  <c r="V28" i="50"/>
  <c r="J28" i="50"/>
  <c r="AG28" i="50" s="1"/>
  <c r="AD22" i="50"/>
  <c r="V22" i="50"/>
  <c r="J22" i="50"/>
  <c r="AG22" i="50" s="1"/>
  <c r="AD16" i="50"/>
  <c r="V16" i="50"/>
  <c r="J16" i="50"/>
  <c r="AG16" i="50" s="1"/>
  <c r="AD10" i="50"/>
  <c r="V10" i="50"/>
  <c r="J10" i="50"/>
  <c r="AG10" i="50" s="1"/>
  <c r="AD4" i="50"/>
  <c r="V4" i="50"/>
  <c r="J4" i="50"/>
  <c r="AG4" i="50" s="1"/>
  <c r="AC46" i="48"/>
  <c r="Y46" i="48"/>
  <c r="AC40" i="48"/>
  <c r="Y40" i="48"/>
  <c r="AC34" i="48"/>
  <c r="Y34" i="48"/>
  <c r="AC28" i="48"/>
  <c r="Y28" i="48"/>
  <c r="Y22" i="48"/>
  <c r="AC22" i="48"/>
  <c r="AC16" i="48"/>
  <c r="Y16" i="48"/>
  <c r="AC10" i="48"/>
  <c r="Y10" i="48"/>
  <c r="AC4" i="48"/>
  <c r="Y4" i="48"/>
  <c r="AG45" i="50" l="1"/>
  <c r="AF40" i="50"/>
  <c r="AH40" i="50" s="1"/>
  <c r="V45" i="50"/>
  <c r="AD45" i="50"/>
  <c r="AF34" i="50"/>
  <c r="AH34" i="50" s="1"/>
  <c r="AF28" i="50"/>
  <c r="AF16" i="50"/>
  <c r="AH16" i="50" s="1"/>
  <c r="AF10" i="50"/>
  <c r="AH10" i="50" s="1"/>
  <c r="AF4" i="50"/>
  <c r="AH4" i="50" s="1"/>
  <c r="AF22" i="50"/>
  <c r="AH22" i="50" s="1"/>
  <c r="AD4" i="49"/>
  <c r="AD22" i="49"/>
  <c r="V22" i="49"/>
  <c r="J22" i="49"/>
  <c r="AG22" i="49" s="1"/>
  <c r="AD16" i="49"/>
  <c r="V16" i="49"/>
  <c r="J16" i="49"/>
  <c r="AG16" i="49" s="1"/>
  <c r="AD10" i="49"/>
  <c r="V10" i="49"/>
  <c r="J10" i="49"/>
  <c r="AG10" i="49" s="1"/>
  <c r="V4" i="49"/>
  <c r="J4" i="49"/>
  <c r="AG4" i="49" s="1"/>
  <c r="AE51" i="48"/>
  <c r="AB51" i="48"/>
  <c r="AA51" i="48"/>
  <c r="Z51" i="48"/>
  <c r="AD46" i="48"/>
  <c r="V46" i="48"/>
  <c r="J46" i="48"/>
  <c r="AG46" i="48" s="1"/>
  <c r="AD40" i="48"/>
  <c r="V40" i="48"/>
  <c r="J40" i="48"/>
  <c r="AG40" i="48" s="1"/>
  <c r="AD34" i="48"/>
  <c r="V34" i="48"/>
  <c r="J34" i="48"/>
  <c r="AG34" i="48" s="1"/>
  <c r="AD28" i="48"/>
  <c r="V28" i="48"/>
  <c r="J28" i="48"/>
  <c r="AG28" i="48" s="1"/>
  <c r="AD22" i="48"/>
  <c r="V22" i="48"/>
  <c r="J22" i="48"/>
  <c r="AG22" i="48" s="1"/>
  <c r="AL9" i="48"/>
  <c r="AD16" i="48"/>
  <c r="V16" i="48"/>
  <c r="J16" i="48"/>
  <c r="AG16" i="48" s="1"/>
  <c r="AD10" i="48"/>
  <c r="V10" i="48"/>
  <c r="J10" i="48"/>
  <c r="AG10" i="48" s="1"/>
  <c r="AD4" i="48"/>
  <c r="V4" i="48"/>
  <c r="J4" i="48"/>
  <c r="AG4" i="48" s="1"/>
  <c r="AL9" i="47"/>
  <c r="AE51" i="47"/>
  <c r="AB51" i="47"/>
  <c r="AA51" i="47"/>
  <c r="Z51" i="47"/>
  <c r="AC46" i="47"/>
  <c r="Y46" i="47"/>
  <c r="Y40" i="47"/>
  <c r="AC40" i="47"/>
  <c r="AC34" i="47"/>
  <c r="Y34" i="47"/>
  <c r="AC28" i="47"/>
  <c r="Y28" i="47"/>
  <c r="AC16" i="47"/>
  <c r="Y16" i="47"/>
  <c r="AC10" i="47"/>
  <c r="Y10" i="47"/>
  <c r="AC4" i="47"/>
  <c r="AC70" i="46"/>
  <c r="AC64" i="46"/>
  <c r="Y64" i="46"/>
  <c r="AC58" i="46"/>
  <c r="AC52" i="46"/>
  <c r="Y52" i="46"/>
  <c r="AC46" i="46"/>
  <c r="Y46" i="46"/>
  <c r="AC22" i="46"/>
  <c r="AC40" i="46"/>
  <c r="Y40" i="46"/>
  <c r="AC16" i="46"/>
  <c r="Y16" i="46"/>
  <c r="AC10" i="46"/>
  <c r="Y10" i="46"/>
  <c r="AC34" i="46"/>
  <c r="AC4" i="46"/>
  <c r="Y34" i="46"/>
  <c r="Y4" i="46"/>
  <c r="V40" i="47"/>
  <c r="AG27" i="49" l="1"/>
  <c r="AG51" i="48"/>
  <c r="AH17" i="50"/>
  <c r="AH36" i="50"/>
  <c r="AH42" i="50"/>
  <c r="AH23" i="50"/>
  <c r="AC51" i="47"/>
  <c r="Y51" i="47"/>
  <c r="AD27" i="49"/>
  <c r="V27" i="49"/>
  <c r="AH28" i="50"/>
  <c r="AF45" i="50"/>
  <c r="AL3" i="50" s="1"/>
  <c r="D16" i="83" s="1"/>
  <c r="AH41" i="50"/>
  <c r="AH35" i="50"/>
  <c r="AH18" i="50"/>
  <c r="AH11" i="50"/>
  <c r="AH12" i="50"/>
  <c r="AH24" i="50"/>
  <c r="AH5" i="50"/>
  <c r="AH6" i="50"/>
  <c r="AF22" i="49"/>
  <c r="AF10" i="49"/>
  <c r="AH10" i="49" s="1"/>
  <c r="AF16" i="49"/>
  <c r="AH16" i="49" s="1"/>
  <c r="AF4" i="49"/>
  <c r="V51" i="48"/>
  <c r="AF4" i="48"/>
  <c r="AF10" i="48"/>
  <c r="AH10" i="48" s="1"/>
  <c r="AF16" i="48"/>
  <c r="AH16" i="48" s="1"/>
  <c r="AF22" i="48"/>
  <c r="AH22" i="48" s="1"/>
  <c r="AF28" i="48"/>
  <c r="AH28" i="48" s="1"/>
  <c r="Y51" i="48"/>
  <c r="AF40" i="48"/>
  <c r="AH40" i="48" s="1"/>
  <c r="AF46" i="48"/>
  <c r="AH46" i="48" s="1"/>
  <c r="AD51" i="48"/>
  <c r="AC51" i="48"/>
  <c r="AF34" i="48"/>
  <c r="AH34" i="48" s="1"/>
  <c r="AL9" i="46"/>
  <c r="AE75" i="46"/>
  <c r="AC75" i="46"/>
  <c r="AB75" i="46"/>
  <c r="AA75" i="46"/>
  <c r="Z75" i="46"/>
  <c r="AD46" i="47"/>
  <c r="V46" i="47"/>
  <c r="J46" i="47"/>
  <c r="AG46" i="47" s="1"/>
  <c r="AD40" i="47"/>
  <c r="J40" i="47"/>
  <c r="AG40" i="47" s="1"/>
  <c r="AD34" i="47"/>
  <c r="V34" i="47"/>
  <c r="J34" i="47"/>
  <c r="AG34" i="47" s="1"/>
  <c r="AD28" i="47"/>
  <c r="V28" i="47"/>
  <c r="J28" i="47"/>
  <c r="AG28" i="47" s="1"/>
  <c r="AD22" i="47"/>
  <c r="V22" i="47"/>
  <c r="J22" i="47"/>
  <c r="AG22" i="47" s="1"/>
  <c r="AD16" i="47"/>
  <c r="V16" i="47"/>
  <c r="J16" i="47"/>
  <c r="AG16" i="47" s="1"/>
  <c r="AD10" i="47"/>
  <c r="V10" i="47"/>
  <c r="J10" i="47"/>
  <c r="AG10" i="47" s="1"/>
  <c r="AD4" i="47"/>
  <c r="V4" i="47"/>
  <c r="J4" i="47"/>
  <c r="AG4" i="47" s="1"/>
  <c r="AG51" i="47" l="1"/>
  <c r="AH45" i="50"/>
  <c r="AH23" i="48"/>
  <c r="AH17" i="48"/>
  <c r="AH47" i="48"/>
  <c r="AH29" i="48"/>
  <c r="AH4" i="48"/>
  <c r="AH6" i="48" s="1"/>
  <c r="AF51" i="48"/>
  <c r="AL3" i="48" s="1"/>
  <c r="D14" i="83" s="1"/>
  <c r="AH17" i="49"/>
  <c r="AH11" i="49"/>
  <c r="AH30" i="50"/>
  <c r="V51" i="47"/>
  <c r="AD51" i="47"/>
  <c r="AH29" i="50"/>
  <c r="AL10" i="50"/>
  <c r="AH22" i="49"/>
  <c r="AF27" i="49"/>
  <c r="AL3" i="49" s="1"/>
  <c r="D15" i="83" s="1"/>
  <c r="AH12" i="49"/>
  <c r="AH4" i="49"/>
  <c r="AH18" i="49"/>
  <c r="AH41" i="48"/>
  <c r="AH42" i="48"/>
  <c r="AH12" i="48"/>
  <c r="AH11" i="48"/>
  <c r="AH18" i="48"/>
  <c r="AH30" i="48"/>
  <c r="AH48" i="48"/>
  <c r="AH36" i="48"/>
  <c r="AH35" i="48"/>
  <c r="AH24" i="48"/>
  <c r="AF46" i="47"/>
  <c r="AH46" i="47" s="1"/>
  <c r="AF40" i="47"/>
  <c r="AH40" i="47" s="1"/>
  <c r="AF34" i="47"/>
  <c r="AH34" i="47" s="1"/>
  <c r="AF28" i="47"/>
  <c r="AH28" i="47" s="1"/>
  <c r="AF22" i="47"/>
  <c r="AF16" i="47"/>
  <c r="AH16" i="47" s="1"/>
  <c r="AF10" i="47"/>
  <c r="AH10" i="47" s="1"/>
  <c r="AF4" i="47"/>
  <c r="AF51" i="47" l="1"/>
  <c r="AL3" i="47" s="1"/>
  <c r="D13" i="83" s="1"/>
  <c r="AL10" i="48"/>
  <c r="AM10" i="48" s="1"/>
  <c r="AH5" i="48"/>
  <c r="AJ28" i="50"/>
  <c r="AJ16" i="50"/>
  <c r="AJ10" i="50"/>
  <c r="AJ22" i="50"/>
  <c r="AJ40" i="50"/>
  <c r="AJ4" i="50"/>
  <c r="AJ34" i="50"/>
  <c r="AH11" i="47"/>
  <c r="AH29" i="47"/>
  <c r="AH17" i="47"/>
  <c r="AH51" i="48"/>
  <c r="AH5" i="49"/>
  <c r="AH27" i="49"/>
  <c r="AM10" i="50"/>
  <c r="AL23" i="50"/>
  <c r="AL24" i="50" s="1"/>
  <c r="AH23" i="49"/>
  <c r="AL10" i="49"/>
  <c r="AH24" i="49"/>
  <c r="AH6" i="49"/>
  <c r="AH22" i="47"/>
  <c r="AH36" i="47"/>
  <c r="AH35" i="47"/>
  <c r="AH42" i="47"/>
  <c r="AH41" i="47"/>
  <c r="AH12" i="47"/>
  <c r="AH4" i="47"/>
  <c r="AH18" i="47"/>
  <c r="AH30" i="47"/>
  <c r="AH48" i="47"/>
  <c r="AH47" i="47"/>
  <c r="AJ45" i="50" l="1"/>
  <c r="AI45" i="50"/>
  <c r="AM3" i="50" s="1"/>
  <c r="E16" i="83" s="1"/>
  <c r="F16" i="83" s="1"/>
  <c r="AJ22" i="49"/>
  <c r="AH51" i="47"/>
  <c r="AJ22" i="47" s="1"/>
  <c r="AJ10" i="48"/>
  <c r="AJ28" i="48"/>
  <c r="AJ34" i="48"/>
  <c r="AJ40" i="48"/>
  <c r="AJ46" i="48"/>
  <c r="AJ16" i="48"/>
  <c r="AJ22" i="48"/>
  <c r="AJ4" i="48"/>
  <c r="AJ16" i="49"/>
  <c r="AJ10" i="49"/>
  <c r="AH24" i="47"/>
  <c r="AH6" i="47"/>
  <c r="AJ4" i="49"/>
  <c r="AM10" i="49"/>
  <c r="AL22" i="49"/>
  <c r="AL23" i="49" s="1"/>
  <c r="AH23" i="47"/>
  <c r="AL10" i="47"/>
  <c r="AH5" i="47"/>
  <c r="AJ51" i="48" l="1"/>
  <c r="AI27" i="49"/>
  <c r="AM3" i="49" s="1"/>
  <c r="E15" i="83" s="1"/>
  <c r="F15" i="83" s="1"/>
  <c r="AI51" i="48"/>
  <c r="AM3" i="48" s="1"/>
  <c r="E14" i="83" s="1"/>
  <c r="F14" i="83" s="1"/>
  <c r="AM4" i="50"/>
  <c r="AJ27" i="49"/>
  <c r="AJ46" i="47"/>
  <c r="AJ16" i="47"/>
  <c r="AJ10" i="47"/>
  <c r="AJ40" i="47"/>
  <c r="AJ28" i="47"/>
  <c r="AJ34" i="47"/>
  <c r="AJ4" i="47"/>
  <c r="AM10" i="47"/>
  <c r="AL21" i="47"/>
  <c r="AL22" i="47" s="1"/>
  <c r="Y28" i="46"/>
  <c r="Y75" i="46" s="1"/>
  <c r="AD70" i="46"/>
  <c r="AM4" i="49" l="1"/>
  <c r="AM4" i="48"/>
  <c r="AJ51" i="47"/>
  <c r="AI51" i="47"/>
  <c r="AM3" i="47" s="1"/>
  <c r="E13" i="83" s="1"/>
  <c r="F13" i="83" s="1"/>
  <c r="AD64" i="46"/>
  <c r="AD58" i="46"/>
  <c r="AM4" i="47" l="1"/>
  <c r="Y52" i="45"/>
  <c r="AC52" i="45"/>
  <c r="AC46" i="45"/>
  <c r="Y46" i="45"/>
  <c r="AC40" i="45"/>
  <c r="Y40" i="45"/>
  <c r="AC34" i="45"/>
  <c r="Y34" i="45"/>
  <c r="Y28" i="45"/>
  <c r="AC22" i="45"/>
  <c r="AC16" i="45"/>
  <c r="AC10" i="45"/>
  <c r="AC4" i="45"/>
  <c r="Y4" i="45"/>
  <c r="AD52" i="46" l="1"/>
  <c r="AD46" i="46"/>
  <c r="AD40" i="46"/>
  <c r="AD34" i="46"/>
  <c r="AC28" i="45"/>
  <c r="AC57" i="45" s="1"/>
  <c r="AD28" i="46"/>
  <c r="AD22" i="46"/>
  <c r="AD16" i="46"/>
  <c r="AD10" i="46"/>
  <c r="AD4" i="46"/>
  <c r="AL9" i="45"/>
  <c r="AE57" i="45"/>
  <c r="AB57" i="45"/>
  <c r="AA57" i="45"/>
  <c r="Z57" i="45"/>
  <c r="AD52" i="45"/>
  <c r="V52" i="45"/>
  <c r="J52" i="45"/>
  <c r="AG52" i="45" s="1"/>
  <c r="AD46" i="45"/>
  <c r="V46" i="45"/>
  <c r="J46" i="45"/>
  <c r="AG46" i="45" s="1"/>
  <c r="J70" i="46"/>
  <c r="AG70" i="46" s="1"/>
  <c r="J64" i="46"/>
  <c r="AG64" i="46" s="1"/>
  <c r="J58" i="46"/>
  <c r="AG58" i="46" s="1"/>
  <c r="J52" i="46"/>
  <c r="AG52" i="46" s="1"/>
  <c r="J46" i="46"/>
  <c r="AG46" i="46" s="1"/>
  <c r="V70" i="46"/>
  <c r="V64" i="46"/>
  <c r="V58" i="46"/>
  <c r="V52" i="46"/>
  <c r="V46" i="46"/>
  <c r="V40" i="46"/>
  <c r="J40" i="46"/>
  <c r="AG40" i="46" s="1"/>
  <c r="V34" i="46"/>
  <c r="J34" i="46"/>
  <c r="AG34" i="46" s="1"/>
  <c r="V28" i="46"/>
  <c r="J28" i="46"/>
  <c r="AG28" i="46" s="1"/>
  <c r="V22" i="46"/>
  <c r="J22" i="46"/>
  <c r="AG22" i="46" s="1"/>
  <c r="V16" i="46"/>
  <c r="J16" i="46"/>
  <c r="AG16" i="46" s="1"/>
  <c r="V10" i="46"/>
  <c r="J10" i="46"/>
  <c r="AG10" i="46" s="1"/>
  <c r="V4" i="46"/>
  <c r="J4" i="46"/>
  <c r="AG4" i="46" s="1"/>
  <c r="J40" i="45"/>
  <c r="J34" i="45"/>
  <c r="J28" i="45"/>
  <c r="J22" i="45"/>
  <c r="AC76" i="44"/>
  <c r="AC70" i="44"/>
  <c r="AC64" i="44"/>
  <c r="AC58" i="44"/>
  <c r="AC52" i="44"/>
  <c r="Y10" i="44"/>
  <c r="Y16" i="44"/>
  <c r="AJ16" i="43"/>
  <c r="J16" i="45"/>
  <c r="J10" i="45"/>
  <c r="J4" i="45"/>
  <c r="J64" i="44"/>
  <c r="AG75" i="46" l="1"/>
  <c r="AF46" i="45"/>
  <c r="V75" i="46"/>
  <c r="AD75" i="46"/>
  <c r="AF70" i="46"/>
  <c r="AH70" i="46" s="1"/>
  <c r="AF64" i="46"/>
  <c r="AH64" i="46" s="1"/>
  <c r="AF58" i="46"/>
  <c r="AH58" i="46" s="1"/>
  <c r="AF52" i="46"/>
  <c r="AH52" i="46" s="1"/>
  <c r="AF46" i="46"/>
  <c r="AH46" i="46" s="1"/>
  <c r="AF40" i="46"/>
  <c r="AH40" i="46" s="1"/>
  <c r="AF34" i="46"/>
  <c r="AH34" i="46" s="1"/>
  <c r="AF28" i="46"/>
  <c r="AH28" i="46" s="1"/>
  <c r="AF10" i="46"/>
  <c r="AH10" i="46" s="1"/>
  <c r="AF52" i="45"/>
  <c r="AH52" i="45" s="1"/>
  <c r="AH46" i="45"/>
  <c r="AF16" i="46"/>
  <c r="AH16" i="46" s="1"/>
  <c r="AF22" i="46"/>
  <c r="AF4" i="46"/>
  <c r="AD4" i="45"/>
  <c r="AG40" i="45"/>
  <c r="AD40" i="45"/>
  <c r="V40" i="45"/>
  <c r="AG34" i="45"/>
  <c r="AD34" i="45"/>
  <c r="V34" i="45"/>
  <c r="AD28" i="45"/>
  <c r="V28" i="45"/>
  <c r="AG28" i="45"/>
  <c r="AD22" i="45"/>
  <c r="V22" i="45"/>
  <c r="AG22" i="45"/>
  <c r="AG16" i="45"/>
  <c r="AD16" i="45"/>
  <c r="Y16" i="45"/>
  <c r="V16" i="45"/>
  <c r="AD10" i="45"/>
  <c r="Y10" i="45"/>
  <c r="V10" i="45"/>
  <c r="AG10" i="45"/>
  <c r="V4" i="45"/>
  <c r="AG4" i="45"/>
  <c r="AL9" i="44"/>
  <c r="AE87" i="44"/>
  <c r="AB87" i="44"/>
  <c r="AA87" i="44"/>
  <c r="Z87" i="44"/>
  <c r="AH4" i="46" l="1"/>
  <c r="AF75" i="46"/>
  <c r="AL3" i="46" s="1"/>
  <c r="D12" i="83" s="1"/>
  <c r="AH53" i="45"/>
  <c r="AG57" i="45"/>
  <c r="AH29" i="46"/>
  <c r="AH53" i="46"/>
  <c r="AH35" i="46"/>
  <c r="AH5" i="46"/>
  <c r="AH41" i="46"/>
  <c r="AH66" i="46"/>
  <c r="AH48" i="46"/>
  <c r="AD57" i="45"/>
  <c r="V57" i="45"/>
  <c r="Y57" i="45"/>
  <c r="AH22" i="46"/>
  <c r="AH72" i="46"/>
  <c r="AH71" i="46"/>
  <c r="AH60" i="46"/>
  <c r="AH59" i="46"/>
  <c r="AH65" i="46"/>
  <c r="AH54" i="45"/>
  <c r="AH47" i="45"/>
  <c r="AH48" i="45"/>
  <c r="AF28" i="45"/>
  <c r="AH54" i="46"/>
  <c r="AH47" i="46"/>
  <c r="AH12" i="46"/>
  <c r="AH11" i="46"/>
  <c r="AH42" i="46"/>
  <c r="AH36" i="46"/>
  <c r="AH30" i="46"/>
  <c r="AH17" i="46"/>
  <c r="AH18" i="46"/>
  <c r="AH6" i="46"/>
  <c r="AF40" i="45"/>
  <c r="AH40" i="45" s="1"/>
  <c r="AF34" i="45"/>
  <c r="AH34" i="45" s="1"/>
  <c r="AF16" i="45"/>
  <c r="AH16" i="45" s="1"/>
  <c r="AF10" i="45"/>
  <c r="AH10" i="45" s="1"/>
  <c r="AF22" i="45"/>
  <c r="AH22" i="45" s="1"/>
  <c r="AF4" i="45"/>
  <c r="Y46" i="44"/>
  <c r="Y40" i="44"/>
  <c r="Y34" i="44"/>
  <c r="AC28" i="44"/>
  <c r="AC4" i="44"/>
  <c r="AF57" i="45" l="1"/>
  <c r="AL3" i="45" s="1"/>
  <c r="D11" i="83" s="1"/>
  <c r="AH24" i="45"/>
  <c r="AH41" i="45"/>
  <c r="AH75" i="46"/>
  <c r="AJ22" i="46" s="1"/>
  <c r="AH24" i="46"/>
  <c r="AH23" i="46"/>
  <c r="AL10" i="46"/>
  <c r="AH28" i="45"/>
  <c r="AH4" i="45"/>
  <c r="AH36" i="45"/>
  <c r="AH35" i="45"/>
  <c r="AH18" i="45"/>
  <c r="AH17" i="45"/>
  <c r="AH12" i="45"/>
  <c r="AH11" i="45"/>
  <c r="AH42" i="45"/>
  <c r="AH23" i="45"/>
  <c r="Y34" i="43"/>
  <c r="Y28" i="43"/>
  <c r="Y22" i="43"/>
  <c r="AH6" i="45" l="1"/>
  <c r="AH57" i="45"/>
  <c r="AJ16" i="46"/>
  <c r="AJ34" i="46"/>
  <c r="AJ28" i="46"/>
  <c r="AJ58" i="46"/>
  <c r="AJ10" i="46"/>
  <c r="AJ52" i="46"/>
  <c r="AJ40" i="46"/>
  <c r="AJ46" i="46"/>
  <c r="AJ64" i="46"/>
  <c r="AJ70" i="46"/>
  <c r="AJ28" i="45"/>
  <c r="AJ4" i="46"/>
  <c r="AM10" i="46"/>
  <c r="AL21" i="46"/>
  <c r="AL22" i="46" s="1"/>
  <c r="AH29" i="45"/>
  <c r="AL10" i="45"/>
  <c r="AH30" i="45"/>
  <c r="AH5" i="45"/>
  <c r="AE75" i="43"/>
  <c r="AA75" i="43"/>
  <c r="Z75" i="43"/>
  <c r="AB70" i="43"/>
  <c r="Y70" i="43"/>
  <c r="AD4" i="44"/>
  <c r="AD82" i="44"/>
  <c r="V82" i="44"/>
  <c r="J82" i="44"/>
  <c r="AG82" i="44" s="1"/>
  <c r="AD76" i="44"/>
  <c r="V76" i="44"/>
  <c r="J76" i="44"/>
  <c r="AG76" i="44" s="1"/>
  <c r="AD70" i="44"/>
  <c r="V70" i="44"/>
  <c r="J70" i="44"/>
  <c r="AG70" i="44" s="1"/>
  <c r="AD64" i="44"/>
  <c r="V64" i="44"/>
  <c r="AG64" i="44"/>
  <c r="AD58" i="44"/>
  <c r="V58" i="44"/>
  <c r="J58" i="44"/>
  <c r="AG58" i="44" s="1"/>
  <c r="AD52" i="44"/>
  <c r="V52" i="44"/>
  <c r="J52" i="44"/>
  <c r="AG52" i="44" s="1"/>
  <c r="AD46" i="44"/>
  <c r="V46" i="44"/>
  <c r="J46" i="44"/>
  <c r="AG46" i="44" s="1"/>
  <c r="AD40" i="44"/>
  <c r="V40" i="44"/>
  <c r="J40" i="44"/>
  <c r="AG40" i="44" s="1"/>
  <c r="AD34" i="44"/>
  <c r="AC34" i="44"/>
  <c r="V34" i="44"/>
  <c r="J34" i="44"/>
  <c r="AG34" i="44" s="1"/>
  <c r="AD28" i="44"/>
  <c r="V28" i="44"/>
  <c r="J28" i="44"/>
  <c r="AG28" i="44" s="1"/>
  <c r="AD22" i="44"/>
  <c r="AC22" i="44"/>
  <c r="V22" i="44"/>
  <c r="J22" i="44"/>
  <c r="AG22" i="44" s="1"/>
  <c r="AD16" i="44"/>
  <c r="AC16" i="44"/>
  <c r="V16" i="44"/>
  <c r="J16" i="44"/>
  <c r="AG16" i="44" s="1"/>
  <c r="AD10" i="44"/>
  <c r="AC10" i="44"/>
  <c r="V10" i="44"/>
  <c r="J10" i="44"/>
  <c r="AG10" i="44" s="1"/>
  <c r="Y4" i="44"/>
  <c r="Y87" i="44" s="1"/>
  <c r="V4" i="44"/>
  <c r="J4" i="44"/>
  <c r="AG4" i="44" s="1"/>
  <c r="AB58" i="43"/>
  <c r="Y58" i="43"/>
  <c r="AJ75" i="46" l="1"/>
  <c r="AG87" i="44"/>
  <c r="AJ52" i="45"/>
  <c r="AJ46" i="45"/>
  <c r="AJ34" i="45"/>
  <c r="AJ40" i="45"/>
  <c r="AJ10" i="45"/>
  <c r="AJ16" i="45"/>
  <c r="AJ22" i="45"/>
  <c r="AI75" i="46"/>
  <c r="AM3" i="46" s="1"/>
  <c r="E12" i="83" s="1"/>
  <c r="F12" i="83" s="1"/>
  <c r="AC87" i="44"/>
  <c r="AD87" i="44"/>
  <c r="AM10" i="45"/>
  <c r="AL21" i="45"/>
  <c r="AL22" i="45" s="1"/>
  <c r="AF4" i="44"/>
  <c r="V87" i="44"/>
  <c r="AF76" i="44"/>
  <c r="AH76" i="44" s="1"/>
  <c r="AF82" i="44"/>
  <c r="AH82" i="44" s="1"/>
  <c r="AF28" i="44"/>
  <c r="AH28" i="44" s="1"/>
  <c r="AF40" i="44"/>
  <c r="AH40" i="44" s="1"/>
  <c r="AF64" i="44"/>
  <c r="AH64" i="44" s="1"/>
  <c r="AF70" i="44"/>
  <c r="AH70" i="44" s="1"/>
  <c r="AF10" i="44"/>
  <c r="AH10" i="44" s="1"/>
  <c r="AF16" i="44"/>
  <c r="AF22" i="44"/>
  <c r="AH22" i="44" s="1"/>
  <c r="AF34" i="44"/>
  <c r="AH34" i="44" s="1"/>
  <c r="AF46" i="44"/>
  <c r="AH46" i="44" s="1"/>
  <c r="AF52" i="44"/>
  <c r="AF58" i="44"/>
  <c r="AH58" i="44" s="1"/>
  <c r="AB46" i="43"/>
  <c r="Y46" i="43"/>
  <c r="AB40" i="43"/>
  <c r="Y40" i="43"/>
  <c r="AM4" i="46" l="1"/>
  <c r="AH42" i="44"/>
  <c r="AH29" i="44"/>
  <c r="AH4" i="44"/>
  <c r="AH6" i="44" s="1"/>
  <c r="AF87" i="44"/>
  <c r="AL3" i="44" s="1"/>
  <c r="D10" i="83" s="1"/>
  <c r="AH71" i="44"/>
  <c r="AH35" i="44"/>
  <c r="AH78" i="44"/>
  <c r="AI57" i="45"/>
  <c r="AM3" i="45" s="1"/>
  <c r="E11" i="83" s="1"/>
  <c r="F11" i="83" s="1"/>
  <c r="AJ4" i="45"/>
  <c r="AJ57" i="45" s="1"/>
  <c r="AH16" i="44"/>
  <c r="AH18" i="44" s="1"/>
  <c r="AH66" i="44"/>
  <c r="AH77" i="44"/>
  <c r="AH72" i="44"/>
  <c r="AH83" i="44"/>
  <c r="AH84" i="44"/>
  <c r="AH65" i="44"/>
  <c r="AH24" i="44"/>
  <c r="AH23" i="44"/>
  <c r="AH30" i="44"/>
  <c r="AH41" i="44"/>
  <c r="AH47" i="44"/>
  <c r="AH48" i="44"/>
  <c r="AH52" i="44"/>
  <c r="AH12" i="44"/>
  <c r="AH11" i="44"/>
  <c r="AH60" i="44"/>
  <c r="AH59" i="44"/>
  <c r="AH36" i="44"/>
  <c r="AC28" i="43"/>
  <c r="AB16" i="43"/>
  <c r="Y16" i="43"/>
  <c r="AB10" i="43"/>
  <c r="Y10" i="43"/>
  <c r="AC4" i="43"/>
  <c r="AB4" i="43"/>
  <c r="Y4" i="43"/>
  <c r="AD70" i="43"/>
  <c r="AC70" i="43"/>
  <c r="V70" i="43"/>
  <c r="J70" i="43"/>
  <c r="AG70" i="43" s="1"/>
  <c r="AD64" i="43"/>
  <c r="AC64" i="43"/>
  <c r="V64" i="43"/>
  <c r="J64" i="43"/>
  <c r="AG64" i="43" s="1"/>
  <c r="AD58" i="43"/>
  <c r="AC58" i="43"/>
  <c r="V58" i="43"/>
  <c r="J58" i="43"/>
  <c r="AG58" i="43" s="1"/>
  <c r="AD52" i="43"/>
  <c r="V52" i="43"/>
  <c r="J52" i="43"/>
  <c r="AG52" i="43" s="1"/>
  <c r="AD46" i="43"/>
  <c r="AC46" i="43"/>
  <c r="V46" i="43"/>
  <c r="J46" i="43"/>
  <c r="AG46" i="43" s="1"/>
  <c r="AD40" i="43"/>
  <c r="AC40" i="43"/>
  <c r="V40" i="43"/>
  <c r="J40" i="43"/>
  <c r="AG40" i="43" s="1"/>
  <c r="AD34" i="43"/>
  <c r="AC34" i="43"/>
  <c r="V34" i="43"/>
  <c r="J34" i="43"/>
  <c r="AG34" i="43" s="1"/>
  <c r="AD28" i="43"/>
  <c r="V28" i="43"/>
  <c r="J28" i="43"/>
  <c r="AG28" i="43" s="1"/>
  <c r="AD22" i="43"/>
  <c r="AC22" i="43"/>
  <c r="V22" i="43"/>
  <c r="J22" i="43"/>
  <c r="AG22" i="43" s="1"/>
  <c r="AD16" i="43"/>
  <c r="AC16" i="43"/>
  <c r="V16" i="43"/>
  <c r="J16" i="43"/>
  <c r="AG16" i="43" s="1"/>
  <c r="AD10" i="43"/>
  <c r="AC10" i="43"/>
  <c r="V10" i="43"/>
  <c r="J10" i="43"/>
  <c r="AG10" i="43" s="1"/>
  <c r="AD4" i="43"/>
  <c r="V4" i="43"/>
  <c r="J4" i="43"/>
  <c r="AG4" i="43" s="1"/>
  <c r="AH17" i="44" l="1"/>
  <c r="AM4" i="45"/>
  <c r="AH54" i="44"/>
  <c r="AH5" i="44"/>
  <c r="AH87" i="44"/>
  <c r="AJ16" i="44" s="1"/>
  <c r="Y75" i="43"/>
  <c r="AL10" i="44"/>
  <c r="AC75" i="43"/>
  <c r="AG75" i="43"/>
  <c r="V75" i="43"/>
  <c r="AD75" i="43"/>
  <c r="AB75" i="43"/>
  <c r="AF70" i="43"/>
  <c r="AH70" i="43" s="1"/>
  <c r="AH53" i="44"/>
  <c r="AF22" i="43"/>
  <c r="AH22" i="43" s="1"/>
  <c r="AF64" i="43"/>
  <c r="AH64" i="43" s="1"/>
  <c r="AH65" i="43" s="1"/>
  <c r="AF52" i="43"/>
  <c r="AH52" i="43" s="1"/>
  <c r="AH54" i="43" s="1"/>
  <c r="AF40" i="43"/>
  <c r="AH40" i="43" s="1"/>
  <c r="AH42" i="43" s="1"/>
  <c r="AF34" i="43"/>
  <c r="AH34" i="43" s="1"/>
  <c r="AH36" i="43" s="1"/>
  <c r="AF28" i="43"/>
  <c r="AH28" i="43" s="1"/>
  <c r="AF10" i="43"/>
  <c r="AH10" i="43" s="1"/>
  <c r="AH12" i="43" s="1"/>
  <c r="AF58" i="43"/>
  <c r="AH58" i="43" s="1"/>
  <c r="AF16" i="43"/>
  <c r="AH16" i="43" s="1"/>
  <c r="AH17" i="43" s="1"/>
  <c r="AF46" i="43"/>
  <c r="AH46" i="43" s="1"/>
  <c r="AF4" i="43"/>
  <c r="AJ16" i="41"/>
  <c r="AE33" i="41"/>
  <c r="AA33" i="41"/>
  <c r="Z33" i="41"/>
  <c r="AC22" i="41"/>
  <c r="Y22" i="41"/>
  <c r="AC16" i="41"/>
  <c r="AC28" i="41"/>
  <c r="Y28" i="41"/>
  <c r="AJ52" i="44" l="1"/>
  <c r="AJ4" i="44"/>
  <c r="AJ34" i="44"/>
  <c r="AJ40" i="44"/>
  <c r="AJ28" i="44"/>
  <c r="AJ70" i="44"/>
  <c r="AJ58" i="44"/>
  <c r="AJ76" i="44"/>
  <c r="AJ46" i="44"/>
  <c r="AJ82" i="44"/>
  <c r="AJ22" i="44"/>
  <c r="AJ10" i="44"/>
  <c r="AJ64" i="44"/>
  <c r="AM10" i="44"/>
  <c r="AL21" i="44"/>
  <c r="AL22" i="44" s="1"/>
  <c r="AF75" i="43"/>
  <c r="AH24" i="43"/>
  <c r="AH53" i="43"/>
  <c r="AH41" i="43"/>
  <c r="AH35" i="43"/>
  <c r="AH23" i="43"/>
  <c r="AH11" i="43"/>
  <c r="AH18" i="43"/>
  <c r="AH66" i="43"/>
  <c r="AH60" i="43"/>
  <c r="AH59" i="43"/>
  <c r="AH4" i="43"/>
  <c r="AJ17" i="43" s="1"/>
  <c r="AH72" i="43"/>
  <c r="AH71" i="43"/>
  <c r="AH30" i="43"/>
  <c r="AH29" i="43"/>
  <c r="AH47" i="43"/>
  <c r="AH48" i="43"/>
  <c r="Y16" i="41"/>
  <c r="AJ87" i="44" l="1"/>
  <c r="AI87" i="44"/>
  <c r="AM3" i="44" s="1"/>
  <c r="E10" i="83" s="1"/>
  <c r="F10" i="83" s="1"/>
  <c r="AH6" i="43"/>
  <c r="AH5" i="43"/>
  <c r="AB10" i="41"/>
  <c r="Y10" i="41"/>
  <c r="AM4" i="44" l="1"/>
  <c r="AK17" i="43"/>
  <c r="AL9" i="40"/>
  <c r="AE45" i="40"/>
  <c r="AA45" i="40"/>
  <c r="Z45" i="40"/>
  <c r="AC4" i="41"/>
  <c r="Y4" i="41"/>
  <c r="Y33" i="41" s="1"/>
  <c r="AD28" i="41"/>
  <c r="AB28" i="41"/>
  <c r="V28" i="41"/>
  <c r="J28" i="41"/>
  <c r="AG28" i="41" s="1"/>
  <c r="AD22" i="41"/>
  <c r="AB22" i="41"/>
  <c r="V22" i="41"/>
  <c r="J22" i="41"/>
  <c r="AG22" i="41" s="1"/>
  <c r="AD16" i="41"/>
  <c r="AB16" i="41"/>
  <c r="V16" i="41"/>
  <c r="J16" i="41"/>
  <c r="AG16" i="41" s="1"/>
  <c r="AD10" i="41"/>
  <c r="AC10" i="41"/>
  <c r="V10" i="41"/>
  <c r="J10" i="41"/>
  <c r="AG10" i="41" s="1"/>
  <c r="AD4" i="41"/>
  <c r="AB4" i="41"/>
  <c r="V4" i="41"/>
  <c r="J4" i="41"/>
  <c r="AG4" i="41" s="1"/>
  <c r="AC33" i="41" l="1"/>
  <c r="V33" i="41"/>
  <c r="AB33" i="41"/>
  <c r="AD33" i="41"/>
  <c r="AG33" i="41"/>
  <c r="AF22" i="41"/>
  <c r="AH22" i="41" s="1"/>
  <c r="AH23" i="41" s="1"/>
  <c r="AF28" i="41"/>
  <c r="AH28" i="41" s="1"/>
  <c r="AF16" i="41"/>
  <c r="AH16" i="41" s="1"/>
  <c r="AF10" i="41"/>
  <c r="AF4" i="41"/>
  <c r="AH4" i="41" s="1"/>
  <c r="AB40" i="40"/>
  <c r="Y40" i="40"/>
  <c r="AJ29" i="38"/>
  <c r="AH10" i="41" l="1"/>
  <c r="AJ17" i="41" s="1"/>
  <c r="AK17" i="41" s="1"/>
  <c r="AF33" i="41"/>
  <c r="AH24" i="41"/>
  <c r="AH18" i="41"/>
  <c r="AH17" i="41"/>
  <c r="AH5" i="41"/>
  <c r="AH6" i="41"/>
  <c r="AH30" i="41"/>
  <c r="AH29" i="41"/>
  <c r="AB34" i="40"/>
  <c r="Y34" i="40"/>
  <c r="AC10" i="40"/>
  <c r="AB28" i="40"/>
  <c r="Y28" i="40"/>
  <c r="Y22" i="40"/>
  <c r="AB22" i="40"/>
  <c r="AB16" i="40"/>
  <c r="Y16" i="40"/>
  <c r="AB4" i="40"/>
  <c r="Y4" i="40"/>
  <c r="AC64" i="38"/>
  <c r="AB58" i="38"/>
  <c r="Y58" i="38"/>
  <c r="AC52" i="38"/>
  <c r="AC46" i="38"/>
  <c r="AC40" i="38"/>
  <c r="AC28" i="38"/>
  <c r="AC22" i="38"/>
  <c r="AC16" i="38"/>
  <c r="AC10" i="38"/>
  <c r="AC4" i="38"/>
  <c r="AC34" i="38"/>
  <c r="Y45" i="40" l="1"/>
  <c r="AB45" i="40"/>
  <c r="AH11" i="41"/>
  <c r="AH12" i="41"/>
  <c r="AJ16" i="38"/>
  <c r="AE69" i="38"/>
  <c r="AC69" i="38"/>
  <c r="AB69" i="38"/>
  <c r="AA69" i="38"/>
  <c r="Z69" i="38"/>
  <c r="AD4" i="40" l="1"/>
  <c r="AD40" i="40"/>
  <c r="AC40" i="40"/>
  <c r="AC45" i="40" s="1"/>
  <c r="V40" i="40"/>
  <c r="J40" i="40"/>
  <c r="AG40" i="40" s="1"/>
  <c r="AD34" i="40"/>
  <c r="V34" i="40"/>
  <c r="J34" i="40"/>
  <c r="AG34" i="40" s="1"/>
  <c r="AD28" i="40"/>
  <c r="V28" i="40"/>
  <c r="J28" i="40"/>
  <c r="AG28" i="40" s="1"/>
  <c r="AD22" i="40"/>
  <c r="V22" i="40"/>
  <c r="J22" i="40"/>
  <c r="AG22" i="40" s="1"/>
  <c r="AD16" i="40"/>
  <c r="V16" i="40"/>
  <c r="J16" i="40"/>
  <c r="AG16" i="40" s="1"/>
  <c r="AD10" i="40"/>
  <c r="V10" i="40"/>
  <c r="J10" i="40"/>
  <c r="AG10" i="40" s="1"/>
  <c r="V4" i="40"/>
  <c r="J4" i="40"/>
  <c r="AG4" i="40" s="1"/>
  <c r="AG45" i="40" l="1"/>
  <c r="AF4" i="40"/>
  <c r="V45" i="40"/>
  <c r="AD45" i="40"/>
  <c r="AF10" i="40"/>
  <c r="AH10" i="40" s="1"/>
  <c r="AF34" i="40"/>
  <c r="AH34" i="40" s="1"/>
  <c r="AF28" i="40"/>
  <c r="AH28" i="40" s="1"/>
  <c r="AF22" i="40"/>
  <c r="AF16" i="40"/>
  <c r="AH16" i="40" s="1"/>
  <c r="AF40" i="40"/>
  <c r="AH40" i="40" s="1"/>
  <c r="AH4" i="40"/>
  <c r="AH17" i="40" l="1"/>
  <c r="AH5" i="40"/>
  <c r="AH30" i="40"/>
  <c r="AH42" i="40"/>
  <c r="AH35" i="40"/>
  <c r="AF45" i="40"/>
  <c r="AL3" i="40" s="1"/>
  <c r="AH22" i="40"/>
  <c r="AH45" i="40" s="1"/>
  <c r="AH12" i="40"/>
  <c r="AH11" i="40"/>
  <c r="AH41" i="40"/>
  <c r="AH29" i="40"/>
  <c r="AH36" i="40"/>
  <c r="AH18" i="40"/>
  <c r="AH6" i="40"/>
  <c r="D9" i="83" l="1"/>
  <c r="AJ28" i="40"/>
  <c r="AJ16" i="40"/>
  <c r="AJ10" i="40"/>
  <c r="AJ40" i="40"/>
  <c r="AJ34" i="40"/>
  <c r="AH24" i="40"/>
  <c r="AJ22" i="40"/>
  <c r="AH23" i="40"/>
  <c r="AL10" i="40"/>
  <c r="AM10" i="40" s="1"/>
  <c r="Y46" i="37"/>
  <c r="Y28" i="37"/>
  <c r="AC46" i="37"/>
  <c r="AC40" i="37"/>
  <c r="AC34" i="37"/>
  <c r="AC28" i="37"/>
  <c r="AC22" i="37"/>
  <c r="AC16" i="37"/>
  <c r="AC10" i="37"/>
  <c r="AC4" i="37"/>
  <c r="AD64" i="38"/>
  <c r="V64" i="38"/>
  <c r="J64" i="38"/>
  <c r="AG64" i="38" s="1"/>
  <c r="AD58" i="38"/>
  <c r="V58" i="38"/>
  <c r="J58" i="38"/>
  <c r="AG58" i="38" s="1"/>
  <c r="AD52" i="38"/>
  <c r="V52" i="38"/>
  <c r="J52" i="38"/>
  <c r="AG52" i="38" s="1"/>
  <c r="AJ16" i="36"/>
  <c r="AE112" i="36"/>
  <c r="AB112" i="36"/>
  <c r="AA112" i="36"/>
  <c r="Z112" i="36"/>
  <c r="AD106" i="36"/>
  <c r="AC106" i="36"/>
  <c r="V106" i="36"/>
  <c r="J106" i="36"/>
  <c r="AG106" i="36" s="1"/>
  <c r="AI45" i="40" l="1"/>
  <c r="AM3" i="40" s="1"/>
  <c r="AJ4" i="40"/>
  <c r="AJ45" i="40" s="1"/>
  <c r="AF106" i="36"/>
  <c r="AH106" i="36" s="1"/>
  <c r="AF64" i="38"/>
  <c r="AH64" i="38" s="1"/>
  <c r="AF58" i="38"/>
  <c r="AH58" i="38" s="1"/>
  <c r="AH59" i="38" s="1"/>
  <c r="AF52" i="38"/>
  <c r="E9" i="83" l="1"/>
  <c r="AM4" i="40"/>
  <c r="F9" i="83"/>
  <c r="AH66" i="38"/>
  <c r="AH65" i="38"/>
  <c r="AH52" i="38"/>
  <c r="AH53" i="38" s="1"/>
  <c r="AH60" i="38"/>
  <c r="AH108" i="36"/>
  <c r="AH107" i="36"/>
  <c r="AH54" i="38" l="1"/>
  <c r="AD4" i="38"/>
  <c r="AD46" i="38" l="1"/>
  <c r="V46" i="38"/>
  <c r="J46" i="38"/>
  <c r="AG46" i="38" s="1"/>
  <c r="AD40" i="38"/>
  <c r="V40" i="38"/>
  <c r="J40" i="38"/>
  <c r="AG40" i="38" s="1"/>
  <c r="AD34" i="38"/>
  <c r="V34" i="38"/>
  <c r="J34" i="38"/>
  <c r="AG34" i="38" s="1"/>
  <c r="AD28" i="38"/>
  <c r="V28" i="38"/>
  <c r="J28" i="38"/>
  <c r="AG28" i="38" s="1"/>
  <c r="AD22" i="38"/>
  <c r="V22" i="38"/>
  <c r="J22" i="38"/>
  <c r="AG22" i="38" s="1"/>
  <c r="AD16" i="38"/>
  <c r="Y16" i="38"/>
  <c r="Y69" i="38" s="1"/>
  <c r="V16" i="38"/>
  <c r="J16" i="38"/>
  <c r="AG16" i="38" s="1"/>
  <c r="AD10" i="38"/>
  <c r="V10" i="38"/>
  <c r="J10" i="38"/>
  <c r="AG10" i="38" s="1"/>
  <c r="V4" i="38"/>
  <c r="J4" i="38"/>
  <c r="AG4" i="38" s="1"/>
  <c r="AD69" i="38" l="1"/>
  <c r="V69" i="38"/>
  <c r="AG69" i="38"/>
  <c r="AF46" i="38"/>
  <c r="AF40" i="38"/>
  <c r="AH40" i="38" s="1"/>
  <c r="AH42" i="38" s="1"/>
  <c r="AF28" i="38"/>
  <c r="AH28" i="38" s="1"/>
  <c r="AF34" i="38"/>
  <c r="AH34" i="38" s="1"/>
  <c r="AF22" i="38"/>
  <c r="AF16" i="38"/>
  <c r="AH16" i="38" s="1"/>
  <c r="AF10" i="38"/>
  <c r="AH10" i="38" s="1"/>
  <c r="AH11" i="38" s="1"/>
  <c r="AF4" i="38"/>
  <c r="AH4" i="38" s="1"/>
  <c r="AH5" i="38" s="1"/>
  <c r="AH22" i="38" l="1"/>
  <c r="AH23" i="38" s="1"/>
  <c r="AF69" i="38"/>
  <c r="AH46" i="38"/>
  <c r="AH47" i="38" s="1"/>
  <c r="AH18" i="38"/>
  <c r="AH17" i="38"/>
  <c r="AH41" i="38"/>
  <c r="AH12" i="38"/>
  <c r="AH29" i="38"/>
  <c r="AH30" i="38"/>
  <c r="AH35" i="38"/>
  <c r="AH36" i="38"/>
  <c r="AH6" i="38"/>
  <c r="AH24" i="38" l="1"/>
  <c r="AJ17" i="38"/>
  <c r="AH48" i="38"/>
  <c r="AJ16" i="37"/>
  <c r="AE53" i="37"/>
  <c r="AC53" i="37"/>
  <c r="AB53" i="37"/>
  <c r="AA53" i="37"/>
  <c r="Z53" i="37"/>
  <c r="AD100" i="36"/>
  <c r="AC100" i="36"/>
  <c r="V100" i="36"/>
  <c r="J100" i="36"/>
  <c r="AG100" i="36" s="1"/>
  <c r="AD94" i="36"/>
  <c r="AC94" i="36"/>
  <c r="V94" i="36"/>
  <c r="J94" i="36"/>
  <c r="AG94" i="36" s="1"/>
  <c r="V40" i="37"/>
  <c r="AK17" i="38" l="1"/>
  <c r="AJ33" i="38"/>
  <c r="AK33" i="38" s="1"/>
  <c r="AF94" i="36"/>
  <c r="AH94" i="36" s="1"/>
  <c r="AF100" i="36"/>
  <c r="AH100" i="36" s="1"/>
  <c r="AH101" i="36" s="1"/>
  <c r="Y88" i="36"/>
  <c r="AC76" i="36"/>
  <c r="AC70" i="36"/>
  <c r="AC64" i="36"/>
  <c r="AC58" i="36"/>
  <c r="AC52" i="36"/>
  <c r="AC46" i="36"/>
  <c r="AC40" i="36"/>
  <c r="AC34" i="36"/>
  <c r="AC28" i="36"/>
  <c r="AC16" i="36"/>
  <c r="AC10" i="36"/>
  <c r="AC4" i="36"/>
  <c r="Y16" i="37"/>
  <c r="Y53" i="37" s="1"/>
  <c r="Y40" i="36"/>
  <c r="Y28" i="36"/>
  <c r="Y22" i="36"/>
  <c r="Y16" i="36"/>
  <c r="Y10" i="36"/>
  <c r="Y4" i="36"/>
  <c r="Y112" i="36" l="1"/>
  <c r="AH96" i="36"/>
  <c r="AH102" i="36"/>
  <c r="AH95" i="36"/>
  <c r="AC46" i="35"/>
  <c r="AC40" i="35"/>
  <c r="AC34" i="35"/>
  <c r="AD46" i="37" l="1"/>
  <c r="V46" i="37"/>
  <c r="J46" i="37"/>
  <c r="AG46" i="37" s="1"/>
  <c r="AD40" i="37"/>
  <c r="J40" i="37"/>
  <c r="AG40" i="37" s="1"/>
  <c r="AD34" i="37"/>
  <c r="V34" i="37"/>
  <c r="J34" i="37"/>
  <c r="AG34" i="37" s="1"/>
  <c r="AD28" i="37"/>
  <c r="V28" i="37"/>
  <c r="J28" i="37"/>
  <c r="AG28" i="37" s="1"/>
  <c r="AD22" i="37"/>
  <c r="V22" i="37"/>
  <c r="J22" i="37"/>
  <c r="AG22" i="37" s="1"/>
  <c r="AD16" i="37"/>
  <c r="V16" i="37"/>
  <c r="J16" i="37"/>
  <c r="AG16" i="37" s="1"/>
  <c r="AD10" i="37"/>
  <c r="V10" i="37"/>
  <c r="J10" i="37"/>
  <c r="AG10" i="37" s="1"/>
  <c r="AD4" i="37"/>
  <c r="V4" i="37"/>
  <c r="J4" i="37"/>
  <c r="AG4" i="37" s="1"/>
  <c r="AD88" i="36"/>
  <c r="AC88" i="36"/>
  <c r="V88" i="36"/>
  <c r="J88" i="36"/>
  <c r="AG88" i="36" s="1"/>
  <c r="AD82" i="36"/>
  <c r="AC82" i="36"/>
  <c r="V82" i="36"/>
  <c r="J82" i="36"/>
  <c r="AG82" i="36" s="1"/>
  <c r="AJ16" i="35"/>
  <c r="AE51" i="35"/>
  <c r="AB51" i="35"/>
  <c r="AA51" i="35"/>
  <c r="Z51" i="35"/>
  <c r="AD46" i="35"/>
  <c r="V46" i="35"/>
  <c r="J46" i="35"/>
  <c r="AG46" i="35" s="1"/>
  <c r="V53" i="37" l="1"/>
  <c r="AD53" i="37"/>
  <c r="AG53" i="37"/>
  <c r="AF46" i="37"/>
  <c r="AF88" i="36"/>
  <c r="AH88" i="36" s="1"/>
  <c r="AH89" i="36" s="1"/>
  <c r="AF40" i="37"/>
  <c r="AH40" i="37" s="1"/>
  <c r="AH41" i="37" s="1"/>
  <c r="AF28" i="37"/>
  <c r="AH28" i="37" s="1"/>
  <c r="AH29" i="37" s="1"/>
  <c r="AF22" i="37"/>
  <c r="AH22" i="37" s="1"/>
  <c r="AH24" i="37" s="1"/>
  <c r="AF10" i="37"/>
  <c r="AH10" i="37" s="1"/>
  <c r="AH12" i="37" s="1"/>
  <c r="AF34" i="37"/>
  <c r="AH34" i="37" s="1"/>
  <c r="AF16" i="37"/>
  <c r="AH16" i="37" s="1"/>
  <c r="AF4" i="37"/>
  <c r="AH4" i="37" s="1"/>
  <c r="AF82" i="36"/>
  <c r="AH82" i="36" s="1"/>
  <c r="AF46" i="35"/>
  <c r="AH46" i="35" s="1"/>
  <c r="AD40" i="35"/>
  <c r="V40" i="35"/>
  <c r="J40" i="35"/>
  <c r="AG40" i="35" s="1"/>
  <c r="AD34" i="35"/>
  <c r="V34" i="35"/>
  <c r="J34" i="35"/>
  <c r="AG34" i="35" s="1"/>
  <c r="AD76" i="36"/>
  <c r="V76" i="36"/>
  <c r="J76" i="36"/>
  <c r="AG76" i="36" s="1"/>
  <c r="AD70" i="36"/>
  <c r="V70" i="36"/>
  <c r="J70" i="36"/>
  <c r="AG70" i="36" s="1"/>
  <c r="AD64" i="36"/>
  <c r="V64" i="36"/>
  <c r="J64" i="36"/>
  <c r="AG64" i="36" s="1"/>
  <c r="AD58" i="36"/>
  <c r="V58" i="36"/>
  <c r="J58" i="36"/>
  <c r="AG58" i="36" s="1"/>
  <c r="AD52" i="36"/>
  <c r="V52" i="36"/>
  <c r="J52" i="36"/>
  <c r="AG52" i="36" s="1"/>
  <c r="AD46" i="36"/>
  <c r="V46" i="36"/>
  <c r="J46" i="36"/>
  <c r="AG46" i="36" s="1"/>
  <c r="AD40" i="36"/>
  <c r="V40" i="36"/>
  <c r="J40" i="36"/>
  <c r="AG40" i="36" s="1"/>
  <c r="AD34" i="36"/>
  <c r="V34" i="36"/>
  <c r="J34" i="36"/>
  <c r="AG34" i="36" s="1"/>
  <c r="AD28" i="36"/>
  <c r="V28" i="36"/>
  <c r="J28" i="36"/>
  <c r="AG28" i="36" s="1"/>
  <c r="AD22" i="36"/>
  <c r="AC22" i="36"/>
  <c r="AC112" i="36" s="1"/>
  <c r="V22" i="36"/>
  <c r="J22" i="36"/>
  <c r="AG22" i="36" s="1"/>
  <c r="AD16" i="36"/>
  <c r="V16" i="36"/>
  <c r="J16" i="36"/>
  <c r="AG16" i="36" s="1"/>
  <c r="AD10" i="36"/>
  <c r="V10" i="36"/>
  <c r="J10" i="36"/>
  <c r="AG10" i="36" s="1"/>
  <c r="AD4" i="36"/>
  <c r="V4" i="36"/>
  <c r="J4" i="36"/>
  <c r="AG4" i="36" s="1"/>
  <c r="AC22" i="35"/>
  <c r="AC16" i="35"/>
  <c r="AG112" i="36" l="1"/>
  <c r="AD112" i="36"/>
  <c r="V112" i="36"/>
  <c r="AH46" i="37"/>
  <c r="AH48" i="37" s="1"/>
  <c r="AF53" i="37"/>
  <c r="AH42" i="37"/>
  <c r="AH36" i="37"/>
  <c r="AH35" i="37"/>
  <c r="AH30" i="37"/>
  <c r="AH11" i="37"/>
  <c r="AH17" i="37"/>
  <c r="AH18" i="37"/>
  <c r="AH23" i="37"/>
  <c r="AH6" i="37"/>
  <c r="AH5" i="37"/>
  <c r="AH84" i="36"/>
  <c r="AH83" i="36"/>
  <c r="AH90" i="36"/>
  <c r="AF46" i="36"/>
  <c r="AH46" i="36" s="1"/>
  <c r="AF76" i="36"/>
  <c r="AH76" i="36" s="1"/>
  <c r="AH77" i="36" s="1"/>
  <c r="AF28" i="36"/>
  <c r="AH28" i="36" s="1"/>
  <c r="AH30" i="36" s="1"/>
  <c r="AF40" i="36"/>
  <c r="AH40" i="36" s="1"/>
  <c r="AF52" i="36"/>
  <c r="AH52" i="36" s="1"/>
  <c r="AF64" i="36"/>
  <c r="AF34" i="36"/>
  <c r="AH34" i="36" s="1"/>
  <c r="AF58" i="36"/>
  <c r="AH58" i="36" s="1"/>
  <c r="AF70" i="36"/>
  <c r="AF16" i="36"/>
  <c r="AH16" i="36" s="1"/>
  <c r="AH17" i="36" s="1"/>
  <c r="AH48" i="35"/>
  <c r="AH47" i="35"/>
  <c r="AF40" i="35"/>
  <c r="AF34" i="35"/>
  <c r="AH34" i="35" s="1"/>
  <c r="AH35" i="35" s="1"/>
  <c r="AF22" i="36"/>
  <c r="AH22" i="36" s="1"/>
  <c r="AF10" i="36"/>
  <c r="AH10" i="36" s="1"/>
  <c r="AH11" i="36" s="1"/>
  <c r="AF4" i="36"/>
  <c r="AH64" i="36" l="1"/>
  <c r="AF112" i="36"/>
  <c r="AH47" i="37"/>
  <c r="AJ17" i="37"/>
  <c r="AK17" i="37" s="1"/>
  <c r="AH70" i="36"/>
  <c r="AH47" i="36"/>
  <c r="AH48" i="36"/>
  <c r="AH53" i="36"/>
  <c r="AH54" i="36"/>
  <c r="AH42" i="36"/>
  <c r="AH41" i="36"/>
  <c r="AH78" i="36"/>
  <c r="AH59" i="36"/>
  <c r="AH60" i="36"/>
  <c r="AH36" i="36"/>
  <c r="AH35" i="36"/>
  <c r="AH40" i="35"/>
  <c r="AH36" i="35"/>
  <c r="AH18" i="36"/>
  <c r="AH29" i="36"/>
  <c r="AH12" i="36"/>
  <c r="AH4" i="36"/>
  <c r="AH24" i="36"/>
  <c r="AH23" i="36"/>
  <c r="AH6" i="36" l="1"/>
  <c r="AJ17" i="36"/>
  <c r="AJ23" i="36" s="1"/>
  <c r="AK23" i="36" s="1"/>
  <c r="AH65" i="36"/>
  <c r="AH66" i="36"/>
  <c r="AH72" i="36"/>
  <c r="AH71" i="36"/>
  <c r="AH41" i="35"/>
  <c r="AH42" i="35"/>
  <c r="AH5" i="36"/>
  <c r="AK17" i="36" l="1"/>
  <c r="AE28" i="34"/>
  <c r="AC22" i="34"/>
  <c r="AC16" i="34"/>
  <c r="AC10" i="34"/>
  <c r="AC4" i="34"/>
  <c r="AK22" i="33" l="1"/>
  <c r="AK21" i="33"/>
  <c r="AC10" i="35"/>
  <c r="AC4" i="35"/>
  <c r="Y28" i="35"/>
  <c r="Y51" i="35" s="1"/>
  <c r="AJ16" i="34"/>
  <c r="AC28" i="34"/>
  <c r="AB28" i="34"/>
  <c r="AA28" i="34"/>
  <c r="Z28" i="34"/>
  <c r="AD28" i="35"/>
  <c r="V28" i="35"/>
  <c r="J28" i="35"/>
  <c r="AG28" i="35" s="1"/>
  <c r="AD22" i="35"/>
  <c r="V22" i="35"/>
  <c r="J22" i="35"/>
  <c r="AG22" i="35" s="1"/>
  <c r="AD16" i="35"/>
  <c r="V16" i="35"/>
  <c r="J16" i="35"/>
  <c r="AG16" i="35" s="1"/>
  <c r="AD10" i="35"/>
  <c r="V10" i="35"/>
  <c r="J10" i="35"/>
  <c r="AG10" i="35" s="1"/>
  <c r="AD4" i="35"/>
  <c r="V4" i="35"/>
  <c r="J4" i="35"/>
  <c r="AG4" i="35" s="1"/>
  <c r="AD51" i="35" l="1"/>
  <c r="AC51" i="35"/>
  <c r="AG51" i="35"/>
  <c r="V51" i="35"/>
  <c r="AF28" i="35"/>
  <c r="AF22" i="35"/>
  <c r="AH22" i="35" s="1"/>
  <c r="AH23" i="35" s="1"/>
  <c r="AF16" i="35"/>
  <c r="AH16" i="35" s="1"/>
  <c r="AF10" i="35"/>
  <c r="AH10" i="35" s="1"/>
  <c r="AF4" i="35"/>
  <c r="AF51" i="35" l="1"/>
  <c r="AH28" i="35"/>
  <c r="AH24" i="35"/>
  <c r="AH12" i="35"/>
  <c r="AH11" i="35"/>
  <c r="AH18" i="35"/>
  <c r="AH17" i="35"/>
  <c r="AH4" i="35"/>
  <c r="AJ17" i="35" l="1"/>
  <c r="AK17" i="35" s="1"/>
  <c r="AH29" i="35"/>
  <c r="AH30" i="35"/>
  <c r="AH6" i="35"/>
  <c r="AH5" i="35"/>
  <c r="AC46" i="33" l="1"/>
  <c r="AC40" i="33"/>
  <c r="AC28" i="33"/>
  <c r="AC22" i="33"/>
  <c r="AC16" i="33"/>
  <c r="AC10" i="33"/>
  <c r="AC4" i="33"/>
  <c r="AJ16" i="33"/>
  <c r="AE52" i="33"/>
  <c r="AB52" i="33"/>
  <c r="AA52" i="33"/>
  <c r="Z52" i="33"/>
  <c r="AD4" i="34" l="1"/>
  <c r="AD22" i="34"/>
  <c r="Y22" i="34"/>
  <c r="Y28" i="34" s="1"/>
  <c r="V22" i="34"/>
  <c r="J22" i="34"/>
  <c r="AG22" i="34" s="1"/>
  <c r="AD16" i="34"/>
  <c r="V16" i="34"/>
  <c r="J16" i="34"/>
  <c r="AG16" i="34" s="1"/>
  <c r="AD10" i="34"/>
  <c r="V10" i="34"/>
  <c r="J10" i="34"/>
  <c r="AG10" i="34" s="1"/>
  <c r="V4" i="34"/>
  <c r="J4" i="34"/>
  <c r="AG4" i="34" s="1"/>
  <c r="AJ16" i="32"/>
  <c r="AE76" i="32"/>
  <c r="AB76" i="32"/>
  <c r="AA76" i="32"/>
  <c r="Z76" i="32"/>
  <c r="AG28" i="34" l="1"/>
  <c r="V28" i="34"/>
  <c r="AD28" i="34"/>
  <c r="AF22" i="34"/>
  <c r="AH22" i="34" s="1"/>
  <c r="AH23" i="34" s="1"/>
  <c r="AF10" i="34"/>
  <c r="AH10" i="34" s="1"/>
  <c r="AH11" i="34" s="1"/>
  <c r="AF4" i="34"/>
  <c r="AF16" i="34"/>
  <c r="AH16" i="34" s="1"/>
  <c r="AH17" i="34" s="1"/>
  <c r="AC70" i="32"/>
  <c r="AC64" i="32"/>
  <c r="AC58" i="32"/>
  <c r="AC52" i="32"/>
  <c r="AC46" i="32"/>
  <c r="AC40" i="32"/>
  <c r="AC28" i="32"/>
  <c r="AC10" i="32"/>
  <c r="AC4" i="32"/>
  <c r="AD4" i="33"/>
  <c r="AD46" i="33"/>
  <c r="V46" i="33"/>
  <c r="J46" i="33"/>
  <c r="AG46" i="33" s="1"/>
  <c r="AD40" i="33"/>
  <c r="V40" i="33"/>
  <c r="J40" i="33"/>
  <c r="AG40" i="33" s="1"/>
  <c r="AD34" i="33"/>
  <c r="AC34" i="33"/>
  <c r="V34" i="33"/>
  <c r="J34" i="33"/>
  <c r="AG34" i="33" s="1"/>
  <c r="AD28" i="33"/>
  <c r="V28" i="33"/>
  <c r="J28" i="33"/>
  <c r="AG28" i="33" s="1"/>
  <c r="AD22" i="33"/>
  <c r="Y22" i="33"/>
  <c r="Y52" i="33" s="1"/>
  <c r="V22" i="33"/>
  <c r="J22" i="33"/>
  <c r="AG22" i="33" s="1"/>
  <c r="AD16" i="33"/>
  <c r="V16" i="33"/>
  <c r="J16" i="33"/>
  <c r="AG16" i="33" s="1"/>
  <c r="AD10" i="33"/>
  <c r="V10" i="33"/>
  <c r="J10" i="33"/>
  <c r="AG10" i="33" s="1"/>
  <c r="V4" i="33"/>
  <c r="J4" i="33"/>
  <c r="AG4" i="33" s="1"/>
  <c r="AC34" i="32"/>
  <c r="AC70" i="31"/>
  <c r="AC64" i="31"/>
  <c r="AC52" i="31"/>
  <c r="AC46" i="31"/>
  <c r="AC34" i="31"/>
  <c r="AC28" i="31"/>
  <c r="AC22" i="31"/>
  <c r="AC16" i="31"/>
  <c r="AC10" i="31"/>
  <c r="AC4" i="31"/>
  <c r="AH4" i="34" l="1"/>
  <c r="AJ17" i="34" s="1"/>
  <c r="AK17" i="34" s="1"/>
  <c r="AF28" i="34"/>
  <c r="AG52" i="33"/>
  <c r="AD52" i="33"/>
  <c r="AC52" i="33"/>
  <c r="V52" i="33"/>
  <c r="AC76" i="32"/>
  <c r="AF34" i="33"/>
  <c r="AH34" i="33" s="1"/>
  <c r="AH36" i="33" s="1"/>
  <c r="AH24" i="34"/>
  <c r="AH12" i="34"/>
  <c r="AH18" i="34"/>
  <c r="AF10" i="33"/>
  <c r="AH10" i="33" s="1"/>
  <c r="AH11" i="33" s="1"/>
  <c r="AF16" i="33"/>
  <c r="AH16" i="33" s="1"/>
  <c r="AF22" i="33"/>
  <c r="AH22" i="33" s="1"/>
  <c r="AF28" i="33"/>
  <c r="AH28" i="33" s="1"/>
  <c r="AF40" i="33"/>
  <c r="AH40" i="33" s="1"/>
  <c r="AH42" i="33" s="1"/>
  <c r="AF46" i="33"/>
  <c r="AH46" i="33" s="1"/>
  <c r="AF4" i="33"/>
  <c r="AK21" i="30"/>
  <c r="AK20" i="30"/>
  <c r="AC40" i="30"/>
  <c r="AC16" i="30"/>
  <c r="AJ16" i="31"/>
  <c r="AE75" i="31"/>
  <c r="AB75" i="31"/>
  <c r="AA75" i="31"/>
  <c r="Z75" i="31"/>
  <c r="AD70" i="32"/>
  <c r="V70" i="32"/>
  <c r="J70" i="32"/>
  <c r="AG70" i="32" s="1"/>
  <c r="AD64" i="32"/>
  <c r="V64" i="32"/>
  <c r="J64" i="32"/>
  <c r="AG64" i="32" s="1"/>
  <c r="AD58" i="32"/>
  <c r="V58" i="32"/>
  <c r="J58" i="32"/>
  <c r="AG58" i="32" s="1"/>
  <c r="AD52" i="32"/>
  <c r="V52" i="32"/>
  <c r="J52" i="32"/>
  <c r="AG52" i="32" s="1"/>
  <c r="AD46" i="32"/>
  <c r="V46" i="32"/>
  <c r="J46" i="32"/>
  <c r="AG46" i="32" s="1"/>
  <c r="AD40" i="32"/>
  <c r="V40" i="32"/>
  <c r="J40" i="32"/>
  <c r="AG40" i="32" s="1"/>
  <c r="AD34" i="32"/>
  <c r="V34" i="32"/>
  <c r="J34" i="32"/>
  <c r="AG34" i="32" s="1"/>
  <c r="AD28" i="32"/>
  <c r="V28" i="32"/>
  <c r="J28" i="32"/>
  <c r="AG28" i="32" s="1"/>
  <c r="AD22" i="32"/>
  <c r="Y22" i="32"/>
  <c r="Y76" i="32" s="1"/>
  <c r="V22" i="32"/>
  <c r="J22" i="32"/>
  <c r="AG22" i="32" s="1"/>
  <c r="AD16" i="32"/>
  <c r="V16" i="32"/>
  <c r="J16" i="32"/>
  <c r="AG16" i="32" s="1"/>
  <c r="AD10" i="32"/>
  <c r="V10" i="32"/>
  <c r="J10" i="32"/>
  <c r="AG10" i="32" s="1"/>
  <c r="AD4" i="32"/>
  <c r="V4" i="32"/>
  <c r="J4" i="32"/>
  <c r="AG4" i="32" s="1"/>
  <c r="AC46" i="30"/>
  <c r="Y58" i="31"/>
  <c r="Y40" i="31"/>
  <c r="AD70" i="31"/>
  <c r="V70" i="31"/>
  <c r="J70" i="31"/>
  <c r="AG70" i="31" s="1"/>
  <c r="AD64" i="31"/>
  <c r="V64" i="31"/>
  <c r="J64" i="31"/>
  <c r="AG64" i="31" s="1"/>
  <c r="AD58" i="31"/>
  <c r="V58" i="31"/>
  <c r="J58" i="31"/>
  <c r="AG58" i="31" s="1"/>
  <c r="AJ16" i="30"/>
  <c r="AE52" i="30"/>
  <c r="AB52" i="30"/>
  <c r="AA52" i="30"/>
  <c r="Z52" i="30"/>
  <c r="AD52" i="31"/>
  <c r="V52" i="31"/>
  <c r="J52" i="31"/>
  <c r="AG52" i="31" s="1"/>
  <c r="AD46" i="31"/>
  <c r="V46" i="31"/>
  <c r="J46" i="31"/>
  <c r="AG46" i="31" s="1"/>
  <c r="AD40" i="31"/>
  <c r="AC40" i="31"/>
  <c r="AC75" i="31" s="1"/>
  <c r="V40" i="31"/>
  <c r="J40" i="31"/>
  <c r="AG40" i="31" s="1"/>
  <c r="AD34" i="31"/>
  <c r="Y34" i="31"/>
  <c r="V34" i="31"/>
  <c r="J34" i="31"/>
  <c r="AG34" i="31" s="1"/>
  <c r="AD28" i="31"/>
  <c r="V28" i="31"/>
  <c r="J28" i="31"/>
  <c r="AG28" i="31" s="1"/>
  <c r="AD22" i="31"/>
  <c r="Y22" i="31"/>
  <c r="V22" i="31"/>
  <c r="J22" i="31"/>
  <c r="AG22" i="31" s="1"/>
  <c r="AD16" i="31"/>
  <c r="V16" i="31"/>
  <c r="J16" i="31"/>
  <c r="AG16" i="31" s="1"/>
  <c r="AD10" i="31"/>
  <c r="V10" i="31"/>
  <c r="J10" i="31"/>
  <c r="AG10" i="31" s="1"/>
  <c r="AD4" i="31"/>
  <c r="V4" i="31"/>
  <c r="J4" i="31"/>
  <c r="AG4" i="31" s="1"/>
  <c r="AH6" i="34" l="1"/>
  <c r="AH5" i="34"/>
  <c r="AF52" i="33"/>
  <c r="AD75" i="31"/>
  <c r="AG75" i="31"/>
  <c r="Y75" i="31"/>
  <c r="V75" i="31"/>
  <c r="AD76" i="32"/>
  <c r="AG76" i="32"/>
  <c r="V76" i="32"/>
  <c r="AH4" i="33"/>
  <c r="AF16" i="32"/>
  <c r="AH16" i="32" s="1"/>
  <c r="AF64" i="32"/>
  <c r="AH12" i="33"/>
  <c r="AH17" i="33"/>
  <c r="AH18" i="33"/>
  <c r="AH30" i="33"/>
  <c r="AH29" i="33"/>
  <c r="AH35" i="33"/>
  <c r="AH41" i="33"/>
  <c r="AH48" i="33"/>
  <c r="AH47" i="33"/>
  <c r="AH24" i="33"/>
  <c r="AH23" i="33"/>
  <c r="AF52" i="32"/>
  <c r="AH52" i="32" s="1"/>
  <c r="AH54" i="32" s="1"/>
  <c r="AF46" i="32"/>
  <c r="AH46" i="32" s="1"/>
  <c r="AF34" i="32"/>
  <c r="AH34" i="32" s="1"/>
  <c r="AF28" i="32"/>
  <c r="AH28" i="32" s="1"/>
  <c r="AH29" i="32" s="1"/>
  <c r="AF22" i="32"/>
  <c r="AH22" i="32" s="1"/>
  <c r="AH24" i="32" s="1"/>
  <c r="AF70" i="32"/>
  <c r="AH70" i="32" s="1"/>
  <c r="AF58" i="32"/>
  <c r="AH58" i="32" s="1"/>
  <c r="AF10" i="32"/>
  <c r="AH10" i="32" s="1"/>
  <c r="AH12" i="32" s="1"/>
  <c r="AF4" i="32"/>
  <c r="AH4" i="32" s="1"/>
  <c r="AF40" i="32"/>
  <c r="AH40" i="32" s="1"/>
  <c r="AF64" i="31"/>
  <c r="AH64" i="31" s="1"/>
  <c r="AF58" i="31"/>
  <c r="AH58" i="31" s="1"/>
  <c r="AH59" i="31" s="1"/>
  <c r="AF70" i="31"/>
  <c r="AH70" i="31" s="1"/>
  <c r="AH71" i="31" s="1"/>
  <c r="AF52" i="31"/>
  <c r="AF46" i="31"/>
  <c r="AH46" i="31" s="1"/>
  <c r="AF34" i="31"/>
  <c r="AH34" i="31" s="1"/>
  <c r="AH35" i="31" s="1"/>
  <c r="AF22" i="31"/>
  <c r="AH22" i="31" s="1"/>
  <c r="AH23" i="31" s="1"/>
  <c r="AF16" i="31"/>
  <c r="AH16" i="31" s="1"/>
  <c r="AH17" i="31" s="1"/>
  <c r="AF28" i="31"/>
  <c r="AH28" i="31" s="1"/>
  <c r="AH29" i="31" s="1"/>
  <c r="AF40" i="31"/>
  <c r="AH40" i="31" s="1"/>
  <c r="AF4" i="31"/>
  <c r="AF10" i="31"/>
  <c r="AH10" i="31" s="1"/>
  <c r="Y40" i="30"/>
  <c r="AC52" i="29"/>
  <c r="AC46" i="29"/>
  <c r="AC10" i="29"/>
  <c r="AJ17" i="33" l="1"/>
  <c r="AK17" i="33" s="1"/>
  <c r="AK24" i="33" s="1"/>
  <c r="AH6" i="33"/>
  <c r="AH5" i="33"/>
  <c r="AH64" i="32"/>
  <c r="AH66" i="32" s="1"/>
  <c r="AF76" i="32"/>
  <c r="AH48" i="32"/>
  <c r="AH47" i="32"/>
  <c r="AH4" i="31"/>
  <c r="AF75" i="31"/>
  <c r="AH36" i="32"/>
  <c r="AH35" i="32"/>
  <c r="AH30" i="32"/>
  <c r="AH53" i="32"/>
  <c r="AH72" i="32"/>
  <c r="AH71" i="32"/>
  <c r="AH23" i="32"/>
  <c r="AH11" i="32"/>
  <c r="AH42" i="32"/>
  <c r="AH41" i="32"/>
  <c r="AH6" i="32"/>
  <c r="AH5" i="32"/>
  <c r="AH60" i="32"/>
  <c r="AH59" i="32"/>
  <c r="AH17" i="32"/>
  <c r="AH18" i="32"/>
  <c r="AH66" i="31"/>
  <c r="AH65" i="31"/>
  <c r="AH52" i="31"/>
  <c r="AH72" i="31"/>
  <c r="AH60" i="31"/>
  <c r="AH48" i="31"/>
  <c r="AH47" i="31"/>
  <c r="AH36" i="31"/>
  <c r="AH18" i="31"/>
  <c r="AH30" i="31"/>
  <c r="AH41" i="31"/>
  <c r="AH42" i="31"/>
  <c r="AH12" i="31"/>
  <c r="AH11" i="31"/>
  <c r="AH24" i="31"/>
  <c r="AC28" i="28"/>
  <c r="AC22" i="28"/>
  <c r="AC16" i="28"/>
  <c r="Y34" i="30"/>
  <c r="Y28" i="30"/>
  <c r="Y22" i="30"/>
  <c r="Y10" i="30"/>
  <c r="AD46" i="30"/>
  <c r="V46" i="30"/>
  <c r="J46" i="30"/>
  <c r="AG46" i="30" s="1"/>
  <c r="AD40" i="30"/>
  <c r="V40" i="30"/>
  <c r="J40" i="30"/>
  <c r="AG40" i="30" s="1"/>
  <c r="AD34" i="30"/>
  <c r="V34" i="30"/>
  <c r="J34" i="30"/>
  <c r="AG34" i="30" s="1"/>
  <c r="AD28" i="30"/>
  <c r="AC28" i="30"/>
  <c r="V28" i="30"/>
  <c r="J28" i="30"/>
  <c r="AG28" i="30" s="1"/>
  <c r="AD22" i="30"/>
  <c r="V22" i="30"/>
  <c r="J22" i="30"/>
  <c r="AG22" i="30" s="1"/>
  <c r="AD16" i="30"/>
  <c r="V16" i="30"/>
  <c r="J16" i="30"/>
  <c r="AG16" i="30" s="1"/>
  <c r="AD10" i="30"/>
  <c r="AC10" i="30"/>
  <c r="V10" i="30"/>
  <c r="J10" i="30"/>
  <c r="AG10" i="30" s="1"/>
  <c r="AD4" i="30"/>
  <c r="AC4" i="30"/>
  <c r="V4" i="30"/>
  <c r="J4" i="30"/>
  <c r="AG4" i="30" s="1"/>
  <c r="AB58" i="29"/>
  <c r="AJ16" i="29"/>
  <c r="AE58" i="29"/>
  <c r="AA58" i="29"/>
  <c r="Z58" i="29"/>
  <c r="AD22" i="29"/>
  <c r="AC22" i="29"/>
  <c r="Y22" i="29"/>
  <c r="V22" i="29"/>
  <c r="J22" i="29"/>
  <c r="AG22" i="29" s="1"/>
  <c r="AH65" i="32" l="1"/>
  <c r="Y52" i="30"/>
  <c r="AC52" i="30"/>
  <c r="V52" i="30"/>
  <c r="AD52" i="30"/>
  <c r="AG52" i="30"/>
  <c r="AJ17" i="32"/>
  <c r="AK17" i="32" s="1"/>
  <c r="AJ17" i="31"/>
  <c r="AK17" i="31" s="1"/>
  <c r="AH6" i="31"/>
  <c r="AH5" i="31"/>
  <c r="AH53" i="31"/>
  <c r="AH54" i="31"/>
  <c r="AF10" i="30"/>
  <c r="AH10" i="30" s="1"/>
  <c r="AF46" i="30"/>
  <c r="AF34" i="30"/>
  <c r="AH34" i="30" s="1"/>
  <c r="AF28" i="30"/>
  <c r="AH28" i="30" s="1"/>
  <c r="AF4" i="30"/>
  <c r="AH4" i="30" s="1"/>
  <c r="AF16" i="30"/>
  <c r="AH16" i="30" s="1"/>
  <c r="AH17" i="30" s="1"/>
  <c r="AF22" i="30"/>
  <c r="AH22" i="30" s="1"/>
  <c r="AH24" i="30" s="1"/>
  <c r="AF40" i="30"/>
  <c r="AH40" i="30" s="1"/>
  <c r="AF22" i="29"/>
  <c r="AJ16" i="28"/>
  <c r="AE33" i="28"/>
  <c r="AB33" i="28"/>
  <c r="AA33" i="28"/>
  <c r="Z33" i="28"/>
  <c r="Y28" i="28"/>
  <c r="AD22" i="28"/>
  <c r="Y22" i="28"/>
  <c r="V22" i="28"/>
  <c r="J22" i="28"/>
  <c r="AG22" i="28" s="1"/>
  <c r="AH46" i="30" l="1"/>
  <c r="AJ17" i="30" s="1"/>
  <c r="AK17" i="30" s="1"/>
  <c r="AK23" i="30" s="1"/>
  <c r="AF52" i="30"/>
  <c r="AH30" i="30"/>
  <c r="AH29" i="30"/>
  <c r="AH12" i="30"/>
  <c r="AH11" i="30"/>
  <c r="AH36" i="30"/>
  <c r="AH35" i="30"/>
  <c r="AH23" i="30"/>
  <c r="AH42" i="30"/>
  <c r="AH41" i="30"/>
  <c r="AH18" i="30"/>
  <c r="AH5" i="30"/>
  <c r="AH6" i="30"/>
  <c r="AH22" i="29"/>
  <c r="AF22" i="28"/>
  <c r="AH22" i="28" s="1"/>
  <c r="AD28" i="29"/>
  <c r="AC28" i="29"/>
  <c r="Y28" i="29"/>
  <c r="V28" i="29"/>
  <c r="J28" i="29"/>
  <c r="AG28" i="29" s="1"/>
  <c r="Y40" i="29"/>
  <c r="AD28" i="28"/>
  <c r="V28" i="28"/>
  <c r="J28" i="28"/>
  <c r="AG28" i="28" s="1"/>
  <c r="AH47" i="30" l="1"/>
  <c r="AH48" i="30"/>
  <c r="AH23" i="29"/>
  <c r="AH24" i="29"/>
  <c r="AH24" i="28"/>
  <c r="AH23" i="28"/>
  <c r="AF28" i="29"/>
  <c r="AH28" i="29" s="1"/>
  <c r="AF28" i="28"/>
  <c r="AH29" i="29" l="1"/>
  <c r="AH30" i="29"/>
  <c r="AH28" i="28"/>
  <c r="AH29" i="28" l="1"/>
  <c r="AH30" i="28"/>
  <c r="AD52" i="29" l="1"/>
  <c r="V52" i="29"/>
  <c r="J52" i="29"/>
  <c r="AG52" i="29" s="1"/>
  <c r="AD46" i="29"/>
  <c r="V46" i="29"/>
  <c r="J46" i="29"/>
  <c r="AG46" i="29" s="1"/>
  <c r="AD40" i="29"/>
  <c r="AC40" i="29"/>
  <c r="V40" i="29"/>
  <c r="J40" i="29"/>
  <c r="AG40" i="29" s="1"/>
  <c r="AD34" i="29"/>
  <c r="Y34" i="29"/>
  <c r="V34" i="29"/>
  <c r="J34" i="29"/>
  <c r="AG34" i="29" s="1"/>
  <c r="AD16" i="29"/>
  <c r="AC16" i="29"/>
  <c r="Y16" i="29"/>
  <c r="V16" i="29"/>
  <c r="J16" i="29"/>
  <c r="AG16" i="29" s="1"/>
  <c r="AD10" i="29"/>
  <c r="V10" i="29"/>
  <c r="J10" i="29"/>
  <c r="AG10" i="29" s="1"/>
  <c r="AD4" i="29"/>
  <c r="AC4" i="29"/>
  <c r="V4" i="29"/>
  <c r="J4" i="29"/>
  <c r="AG4" i="29" s="1"/>
  <c r="Y16" i="28"/>
  <c r="Y33" i="28" s="1"/>
  <c r="AJ24" i="27"/>
  <c r="AE27" i="27"/>
  <c r="AB27" i="27"/>
  <c r="AA27" i="27"/>
  <c r="Z27" i="27"/>
  <c r="AD16" i="28"/>
  <c r="V16" i="28"/>
  <c r="J16" i="28"/>
  <c r="AG16" i="28" s="1"/>
  <c r="AD10" i="28"/>
  <c r="AC10" i="28"/>
  <c r="V10" i="28"/>
  <c r="J10" i="28"/>
  <c r="AG10" i="28" s="1"/>
  <c r="AD4" i="28"/>
  <c r="AC4" i="28"/>
  <c r="V4" i="28"/>
  <c r="J4" i="28"/>
  <c r="AG4" i="28" s="1"/>
  <c r="AC22" i="27"/>
  <c r="AC16" i="27"/>
  <c r="AC10" i="27"/>
  <c r="Y4" i="27"/>
  <c r="Y27" i="27" s="1"/>
  <c r="AC118" i="26"/>
  <c r="Y118" i="26"/>
  <c r="AC112" i="26"/>
  <c r="Y70" i="26"/>
  <c r="Y64" i="26"/>
  <c r="Y58" i="26"/>
  <c r="Y52" i="26"/>
  <c r="Y46" i="26"/>
  <c r="V10" i="27"/>
  <c r="AD22" i="27"/>
  <c r="V22" i="27"/>
  <c r="J22" i="27"/>
  <c r="AG22" i="27" s="1"/>
  <c r="AD16" i="27"/>
  <c r="V16" i="27"/>
  <c r="J16" i="27"/>
  <c r="AG16" i="27" s="1"/>
  <c r="AD10" i="27"/>
  <c r="J10" i="27"/>
  <c r="AG10" i="27" s="1"/>
  <c r="AD4" i="27"/>
  <c r="AC4" i="27"/>
  <c r="V4" i="27"/>
  <c r="J4" i="27"/>
  <c r="AG4" i="27" s="1"/>
  <c r="AC40" i="26"/>
  <c r="AC46" i="26"/>
  <c r="AC52" i="26"/>
  <c r="AC58" i="26"/>
  <c r="AC64" i="26"/>
  <c r="AC70" i="26"/>
  <c r="AC76" i="26"/>
  <c r="AC88" i="26"/>
  <c r="AC94" i="26"/>
  <c r="AC100" i="26"/>
  <c r="AC106" i="26"/>
  <c r="Y34" i="26"/>
  <c r="Y28" i="26"/>
  <c r="Y22" i="26"/>
  <c r="Y16" i="26"/>
  <c r="Y10" i="26"/>
  <c r="AC4" i="26"/>
  <c r="AJ28" i="26"/>
  <c r="AE123" i="26"/>
  <c r="AB123" i="26"/>
  <c r="AA123" i="26"/>
  <c r="Z123" i="26"/>
  <c r="AD118" i="26"/>
  <c r="V118" i="26"/>
  <c r="J118" i="26"/>
  <c r="AG118" i="26" s="1"/>
  <c r="AD112" i="26"/>
  <c r="V112" i="26"/>
  <c r="J112" i="26"/>
  <c r="AG112" i="26" s="1"/>
  <c r="AD106" i="26"/>
  <c r="V106" i="26"/>
  <c r="J106" i="26"/>
  <c r="AG106" i="26" s="1"/>
  <c r="AD100" i="26"/>
  <c r="V100" i="26"/>
  <c r="J100" i="26"/>
  <c r="AG100" i="26" s="1"/>
  <c r="AD94" i="26"/>
  <c r="V94" i="26"/>
  <c r="J94" i="26"/>
  <c r="AG94" i="26" s="1"/>
  <c r="AD88" i="26"/>
  <c r="V88" i="26"/>
  <c r="J88" i="26"/>
  <c r="AG88" i="26" s="1"/>
  <c r="AC33" i="28" l="1"/>
  <c r="Y58" i="29"/>
  <c r="AG58" i="29"/>
  <c r="V33" i="28"/>
  <c r="V58" i="29"/>
  <c r="AD58" i="29"/>
  <c r="AG33" i="28"/>
  <c r="AD33" i="28"/>
  <c r="AC58" i="29"/>
  <c r="AC27" i="27"/>
  <c r="AD27" i="27"/>
  <c r="AG27" i="27"/>
  <c r="V27" i="27"/>
  <c r="AF34" i="29"/>
  <c r="AH34" i="29" s="1"/>
  <c r="AH35" i="29" s="1"/>
  <c r="AF46" i="29"/>
  <c r="AH46" i="29" s="1"/>
  <c r="AF40" i="29"/>
  <c r="AH40" i="29" s="1"/>
  <c r="AH41" i="29" s="1"/>
  <c r="AF52" i="29"/>
  <c r="AH52" i="29" s="1"/>
  <c r="AH53" i="29" s="1"/>
  <c r="AF10" i="29"/>
  <c r="AH10" i="29" s="1"/>
  <c r="AH11" i="29" s="1"/>
  <c r="AF16" i="29"/>
  <c r="AF4" i="29"/>
  <c r="AF16" i="28"/>
  <c r="AF4" i="28"/>
  <c r="AF10" i="28"/>
  <c r="AH10" i="28" s="1"/>
  <c r="AF16" i="27"/>
  <c r="AH16" i="27" s="1"/>
  <c r="AF4" i="27"/>
  <c r="AH4" i="27" s="1"/>
  <c r="AF10" i="27"/>
  <c r="AH10" i="27" s="1"/>
  <c r="AF22" i="27"/>
  <c r="AF100" i="26"/>
  <c r="AH100" i="26" s="1"/>
  <c r="AF118" i="26"/>
  <c r="AH118" i="26" s="1"/>
  <c r="AF106" i="26"/>
  <c r="AH106" i="26" s="1"/>
  <c r="AF112" i="26"/>
  <c r="AH112" i="26" s="1"/>
  <c r="AF94" i="26"/>
  <c r="AH94" i="26" s="1"/>
  <c r="AF88" i="26"/>
  <c r="AF33" i="28" l="1"/>
  <c r="AH16" i="29"/>
  <c r="AH18" i="29" s="1"/>
  <c r="AF58" i="29"/>
  <c r="AH36" i="29"/>
  <c r="AH48" i="29"/>
  <c r="AH47" i="29"/>
  <c r="AH16" i="28"/>
  <c r="AH12" i="29"/>
  <c r="AH4" i="29"/>
  <c r="AH42" i="29"/>
  <c r="AH54" i="29"/>
  <c r="AH4" i="28"/>
  <c r="AH22" i="27"/>
  <c r="AH23" i="27" s="1"/>
  <c r="AF27" i="27"/>
  <c r="AH12" i="28"/>
  <c r="AH11" i="28"/>
  <c r="AH5" i="27"/>
  <c r="AH114" i="26"/>
  <c r="AH113" i="26"/>
  <c r="AH107" i="26"/>
  <c r="AH108" i="26"/>
  <c r="AH101" i="26"/>
  <c r="AH102" i="26"/>
  <c r="AH119" i="26"/>
  <c r="AH120" i="26"/>
  <c r="AH18" i="27"/>
  <c r="AH17" i="27"/>
  <c r="AH11" i="27"/>
  <c r="AH12" i="27"/>
  <c r="AH6" i="27"/>
  <c r="AH96" i="26"/>
  <c r="AH95" i="26"/>
  <c r="AH88" i="26"/>
  <c r="AC40" i="25"/>
  <c r="AC34" i="25"/>
  <c r="AC28" i="25"/>
  <c r="AC22" i="25"/>
  <c r="AC16" i="25"/>
  <c r="AC10" i="25"/>
  <c r="AC4" i="25"/>
  <c r="AJ28" i="25"/>
  <c r="AE45" i="25"/>
  <c r="AB45" i="25"/>
  <c r="AA45" i="25"/>
  <c r="Z45" i="25"/>
  <c r="AD82" i="26"/>
  <c r="V82" i="26"/>
  <c r="J82" i="26"/>
  <c r="AG82" i="26" s="1"/>
  <c r="AD76" i="26"/>
  <c r="V76" i="26"/>
  <c r="J76" i="26"/>
  <c r="AG76" i="26" s="1"/>
  <c r="AD70" i="26"/>
  <c r="V70" i="26"/>
  <c r="J70" i="26"/>
  <c r="AG70" i="26" s="1"/>
  <c r="AD64" i="26"/>
  <c r="V64" i="26"/>
  <c r="J64" i="26"/>
  <c r="AG64" i="26" s="1"/>
  <c r="AD58" i="26"/>
  <c r="V58" i="26"/>
  <c r="J58" i="26"/>
  <c r="AG58" i="26" s="1"/>
  <c r="AD52" i="26"/>
  <c r="V52" i="26"/>
  <c r="J52" i="26"/>
  <c r="AG52" i="26" s="1"/>
  <c r="AD46" i="26"/>
  <c r="V46" i="26"/>
  <c r="J46" i="26"/>
  <c r="AG46" i="26" s="1"/>
  <c r="AD40" i="26"/>
  <c r="V40" i="26"/>
  <c r="J40" i="26"/>
  <c r="AG40" i="26" s="1"/>
  <c r="AD34" i="26"/>
  <c r="V34" i="26"/>
  <c r="J34" i="26"/>
  <c r="AG34" i="26" s="1"/>
  <c r="AD28" i="26"/>
  <c r="AC28" i="26"/>
  <c r="AC123" i="26" s="1"/>
  <c r="V28" i="26"/>
  <c r="J28" i="26"/>
  <c r="AG28" i="26" s="1"/>
  <c r="AD22" i="26"/>
  <c r="Y123" i="26"/>
  <c r="V22" i="26"/>
  <c r="J22" i="26"/>
  <c r="AG22" i="26" s="1"/>
  <c r="AD16" i="26"/>
  <c r="V16" i="26"/>
  <c r="J16" i="26"/>
  <c r="AG16" i="26" s="1"/>
  <c r="AD10" i="26"/>
  <c r="V10" i="26"/>
  <c r="J10" i="26"/>
  <c r="AG10" i="26" s="1"/>
  <c r="AD4" i="26"/>
  <c r="V4" i="26"/>
  <c r="J4" i="26"/>
  <c r="AG4" i="26" s="1"/>
  <c r="AD16" i="25"/>
  <c r="AJ16" i="24"/>
  <c r="AE23" i="24"/>
  <c r="AB23" i="24"/>
  <c r="AA23" i="24"/>
  <c r="Z23" i="24"/>
  <c r="AD40" i="25"/>
  <c r="V40" i="25"/>
  <c r="J40" i="25"/>
  <c r="AG40" i="25" s="1"/>
  <c r="AD34" i="25"/>
  <c r="Y34" i="25"/>
  <c r="V34" i="25"/>
  <c r="J34" i="25"/>
  <c r="AG34" i="25" s="1"/>
  <c r="AD28" i="25"/>
  <c r="V28" i="25"/>
  <c r="J28" i="25"/>
  <c r="AG28" i="25" s="1"/>
  <c r="AD22" i="25"/>
  <c r="Y22" i="25"/>
  <c r="V22" i="25"/>
  <c r="J22" i="25"/>
  <c r="AG22" i="25" s="1"/>
  <c r="V16" i="25"/>
  <c r="J16" i="25"/>
  <c r="AG16" i="25" s="1"/>
  <c r="AD10" i="25"/>
  <c r="V10" i="25"/>
  <c r="J10" i="25"/>
  <c r="AG10" i="25" s="1"/>
  <c r="AD4" i="25"/>
  <c r="V4" i="25"/>
  <c r="J4" i="25"/>
  <c r="AG4" i="25" s="1"/>
  <c r="AH18" i="28" l="1"/>
  <c r="AJ17" i="28"/>
  <c r="AK17" i="28" s="1"/>
  <c r="AH17" i="29"/>
  <c r="AJ17" i="29"/>
  <c r="AK17" i="29" s="1"/>
  <c r="AD45" i="25"/>
  <c r="V45" i="25"/>
  <c r="AH17" i="28"/>
  <c r="AH5" i="28"/>
  <c r="AH6" i="29"/>
  <c r="AH5" i="29"/>
  <c r="AH6" i="28"/>
  <c r="AH24" i="27"/>
  <c r="AJ25" i="27"/>
  <c r="AK25" i="27" s="1"/>
  <c r="Y45" i="25"/>
  <c r="AD123" i="26"/>
  <c r="V123" i="26"/>
  <c r="AH89" i="26"/>
  <c r="AH90" i="26"/>
  <c r="AG123" i="26"/>
  <c r="AF58" i="26"/>
  <c r="AH58" i="26" s="1"/>
  <c r="AF70" i="26"/>
  <c r="AH70" i="26" s="1"/>
  <c r="AF82" i="26"/>
  <c r="AH82" i="26" s="1"/>
  <c r="AF76" i="26"/>
  <c r="AH76" i="26" s="1"/>
  <c r="AF64" i="26"/>
  <c r="AH64" i="26" s="1"/>
  <c r="AF52" i="26"/>
  <c r="AH52" i="26" s="1"/>
  <c r="AF46" i="26"/>
  <c r="AH46" i="26" s="1"/>
  <c r="AH47" i="26" s="1"/>
  <c r="AC45" i="25"/>
  <c r="AG45" i="25"/>
  <c r="AF34" i="26"/>
  <c r="AH34" i="26" s="1"/>
  <c r="AF10" i="26"/>
  <c r="AH10" i="26" s="1"/>
  <c r="AH11" i="26" s="1"/>
  <c r="AF16" i="26"/>
  <c r="AH16" i="26" s="1"/>
  <c r="AF22" i="26"/>
  <c r="AH22" i="26" s="1"/>
  <c r="AF28" i="26"/>
  <c r="AH28" i="26" s="1"/>
  <c r="AF40" i="26"/>
  <c r="AF4" i="26"/>
  <c r="AF40" i="25"/>
  <c r="AH40" i="25" s="1"/>
  <c r="AF34" i="25"/>
  <c r="AH34" i="25" s="1"/>
  <c r="AF28" i="25"/>
  <c r="AF22" i="25"/>
  <c r="AH22" i="25" s="1"/>
  <c r="AH23" i="25" s="1"/>
  <c r="AF4" i="25"/>
  <c r="AH4" i="25" s="1"/>
  <c r="AH5" i="25" s="1"/>
  <c r="AF16" i="25"/>
  <c r="AH16" i="25" s="1"/>
  <c r="AH17" i="25" s="1"/>
  <c r="AF10" i="25"/>
  <c r="AH10" i="25" s="1"/>
  <c r="AH11" i="25" s="1"/>
  <c r="AD16" i="24"/>
  <c r="AC28" i="23"/>
  <c r="AH71" i="26" l="1"/>
  <c r="AH72" i="26"/>
  <c r="AH59" i="26"/>
  <c r="AH60" i="26"/>
  <c r="AH53" i="26"/>
  <c r="AH54" i="26"/>
  <c r="AH65" i="26"/>
  <c r="AH66" i="26"/>
  <c r="AH77" i="26"/>
  <c r="AH78" i="26"/>
  <c r="AH83" i="26"/>
  <c r="AH84" i="26"/>
  <c r="AH40" i="26"/>
  <c r="AH41" i="26" s="1"/>
  <c r="AF123" i="26"/>
  <c r="AH48" i="26"/>
  <c r="AH28" i="25"/>
  <c r="AJ29" i="25" s="1"/>
  <c r="AK29" i="25" s="1"/>
  <c r="AF45" i="25"/>
  <c r="AH36" i="26"/>
  <c r="AH35" i="26"/>
  <c r="AH12" i="26"/>
  <c r="AH24" i="26"/>
  <c r="AH23" i="26"/>
  <c r="AH4" i="26"/>
  <c r="AH5" i="26" s="1"/>
  <c r="AH18" i="26"/>
  <c r="AH17" i="26"/>
  <c r="AH30" i="26"/>
  <c r="AH29" i="26"/>
  <c r="AH41" i="25"/>
  <c r="AH42" i="25"/>
  <c r="AH24" i="25"/>
  <c r="AH18" i="25"/>
  <c r="AH12" i="25"/>
  <c r="AH36" i="25"/>
  <c r="AH35" i="25"/>
  <c r="AH6" i="25"/>
  <c r="AJ28" i="23"/>
  <c r="AE34" i="23"/>
  <c r="AB34" i="23"/>
  <c r="AA34" i="23"/>
  <c r="Z34" i="23"/>
  <c r="AC16" i="24"/>
  <c r="AC23" i="24" s="1"/>
  <c r="V16" i="24"/>
  <c r="J16" i="24"/>
  <c r="AG16" i="24" s="1"/>
  <c r="AD10" i="24"/>
  <c r="Y10" i="24"/>
  <c r="V10" i="24"/>
  <c r="J10" i="24"/>
  <c r="AG10" i="24" s="1"/>
  <c r="AD4" i="24"/>
  <c r="Y4" i="24"/>
  <c r="V4" i="24"/>
  <c r="J4" i="24"/>
  <c r="AG4" i="24" s="1"/>
  <c r="AG23" i="24" l="1"/>
  <c r="AH29" i="25"/>
  <c r="V23" i="24"/>
  <c r="Y23" i="24"/>
  <c r="AD23" i="24"/>
  <c r="AJ29" i="26"/>
  <c r="AK29" i="26" s="1"/>
  <c r="AH42" i="26"/>
  <c r="AH30" i="25"/>
  <c r="AH6" i="26"/>
  <c r="AF16" i="24"/>
  <c r="AH16" i="24" s="1"/>
  <c r="AF10" i="24"/>
  <c r="AH10" i="24" s="1"/>
  <c r="AF4" i="24"/>
  <c r="AC4" i="23"/>
  <c r="AC10" i="23"/>
  <c r="AC16" i="23"/>
  <c r="Y22" i="23"/>
  <c r="AD16" i="23"/>
  <c r="AH4" i="24" l="1"/>
  <c r="AJ17" i="24" s="1"/>
  <c r="AK17" i="24" s="1"/>
  <c r="AF23" i="24"/>
  <c r="AH18" i="24"/>
  <c r="AH17" i="24"/>
  <c r="AH12" i="24"/>
  <c r="AH11" i="24"/>
  <c r="AD10" i="23"/>
  <c r="AC52" i="22"/>
  <c r="AC46" i="22"/>
  <c r="AC40" i="22"/>
  <c r="AC34" i="22"/>
  <c r="AJ28" i="22"/>
  <c r="AE59" i="22"/>
  <c r="AB59" i="22"/>
  <c r="AA59" i="22"/>
  <c r="Z59" i="22"/>
  <c r="AD28" i="23"/>
  <c r="V28" i="23"/>
  <c r="J28" i="23"/>
  <c r="AG28" i="23" s="1"/>
  <c r="AD22" i="23"/>
  <c r="AC22" i="23"/>
  <c r="AC34" i="23" s="1"/>
  <c r="V22" i="23"/>
  <c r="J22" i="23"/>
  <c r="AG22" i="23" s="1"/>
  <c r="Y16" i="23"/>
  <c r="V16" i="23"/>
  <c r="J16" i="23"/>
  <c r="AG16" i="23" s="1"/>
  <c r="Y10" i="23"/>
  <c r="V10" i="23"/>
  <c r="J10" i="23"/>
  <c r="AG10" i="23" s="1"/>
  <c r="AD4" i="23"/>
  <c r="Y4" i="23"/>
  <c r="V4" i="23"/>
  <c r="J4" i="23"/>
  <c r="AG4" i="23" s="1"/>
  <c r="AH6" i="24" l="1"/>
  <c r="Y34" i="23"/>
  <c r="V34" i="23"/>
  <c r="AD34" i="23"/>
  <c r="AH5" i="24"/>
  <c r="AG34" i="23"/>
  <c r="AF16" i="23"/>
  <c r="AH16" i="23" s="1"/>
  <c r="AF28" i="23"/>
  <c r="AF22" i="23"/>
  <c r="AH22" i="23" s="1"/>
  <c r="AH23" i="23" s="1"/>
  <c r="AF10" i="23"/>
  <c r="AH10" i="23" s="1"/>
  <c r="AH11" i="23" s="1"/>
  <c r="AF4" i="23"/>
  <c r="AH28" i="23" l="1"/>
  <c r="AH30" i="23" s="1"/>
  <c r="AF34" i="23"/>
  <c r="AH17" i="23"/>
  <c r="AH18" i="23"/>
  <c r="AH4" i="23"/>
  <c r="AH5" i="23" s="1"/>
  <c r="AH12" i="23"/>
  <c r="AH24" i="23"/>
  <c r="AH29" i="23" l="1"/>
  <c r="AJ29" i="23"/>
  <c r="AK29" i="23" s="1"/>
  <c r="AH6" i="23"/>
  <c r="AD52" i="22" l="1"/>
  <c r="AC28" i="22"/>
  <c r="AC22" i="22"/>
  <c r="AC16" i="22"/>
  <c r="AC10" i="22"/>
  <c r="AC4" i="22"/>
  <c r="Y22" i="22"/>
  <c r="Y16" i="22"/>
  <c r="Y10" i="22"/>
  <c r="Y4" i="22"/>
  <c r="AD16" i="22"/>
  <c r="AD10" i="22"/>
  <c r="AC4" i="21"/>
  <c r="Y4" i="21"/>
  <c r="Y10" i="21"/>
  <c r="AC10" i="21"/>
  <c r="Y22" i="21"/>
  <c r="AC22" i="21"/>
  <c r="AC28" i="21"/>
  <c r="AJ28" i="21"/>
  <c r="AE34" i="21"/>
  <c r="AB34" i="21"/>
  <c r="AA34" i="21"/>
  <c r="Z34" i="21"/>
  <c r="V52" i="22"/>
  <c r="J52" i="22"/>
  <c r="AG52" i="22" s="1"/>
  <c r="AD46" i="22"/>
  <c r="V46" i="22"/>
  <c r="J46" i="22"/>
  <c r="AG46" i="22" s="1"/>
  <c r="AD40" i="22"/>
  <c r="V40" i="22"/>
  <c r="J40" i="22"/>
  <c r="AG40" i="22" s="1"/>
  <c r="AD34" i="22"/>
  <c r="Y34" i="22"/>
  <c r="V34" i="22"/>
  <c r="J34" i="22"/>
  <c r="AG34" i="22" s="1"/>
  <c r="AD28" i="22"/>
  <c r="V28" i="22"/>
  <c r="J28" i="22"/>
  <c r="AG28" i="22" s="1"/>
  <c r="AD22" i="22"/>
  <c r="V22" i="22"/>
  <c r="J22" i="22"/>
  <c r="AG22" i="22" s="1"/>
  <c r="V16" i="22"/>
  <c r="J16" i="22"/>
  <c r="AG16" i="22" s="1"/>
  <c r="V10" i="22"/>
  <c r="J10" i="22"/>
  <c r="AG10" i="22" s="1"/>
  <c r="AD4" i="22"/>
  <c r="V4" i="22"/>
  <c r="J4" i="22"/>
  <c r="AG4" i="22" s="1"/>
  <c r="AC16" i="21"/>
  <c r="Y16" i="21"/>
  <c r="Y82" i="20"/>
  <c r="Y76" i="20"/>
  <c r="Y70" i="20"/>
  <c r="AC64" i="20"/>
  <c r="AC58" i="20"/>
  <c r="Y58" i="20"/>
  <c r="AC52" i="20"/>
  <c r="Y52" i="20"/>
  <c r="AC46" i="20"/>
  <c r="Y46" i="20"/>
  <c r="AC40" i="20"/>
  <c r="Y40" i="20"/>
  <c r="AC34" i="20"/>
  <c r="Y34" i="20"/>
  <c r="Y28" i="20"/>
  <c r="Y22" i="20"/>
  <c r="Y16" i="20"/>
  <c r="AC10" i="20"/>
  <c r="Y10" i="20"/>
  <c r="AC4" i="20"/>
  <c r="Y4" i="20"/>
  <c r="AD59" i="22" l="1"/>
  <c r="AG59" i="22"/>
  <c r="Y59" i="22"/>
  <c r="AC59" i="22"/>
  <c r="V59" i="22"/>
  <c r="AF52" i="22"/>
  <c r="AH52" i="22" s="1"/>
  <c r="AF34" i="22"/>
  <c r="AH34" i="22" s="1"/>
  <c r="AH35" i="22" s="1"/>
  <c r="AF40" i="22"/>
  <c r="AH40" i="22" s="1"/>
  <c r="AF46" i="22"/>
  <c r="AH46" i="22" s="1"/>
  <c r="AH47" i="22" s="1"/>
  <c r="AF10" i="22"/>
  <c r="AH10" i="22" s="1"/>
  <c r="AH11" i="22" s="1"/>
  <c r="AF4" i="22"/>
  <c r="AF16" i="22"/>
  <c r="AH16" i="22" s="1"/>
  <c r="AH17" i="22" s="1"/>
  <c r="AF22" i="22"/>
  <c r="AH22" i="22" s="1"/>
  <c r="AH24" i="22" s="1"/>
  <c r="AF28" i="22"/>
  <c r="AD28" i="21"/>
  <c r="V28" i="21"/>
  <c r="J28" i="21"/>
  <c r="AG28" i="21" s="1"/>
  <c r="AD22" i="21"/>
  <c r="V22" i="21"/>
  <c r="J22" i="21"/>
  <c r="AG22" i="21" s="1"/>
  <c r="AD16" i="21"/>
  <c r="V16" i="21"/>
  <c r="J16" i="21"/>
  <c r="AG16" i="21" s="1"/>
  <c r="AD10" i="21"/>
  <c r="V10" i="21"/>
  <c r="J10" i="21"/>
  <c r="AG10" i="21" s="1"/>
  <c r="AD4" i="21"/>
  <c r="AC34" i="21"/>
  <c r="V4" i="21"/>
  <c r="J4" i="21"/>
  <c r="AG4" i="21" s="1"/>
  <c r="AJ28" i="20"/>
  <c r="AE87" i="20"/>
  <c r="AB87" i="20"/>
  <c r="AA87" i="20"/>
  <c r="Z87" i="20"/>
  <c r="AD82" i="20"/>
  <c r="V82" i="20"/>
  <c r="J82" i="20"/>
  <c r="AG82" i="20" s="1"/>
  <c r="AD76" i="20"/>
  <c r="V76" i="20"/>
  <c r="J76" i="20"/>
  <c r="AG76" i="20" s="1"/>
  <c r="AH53" i="22" l="1"/>
  <c r="AH54" i="22"/>
  <c r="AH4" i="22"/>
  <c r="AH6" i="22" s="1"/>
  <c r="AF59" i="22"/>
  <c r="AD34" i="21"/>
  <c r="AH48" i="22"/>
  <c r="AH36" i="22"/>
  <c r="AG34" i="21"/>
  <c r="V34" i="21"/>
  <c r="Y34" i="21"/>
  <c r="AH18" i="22"/>
  <c r="AH12" i="22"/>
  <c r="AH23" i="22"/>
  <c r="AH28" i="22"/>
  <c r="AH42" i="22"/>
  <c r="AH41" i="22"/>
  <c r="AF10" i="21"/>
  <c r="AH10" i="21" s="1"/>
  <c r="AH12" i="21" s="1"/>
  <c r="AF22" i="21"/>
  <c r="AH22" i="21" s="1"/>
  <c r="AF4" i="21"/>
  <c r="AF16" i="21"/>
  <c r="AH16" i="21" s="1"/>
  <c r="AF28" i="21"/>
  <c r="AF82" i="20"/>
  <c r="AH82" i="20" s="1"/>
  <c r="AF76" i="20"/>
  <c r="AH76" i="20" s="1"/>
  <c r="AD46" i="20"/>
  <c r="AD34" i="20"/>
  <c r="AH5" i="22" l="1"/>
  <c r="AJ29" i="22"/>
  <c r="AK29" i="22" s="1"/>
  <c r="AH29" i="22"/>
  <c r="AH28" i="21"/>
  <c r="AF34" i="21"/>
  <c r="AH4" i="21"/>
  <c r="AH6" i="21" s="1"/>
  <c r="AH30" i="22"/>
  <c r="AH77" i="20"/>
  <c r="AH78" i="20"/>
  <c r="AH83" i="20"/>
  <c r="AH84" i="20"/>
  <c r="AH11" i="21"/>
  <c r="AH17" i="21"/>
  <c r="AH18" i="21"/>
  <c r="AH24" i="21"/>
  <c r="AH23" i="21"/>
  <c r="Y76" i="19"/>
  <c r="AH5" i="21" l="1"/>
  <c r="AJ29" i="21"/>
  <c r="AK29" i="21" s="1"/>
  <c r="AH29" i="21"/>
  <c r="AH30" i="21"/>
  <c r="AC76" i="19"/>
  <c r="AJ28" i="19"/>
  <c r="AE81" i="19"/>
  <c r="AB81" i="19"/>
  <c r="AA81" i="19"/>
  <c r="Z81" i="19"/>
  <c r="AD70" i="19"/>
  <c r="AC70" i="19"/>
  <c r="Y70" i="19"/>
  <c r="V70" i="19"/>
  <c r="J70" i="19"/>
  <c r="AG70" i="19" s="1"/>
  <c r="AD22" i="20"/>
  <c r="AD16" i="20"/>
  <c r="AD10" i="20"/>
  <c r="AD70" i="20"/>
  <c r="V70" i="20"/>
  <c r="J70" i="20"/>
  <c r="AG70" i="20" s="1"/>
  <c r="AD64" i="20"/>
  <c r="Y64" i="20"/>
  <c r="V64" i="20"/>
  <c r="J64" i="20"/>
  <c r="AG64" i="20" s="1"/>
  <c r="AD58" i="20"/>
  <c r="V58" i="20"/>
  <c r="J58" i="20"/>
  <c r="AG58" i="20" s="1"/>
  <c r="AD52" i="20"/>
  <c r="V52" i="20"/>
  <c r="J52" i="20"/>
  <c r="AG52" i="20" s="1"/>
  <c r="V46" i="20"/>
  <c r="J46" i="20"/>
  <c r="AG46" i="20" s="1"/>
  <c r="AD40" i="20"/>
  <c r="V40" i="20"/>
  <c r="J40" i="20"/>
  <c r="AG40" i="20" s="1"/>
  <c r="V34" i="20"/>
  <c r="J34" i="20"/>
  <c r="AG34" i="20" s="1"/>
  <c r="AD28" i="20"/>
  <c r="V28" i="20"/>
  <c r="J28" i="20"/>
  <c r="AG28" i="20" s="1"/>
  <c r="V22" i="20"/>
  <c r="J22" i="20"/>
  <c r="AG22" i="20" s="1"/>
  <c r="V16" i="20"/>
  <c r="J16" i="20"/>
  <c r="AG16" i="20" s="1"/>
  <c r="V10" i="20"/>
  <c r="J10" i="20"/>
  <c r="AG10" i="20" s="1"/>
  <c r="AD4" i="20"/>
  <c r="V4" i="20"/>
  <c r="J4" i="20"/>
  <c r="AG4" i="20" s="1"/>
  <c r="AC64" i="19"/>
  <c r="Y64" i="19"/>
  <c r="AC58" i="19"/>
  <c r="Y58" i="19"/>
  <c r="AC52" i="19"/>
  <c r="Y52" i="19"/>
  <c r="AC46" i="19"/>
  <c r="Y46" i="19"/>
  <c r="AD76" i="19"/>
  <c r="V76" i="19"/>
  <c r="J76" i="19"/>
  <c r="AG76" i="19" s="1"/>
  <c r="AD64" i="19"/>
  <c r="V64" i="19"/>
  <c r="J64" i="19"/>
  <c r="AG64" i="19" s="1"/>
  <c r="AC87" i="20" l="1"/>
  <c r="V87" i="20"/>
  <c r="Y87" i="20"/>
  <c r="AG87" i="20"/>
  <c r="AD87" i="20"/>
  <c r="AF58" i="20"/>
  <c r="AH58" i="20" s="1"/>
  <c r="AF52" i="20"/>
  <c r="AH52" i="20" s="1"/>
  <c r="AF70" i="20"/>
  <c r="AH70" i="20" s="1"/>
  <c r="AF70" i="19"/>
  <c r="AH70" i="19" s="1"/>
  <c r="AF4" i="20"/>
  <c r="AF10" i="20"/>
  <c r="AH10" i="20" s="1"/>
  <c r="AH11" i="20" s="1"/>
  <c r="AF16" i="20"/>
  <c r="AH16" i="20" s="1"/>
  <c r="AH17" i="20" s="1"/>
  <c r="AF34" i="20"/>
  <c r="AH34" i="20" s="1"/>
  <c r="AF64" i="20"/>
  <c r="AH64" i="20" s="1"/>
  <c r="AF46" i="20"/>
  <c r="AH46" i="20" s="1"/>
  <c r="AH47" i="20" s="1"/>
  <c r="AF28" i="20"/>
  <c r="AH28" i="20" s="1"/>
  <c r="AF22" i="20"/>
  <c r="AH22" i="20" s="1"/>
  <c r="AH23" i="20" s="1"/>
  <c r="AF40" i="20"/>
  <c r="AH40" i="20" s="1"/>
  <c r="AF76" i="19"/>
  <c r="AF64" i="19"/>
  <c r="AH64" i="19" s="1"/>
  <c r="AH65" i="19" s="1"/>
  <c r="J40" i="19"/>
  <c r="AG40" i="19" s="1"/>
  <c r="Y4" i="19"/>
  <c r="Y10" i="19"/>
  <c r="Y16" i="19"/>
  <c r="Y22" i="19"/>
  <c r="Y28" i="19"/>
  <c r="Y34" i="19"/>
  <c r="Y40" i="19"/>
  <c r="AD40" i="19"/>
  <c r="AD16" i="19"/>
  <c r="AD58" i="19"/>
  <c r="V58" i="19"/>
  <c r="J58" i="19"/>
  <c r="AG58" i="19" s="1"/>
  <c r="AD52" i="19"/>
  <c r="V52" i="19"/>
  <c r="J52" i="19"/>
  <c r="AG52" i="19" s="1"/>
  <c r="AD46" i="19"/>
  <c r="V46" i="19"/>
  <c r="J46" i="19"/>
  <c r="AG46" i="19" s="1"/>
  <c r="AC40" i="19"/>
  <c r="V40" i="19"/>
  <c r="AD34" i="19"/>
  <c r="V34" i="19"/>
  <c r="J34" i="19"/>
  <c r="AG34" i="19" s="1"/>
  <c r="AD28" i="19"/>
  <c r="V28" i="19"/>
  <c r="J28" i="19"/>
  <c r="AG28" i="19" s="1"/>
  <c r="AD22" i="19"/>
  <c r="V22" i="19"/>
  <c r="J22" i="19"/>
  <c r="AG22" i="19" s="1"/>
  <c r="V16" i="19"/>
  <c r="J16" i="19"/>
  <c r="AG16" i="19" s="1"/>
  <c r="AD10" i="19"/>
  <c r="V10" i="19"/>
  <c r="J10" i="19"/>
  <c r="AG10" i="19" s="1"/>
  <c r="AD4" i="19"/>
  <c r="AC4" i="19"/>
  <c r="V4" i="19"/>
  <c r="J4" i="19"/>
  <c r="AG4" i="19" s="1"/>
  <c r="AJ28" i="18"/>
  <c r="AC58" i="18"/>
  <c r="Y58" i="18"/>
  <c r="AC52" i="18"/>
  <c r="Y52" i="18"/>
  <c r="AC46" i="18"/>
  <c r="Y46" i="18"/>
  <c r="AC40" i="18"/>
  <c r="Y40" i="18"/>
  <c r="AC34" i="18"/>
  <c r="Y34" i="18"/>
  <c r="Y28" i="18"/>
  <c r="Y22" i="18"/>
  <c r="Y16" i="18"/>
  <c r="Y10" i="18"/>
  <c r="Y4" i="18"/>
  <c r="Y52" i="17"/>
  <c r="AC52" i="17"/>
  <c r="AC46" i="17"/>
  <c r="Y46" i="17"/>
  <c r="Y40" i="17"/>
  <c r="Y34" i="17"/>
  <c r="Y28" i="17"/>
  <c r="Y22" i="17"/>
  <c r="Y16" i="17"/>
  <c r="AC4" i="17"/>
  <c r="Y10" i="17"/>
  <c r="AE63" i="18"/>
  <c r="AB63" i="18"/>
  <c r="AA63" i="18"/>
  <c r="Z63" i="18"/>
  <c r="AD58" i="18"/>
  <c r="V58" i="18"/>
  <c r="J58" i="18"/>
  <c r="AG58" i="18" s="1"/>
  <c r="AH71" i="20" l="1"/>
  <c r="AH72" i="20"/>
  <c r="AH53" i="20"/>
  <c r="AH54" i="20"/>
  <c r="AH59" i="20"/>
  <c r="AH60" i="20"/>
  <c r="AH65" i="20"/>
  <c r="AH66" i="20"/>
  <c r="V81" i="19"/>
  <c r="AH4" i="20"/>
  <c r="AH6" i="20" s="1"/>
  <c r="AF87" i="20"/>
  <c r="AC81" i="19"/>
  <c r="AD81" i="19"/>
  <c r="AG81" i="19"/>
  <c r="Y81" i="19"/>
  <c r="AH36" i="20"/>
  <c r="AH35" i="20"/>
  <c r="AH71" i="19"/>
  <c r="AH12" i="20"/>
  <c r="AH42" i="20"/>
  <c r="AH41" i="20"/>
  <c r="AH29" i="20"/>
  <c r="AH30" i="20"/>
  <c r="AH24" i="20"/>
  <c r="AH18" i="20"/>
  <c r="AH48" i="20"/>
  <c r="AH76" i="19"/>
  <c r="AH77" i="19" s="1"/>
  <c r="AF10" i="19"/>
  <c r="AH10" i="19" s="1"/>
  <c r="AF58" i="19"/>
  <c r="AH58" i="19" s="1"/>
  <c r="AH59" i="19" s="1"/>
  <c r="AF52" i="19"/>
  <c r="AH52" i="19" s="1"/>
  <c r="AH53" i="19" s="1"/>
  <c r="AF46" i="19"/>
  <c r="AH46" i="19" s="1"/>
  <c r="AF40" i="19"/>
  <c r="AH40" i="19" s="1"/>
  <c r="AH41" i="19" s="1"/>
  <c r="AF34" i="19"/>
  <c r="AH34" i="19" s="1"/>
  <c r="AF28" i="19"/>
  <c r="AH28" i="19" s="1"/>
  <c r="AF22" i="19"/>
  <c r="AH22" i="19" s="1"/>
  <c r="AF16" i="19"/>
  <c r="AH16" i="19" s="1"/>
  <c r="AH17" i="19" s="1"/>
  <c r="AF4" i="19"/>
  <c r="AF58" i="18"/>
  <c r="AH58" i="18" s="1"/>
  <c r="AH59" i="18" s="1"/>
  <c r="AD52" i="18"/>
  <c r="AH5" i="20" l="1"/>
  <c r="AJ29" i="20"/>
  <c r="AK29" i="20" s="1"/>
  <c r="AF81" i="19"/>
  <c r="AH48" i="19"/>
  <c r="AH47" i="19"/>
  <c r="AH30" i="19"/>
  <c r="AH29" i="19"/>
  <c r="AH23" i="19"/>
  <c r="AH24" i="19"/>
  <c r="AH18" i="19"/>
  <c r="AH4" i="19"/>
  <c r="AJ29" i="19" s="1"/>
  <c r="AH42" i="19"/>
  <c r="AH36" i="19"/>
  <c r="AH35" i="19"/>
  <c r="AH12" i="19"/>
  <c r="AH11" i="19"/>
  <c r="AD34" i="18"/>
  <c r="AH5" i="19" l="1"/>
  <c r="AK29" i="19"/>
  <c r="AH6" i="19"/>
  <c r="AD22" i="18"/>
  <c r="AD10" i="18"/>
  <c r="V52" i="18"/>
  <c r="J52" i="18"/>
  <c r="AG52" i="18" s="1"/>
  <c r="AD46" i="18"/>
  <c r="V46" i="18"/>
  <c r="J46" i="18"/>
  <c r="AG46" i="18" s="1"/>
  <c r="AD40" i="18"/>
  <c r="V40" i="18"/>
  <c r="J40" i="18"/>
  <c r="AG40" i="18" s="1"/>
  <c r="V34" i="18"/>
  <c r="J34" i="18"/>
  <c r="AG34" i="18" s="1"/>
  <c r="AD28" i="18"/>
  <c r="V28" i="18"/>
  <c r="J28" i="18"/>
  <c r="AG28" i="18" s="1"/>
  <c r="V22" i="18"/>
  <c r="J22" i="18"/>
  <c r="AG22" i="18" s="1"/>
  <c r="AD16" i="18"/>
  <c r="Y63" i="18"/>
  <c r="V16" i="18"/>
  <c r="J16" i="18"/>
  <c r="AG16" i="18" s="1"/>
  <c r="V10" i="18"/>
  <c r="J10" i="18"/>
  <c r="AG10" i="18" s="1"/>
  <c r="AD4" i="18"/>
  <c r="AC4" i="18"/>
  <c r="V4" i="18"/>
  <c r="J4" i="18"/>
  <c r="AG4" i="18" s="1"/>
  <c r="V63" i="18" l="1"/>
  <c r="AC63" i="18"/>
  <c r="AD63" i="18"/>
  <c r="AG63" i="18"/>
  <c r="AF52" i="18"/>
  <c r="AH52" i="18" s="1"/>
  <c r="AH53" i="18" s="1"/>
  <c r="AF46" i="18"/>
  <c r="AH46" i="18" s="1"/>
  <c r="AF40" i="18"/>
  <c r="AH40" i="18" s="1"/>
  <c r="AF34" i="18"/>
  <c r="AH34" i="18" s="1"/>
  <c r="AH35" i="18" s="1"/>
  <c r="AF28" i="18"/>
  <c r="AH28" i="18" s="1"/>
  <c r="AF22" i="18"/>
  <c r="AH22" i="18" s="1"/>
  <c r="AF16" i="18"/>
  <c r="AF10" i="18"/>
  <c r="AH10" i="18" s="1"/>
  <c r="AF4" i="18"/>
  <c r="J52" i="17"/>
  <c r="J46" i="17"/>
  <c r="J40" i="17"/>
  <c r="AH16" i="18" l="1"/>
  <c r="AH17" i="18" s="1"/>
  <c r="AF63" i="18"/>
  <c r="AH24" i="18"/>
  <c r="AH23" i="18"/>
  <c r="AH12" i="18"/>
  <c r="AH11" i="18"/>
  <c r="AH48" i="18"/>
  <c r="AH47" i="18"/>
  <c r="AH41" i="18"/>
  <c r="AH42" i="18"/>
  <c r="AH36" i="18"/>
  <c r="AH30" i="18"/>
  <c r="AH29" i="18"/>
  <c r="AH4" i="18"/>
  <c r="AJ28" i="17"/>
  <c r="AE55" i="17"/>
  <c r="AB55" i="17"/>
  <c r="AA55" i="17"/>
  <c r="Z55" i="17"/>
  <c r="AD52" i="17"/>
  <c r="AG52" i="17"/>
  <c r="V52" i="17"/>
  <c r="AD46" i="17"/>
  <c r="AD40" i="17"/>
  <c r="AG46" i="17"/>
  <c r="V46" i="17"/>
  <c r="V40" i="17"/>
  <c r="AG40" i="17"/>
  <c r="AH18" i="18" l="1"/>
  <c r="AJ29" i="18"/>
  <c r="AK29" i="18" s="1"/>
  <c r="AH6" i="18"/>
  <c r="AH5" i="18"/>
  <c r="AF52" i="17"/>
  <c r="AH52" i="17" s="1"/>
  <c r="AH53" i="17" s="1"/>
  <c r="AF46" i="17"/>
  <c r="AF40" i="17"/>
  <c r="AH40" i="17" s="1"/>
  <c r="AH41" i="17" s="1"/>
  <c r="J4" i="17"/>
  <c r="AH46" i="17" l="1"/>
  <c r="AH47" i="17" s="1"/>
  <c r="AH54" i="17"/>
  <c r="AH42" i="17"/>
  <c r="AD34" i="17"/>
  <c r="V34" i="17"/>
  <c r="J34" i="17"/>
  <c r="AG34" i="17" s="1"/>
  <c r="Y28" i="16"/>
  <c r="Y22" i="16"/>
  <c r="AD16" i="17"/>
  <c r="AD28" i="17"/>
  <c r="V28" i="17"/>
  <c r="J28" i="17"/>
  <c r="AG28" i="17" s="1"/>
  <c r="AD22" i="17"/>
  <c r="V22" i="17"/>
  <c r="J22" i="17"/>
  <c r="AG22" i="17" s="1"/>
  <c r="Y55" i="17"/>
  <c r="V16" i="17"/>
  <c r="J16" i="17"/>
  <c r="AG16" i="17" s="1"/>
  <c r="AD10" i="17"/>
  <c r="AC10" i="17"/>
  <c r="V10" i="17"/>
  <c r="J10" i="17"/>
  <c r="AG10" i="17" s="1"/>
  <c r="AD4" i="17"/>
  <c r="V4" i="17"/>
  <c r="AG4" i="17"/>
  <c r="AJ28" i="16"/>
  <c r="AE35" i="16"/>
  <c r="AB35" i="16"/>
  <c r="AA35" i="16"/>
  <c r="Z35" i="16"/>
  <c r="Y16" i="16"/>
  <c r="AC4" i="16"/>
  <c r="AC88" i="15"/>
  <c r="Y88" i="15"/>
  <c r="AC82" i="15"/>
  <c r="Y82" i="15"/>
  <c r="AC76" i="15"/>
  <c r="Y76" i="15"/>
  <c r="AC70" i="15"/>
  <c r="Y70" i="15"/>
  <c r="AC64" i="15"/>
  <c r="Y64" i="15"/>
  <c r="AC58" i="15"/>
  <c r="AD10" i="16"/>
  <c r="J4" i="16"/>
  <c r="AE99" i="15"/>
  <c r="AB99" i="15"/>
  <c r="AA99" i="15"/>
  <c r="Z99" i="15"/>
  <c r="AJ80" i="15"/>
  <c r="AD94" i="15"/>
  <c r="Y94" i="15"/>
  <c r="V94" i="15"/>
  <c r="J94" i="15"/>
  <c r="AG94" i="15" s="1"/>
  <c r="AD55" i="17" l="1"/>
  <c r="AG55" i="17"/>
  <c r="V55" i="17"/>
  <c r="AC55" i="17"/>
  <c r="AH48" i="17"/>
  <c r="AF34" i="17"/>
  <c r="AH34" i="17" s="1"/>
  <c r="AH35" i="17" s="1"/>
  <c r="Y35" i="16"/>
  <c r="AF10" i="17"/>
  <c r="AF28" i="17"/>
  <c r="AH28" i="17" s="1"/>
  <c r="AH29" i="17" s="1"/>
  <c r="AF22" i="17"/>
  <c r="AH22" i="17" s="1"/>
  <c r="AH23" i="17" s="1"/>
  <c r="AF16" i="17"/>
  <c r="AH16" i="17" s="1"/>
  <c r="AH17" i="17" s="1"/>
  <c r="AF4" i="17"/>
  <c r="AF94" i="15"/>
  <c r="AF55" i="17" l="1"/>
  <c r="AH4" i="17"/>
  <c r="AH10" i="17"/>
  <c r="AH11" i="17" s="1"/>
  <c r="AH36" i="17"/>
  <c r="AH30" i="17"/>
  <c r="AH18" i="17"/>
  <c r="AH24" i="17"/>
  <c r="AH94" i="15"/>
  <c r="AJ29" i="17" l="1"/>
  <c r="AK29" i="17" s="1"/>
  <c r="AH6" i="17"/>
  <c r="AH12" i="17"/>
  <c r="AH5" i="17"/>
  <c r="AH96" i="15"/>
  <c r="AH95" i="15"/>
  <c r="AD28" i="16" l="1"/>
  <c r="AC28" i="16"/>
  <c r="V28" i="16"/>
  <c r="J28" i="16"/>
  <c r="AG28" i="16" s="1"/>
  <c r="AD22" i="16"/>
  <c r="V22" i="16"/>
  <c r="J22" i="16"/>
  <c r="AG22" i="16" s="1"/>
  <c r="AC16" i="16"/>
  <c r="V16" i="16"/>
  <c r="J16" i="16"/>
  <c r="AG16" i="16" s="1"/>
  <c r="AC10" i="16"/>
  <c r="V10" i="16"/>
  <c r="J10" i="16"/>
  <c r="AG10" i="16" s="1"/>
  <c r="AD4" i="16"/>
  <c r="V4" i="16"/>
  <c r="AG4" i="16"/>
  <c r="AD88" i="15"/>
  <c r="V88" i="15"/>
  <c r="J88" i="15"/>
  <c r="AG88" i="15" s="1"/>
  <c r="AD82" i="15"/>
  <c r="V82" i="15"/>
  <c r="J82" i="15"/>
  <c r="AG82" i="15" s="1"/>
  <c r="AD35" i="16" l="1"/>
  <c r="AG35" i="16"/>
  <c r="V35" i="16"/>
  <c r="AC35" i="16"/>
  <c r="AF28" i="16"/>
  <c r="AH28" i="16" s="1"/>
  <c r="AF10" i="16"/>
  <c r="AH10" i="16" s="1"/>
  <c r="AH11" i="16" s="1"/>
  <c r="AF16" i="16"/>
  <c r="AH16" i="16" s="1"/>
  <c r="AF22" i="16"/>
  <c r="AH22" i="16" s="1"/>
  <c r="AF4" i="16"/>
  <c r="AF88" i="15"/>
  <c r="AH88" i="15" s="1"/>
  <c r="AF82" i="15"/>
  <c r="AH82" i="15" s="1"/>
  <c r="AH30" i="16" l="1"/>
  <c r="AH29" i="16"/>
  <c r="AF35" i="16"/>
  <c r="AH17" i="16"/>
  <c r="AH12" i="16"/>
  <c r="AH4" i="16"/>
  <c r="AH5" i="16" s="1"/>
  <c r="AH18" i="16"/>
  <c r="AH24" i="16"/>
  <c r="AH23" i="16"/>
  <c r="AH89" i="15"/>
  <c r="AH90" i="15"/>
  <c r="AH84" i="15"/>
  <c r="AH83" i="15"/>
  <c r="AJ29" i="16" l="1"/>
  <c r="AK29" i="16" s="1"/>
  <c r="AH6" i="16"/>
  <c r="AC52" i="15" l="1"/>
  <c r="AC46" i="15"/>
  <c r="AC34" i="15"/>
  <c r="AC28" i="15"/>
  <c r="Y22" i="15"/>
  <c r="AC16" i="15"/>
  <c r="Y16" i="15"/>
  <c r="AC10" i="15"/>
  <c r="Y10" i="15"/>
  <c r="AC4" i="15"/>
  <c r="AC94" i="14"/>
  <c r="Y88" i="14"/>
  <c r="AC88" i="14"/>
  <c r="AC82" i="14"/>
  <c r="Y82" i="14"/>
  <c r="AC76" i="14"/>
  <c r="Y76" i="14"/>
  <c r="AC70" i="14"/>
  <c r="AC64" i="14"/>
  <c r="AC58" i="14"/>
  <c r="AC52" i="14"/>
  <c r="AC46" i="14"/>
  <c r="AC40" i="14"/>
  <c r="AC34" i="14"/>
  <c r="AC28" i="14"/>
  <c r="J4" i="15"/>
  <c r="AG4" i="15" s="1"/>
  <c r="AD76" i="15"/>
  <c r="V76" i="15"/>
  <c r="J76" i="15"/>
  <c r="AG76" i="15" s="1"/>
  <c r="AD70" i="15"/>
  <c r="V70" i="15"/>
  <c r="J70" i="15"/>
  <c r="AG70" i="15" s="1"/>
  <c r="AD64" i="15"/>
  <c r="V64" i="15"/>
  <c r="J64" i="15"/>
  <c r="AG64" i="15" s="1"/>
  <c r="AD58" i="15"/>
  <c r="V58" i="15"/>
  <c r="J58" i="15"/>
  <c r="AG58" i="15" s="1"/>
  <c r="AD52" i="15"/>
  <c r="V52" i="15"/>
  <c r="J52" i="15"/>
  <c r="AG52" i="15" s="1"/>
  <c r="AD46" i="15"/>
  <c r="V46" i="15"/>
  <c r="J46" i="15"/>
  <c r="AG46" i="15" s="1"/>
  <c r="AD40" i="15"/>
  <c r="Y40" i="15"/>
  <c r="V40" i="15"/>
  <c r="J40" i="15"/>
  <c r="AG40" i="15" s="1"/>
  <c r="AD34" i="15"/>
  <c r="Y34" i="15"/>
  <c r="V34" i="15"/>
  <c r="J34" i="15"/>
  <c r="AG34" i="15" s="1"/>
  <c r="AD28" i="15"/>
  <c r="V28" i="15"/>
  <c r="J28" i="15"/>
  <c r="AG28" i="15" s="1"/>
  <c r="AD22" i="15"/>
  <c r="AC22" i="15"/>
  <c r="V22" i="15"/>
  <c r="J22" i="15"/>
  <c r="AG22" i="15" s="1"/>
  <c r="AD16" i="15"/>
  <c r="V16" i="15"/>
  <c r="J16" i="15"/>
  <c r="AG16" i="15" s="1"/>
  <c r="AD10" i="15"/>
  <c r="V10" i="15"/>
  <c r="J10" i="15"/>
  <c r="AG10" i="15" s="1"/>
  <c r="AD4" i="15"/>
  <c r="V4" i="15"/>
  <c r="J4" i="14"/>
  <c r="AJ96" i="14"/>
  <c r="AE100" i="14"/>
  <c r="AA100" i="14"/>
  <c r="Z100" i="14"/>
  <c r="AD94" i="14"/>
  <c r="V94" i="14"/>
  <c r="J94" i="14"/>
  <c r="AG94" i="14" s="1"/>
  <c r="AD88" i="14"/>
  <c r="V88" i="14"/>
  <c r="J88" i="14"/>
  <c r="AG88" i="14" s="1"/>
  <c r="J28" i="14"/>
  <c r="AG28" i="14" s="1"/>
  <c r="AD82" i="14"/>
  <c r="V82" i="14"/>
  <c r="J82" i="14"/>
  <c r="AG82" i="14" s="1"/>
  <c r="AD76" i="14"/>
  <c r="V76" i="14"/>
  <c r="J76" i="14"/>
  <c r="AG76" i="14" s="1"/>
  <c r="AD70" i="14"/>
  <c r="V70" i="14"/>
  <c r="J70" i="14"/>
  <c r="AG70" i="14" s="1"/>
  <c r="AD64" i="14"/>
  <c r="V64" i="14"/>
  <c r="J64" i="14"/>
  <c r="AG64" i="14" s="1"/>
  <c r="AD58" i="14"/>
  <c r="V58" i="14"/>
  <c r="J58" i="14"/>
  <c r="AG58" i="14" s="1"/>
  <c r="AD52" i="14"/>
  <c r="V52" i="14"/>
  <c r="J52" i="14"/>
  <c r="AG52" i="14" s="1"/>
  <c r="AD46" i="14"/>
  <c r="V46" i="14"/>
  <c r="J46" i="14"/>
  <c r="AG46" i="14" s="1"/>
  <c r="AD40" i="14"/>
  <c r="Y40" i="14"/>
  <c r="V40" i="14"/>
  <c r="J40" i="14"/>
  <c r="AG40" i="14" s="1"/>
  <c r="AD34" i="14"/>
  <c r="Y34" i="14"/>
  <c r="V34" i="14"/>
  <c r="J34" i="14"/>
  <c r="AG34" i="14" s="1"/>
  <c r="AD28" i="14"/>
  <c r="Y28" i="14"/>
  <c r="V28" i="14"/>
  <c r="AD22" i="14"/>
  <c r="AC22" i="14"/>
  <c r="Y22" i="14"/>
  <c r="V22" i="14"/>
  <c r="J22" i="14"/>
  <c r="AG22" i="14" s="1"/>
  <c r="AJ15" i="13"/>
  <c r="V99" i="15" l="1"/>
  <c r="AG99" i="15"/>
  <c r="AD99" i="15"/>
  <c r="AC99" i="15"/>
  <c r="Y99" i="15"/>
  <c r="AF16" i="15"/>
  <c r="AH16" i="15" s="1"/>
  <c r="AH17" i="15" s="1"/>
  <c r="AF76" i="15"/>
  <c r="AH76" i="15" s="1"/>
  <c r="AH78" i="15" s="1"/>
  <c r="AF70" i="15"/>
  <c r="AF64" i="15"/>
  <c r="AH64" i="15" s="1"/>
  <c r="AH66" i="15" s="1"/>
  <c r="AF58" i="15"/>
  <c r="AH58" i="15" s="1"/>
  <c r="AH60" i="15" s="1"/>
  <c r="AF52" i="15"/>
  <c r="AF46" i="15"/>
  <c r="AH46" i="15" s="1"/>
  <c r="AH48" i="15" s="1"/>
  <c r="AF40" i="15"/>
  <c r="AH40" i="15" s="1"/>
  <c r="AH41" i="15" s="1"/>
  <c r="AF34" i="15"/>
  <c r="AH34" i="15" s="1"/>
  <c r="AH36" i="15" s="1"/>
  <c r="AF28" i="15"/>
  <c r="AH28" i="15" s="1"/>
  <c r="AH29" i="15" s="1"/>
  <c r="AF22" i="15"/>
  <c r="AH22" i="15" s="1"/>
  <c r="AF10" i="15"/>
  <c r="AH10" i="15" s="1"/>
  <c r="AF4" i="15"/>
  <c r="AG100" i="14"/>
  <c r="AF94" i="14"/>
  <c r="AH94" i="14" s="1"/>
  <c r="AJ93" i="14" s="1"/>
  <c r="AF88" i="14"/>
  <c r="AH88" i="14" s="1"/>
  <c r="AJ88" i="14" s="1"/>
  <c r="AF58" i="14"/>
  <c r="AH58" i="14" s="1"/>
  <c r="AF70" i="14"/>
  <c r="AH70" i="14" s="1"/>
  <c r="AF76" i="14"/>
  <c r="AF82" i="14"/>
  <c r="AH82" i="14" s="1"/>
  <c r="AF52" i="14"/>
  <c r="AH52" i="14" s="1"/>
  <c r="AF64" i="14"/>
  <c r="AH64" i="14" s="1"/>
  <c r="AF46" i="14"/>
  <c r="AH46" i="14" s="1"/>
  <c r="AF40" i="14"/>
  <c r="AH40" i="14" s="1"/>
  <c r="AJ40" i="14" s="1"/>
  <c r="AF28" i="14"/>
  <c r="AF34" i="14"/>
  <c r="AH34" i="14" s="1"/>
  <c r="AJ34" i="14" s="1"/>
  <c r="AF22" i="14"/>
  <c r="AH22" i="14" s="1"/>
  <c r="AJ22" i="14" s="1"/>
  <c r="AC4" i="14"/>
  <c r="AB4" i="14"/>
  <c r="Y4" i="14"/>
  <c r="AC10" i="14"/>
  <c r="AB10" i="14"/>
  <c r="AB16" i="14"/>
  <c r="Y16" i="14"/>
  <c r="AD4" i="14"/>
  <c r="AD16" i="14"/>
  <c r="AC16" i="14"/>
  <c r="V16" i="14"/>
  <c r="J16" i="14"/>
  <c r="AG16" i="14" s="1"/>
  <c r="AD10" i="14"/>
  <c r="V10" i="14"/>
  <c r="J10" i="14"/>
  <c r="AG10" i="14" s="1"/>
  <c r="V4" i="14"/>
  <c r="AG4" i="14"/>
  <c r="AE21" i="13"/>
  <c r="AB21" i="13"/>
  <c r="AA21" i="13"/>
  <c r="Z21" i="13"/>
  <c r="V100" i="14" l="1"/>
  <c r="AC100" i="14"/>
  <c r="AD100" i="14"/>
  <c r="AH70" i="15"/>
  <c r="AF99" i="15"/>
  <c r="Y100" i="14"/>
  <c r="AH66" i="14"/>
  <c r="AJ64" i="14"/>
  <c r="AH65" i="14"/>
  <c r="AB100" i="14"/>
  <c r="AH53" i="14"/>
  <c r="AJ52" i="14"/>
  <c r="AH60" i="14"/>
  <c r="AJ58" i="14"/>
  <c r="AH59" i="14"/>
  <c r="AH47" i="14"/>
  <c r="AJ46" i="14"/>
  <c r="AH83" i="14"/>
  <c r="AJ82" i="14"/>
  <c r="AH72" i="14"/>
  <c r="AJ70" i="14"/>
  <c r="AH71" i="14"/>
  <c r="AH52" i="15"/>
  <c r="AH53" i="15" s="1"/>
  <c r="AH24" i="15"/>
  <c r="AH23" i="15"/>
  <c r="AH77" i="15"/>
  <c r="AH65" i="15"/>
  <c r="AH59" i="15"/>
  <c r="AH47" i="15"/>
  <c r="AH35" i="15"/>
  <c r="AH30" i="15"/>
  <c r="AH18" i="15"/>
  <c r="AH4" i="15"/>
  <c r="AH5" i="15" s="1"/>
  <c r="AH42" i="15"/>
  <c r="AH12" i="15"/>
  <c r="AH11" i="15"/>
  <c r="AH76" i="14"/>
  <c r="AH96" i="14"/>
  <c r="AH95" i="14"/>
  <c r="AH90" i="14"/>
  <c r="AH89" i="14"/>
  <c r="AH24" i="14"/>
  <c r="AH23" i="14"/>
  <c r="AH84" i="14"/>
  <c r="AH54" i="14"/>
  <c r="AH48" i="14"/>
  <c r="AH42" i="14"/>
  <c r="AH41" i="14"/>
  <c r="AH28" i="14"/>
  <c r="AJ28" i="14" s="1"/>
  <c r="AH36" i="14"/>
  <c r="AH35" i="14"/>
  <c r="AF4" i="14"/>
  <c r="AF16" i="14"/>
  <c r="AF10" i="14"/>
  <c r="AC10" i="13"/>
  <c r="AC4" i="13"/>
  <c r="Y4" i="13"/>
  <c r="J4" i="13"/>
  <c r="AG4" i="13" s="1"/>
  <c r="J16" i="13"/>
  <c r="AG16" i="13" s="1"/>
  <c r="J10" i="13"/>
  <c r="AG10" i="13" s="1"/>
  <c r="AD4" i="8"/>
  <c r="AD10" i="8"/>
  <c r="AD16" i="8"/>
  <c r="AD21" i="8"/>
  <c r="AD26" i="8"/>
  <c r="AD32" i="8"/>
  <c r="AD38" i="8"/>
  <c r="AD36" i="9"/>
  <c r="AD31" i="9"/>
  <c r="AD26" i="9"/>
  <c r="AD21" i="9"/>
  <c r="AD16" i="9"/>
  <c r="AD10" i="9"/>
  <c r="AD4" i="9"/>
  <c r="AD31" i="10"/>
  <c r="AD26" i="10"/>
  <c r="AD21" i="10"/>
  <c r="AD16" i="10"/>
  <c r="AD10" i="10"/>
  <c r="AD4" i="10"/>
  <c r="AD21" i="11"/>
  <c r="AD16" i="11"/>
  <c r="AD10" i="11"/>
  <c r="AD4" i="11"/>
  <c r="AD26" i="12"/>
  <c r="AD21" i="12"/>
  <c r="AD16" i="12"/>
  <c r="AD10" i="12"/>
  <c r="AD4" i="12"/>
  <c r="AD16" i="13"/>
  <c r="AD10" i="13"/>
  <c r="AD4" i="13"/>
  <c r="AC16" i="13"/>
  <c r="Y16" i="13"/>
  <c r="V16" i="13"/>
  <c r="Y10" i="13"/>
  <c r="V10" i="13"/>
  <c r="V4" i="13"/>
  <c r="AC26" i="12"/>
  <c r="Y26" i="12"/>
  <c r="J26" i="12"/>
  <c r="AG26" i="12" s="1"/>
  <c r="AJ15" i="12"/>
  <c r="AE30" i="12"/>
  <c r="AB30" i="12"/>
  <c r="AA30" i="12"/>
  <c r="Z30" i="12"/>
  <c r="V26" i="12"/>
  <c r="AC21" i="12"/>
  <c r="AC16" i="12"/>
  <c r="Y21" i="12"/>
  <c r="Y16" i="12"/>
  <c r="J10" i="12"/>
  <c r="AG10" i="12" s="1"/>
  <c r="J4" i="12"/>
  <c r="AG4" i="12" s="1"/>
  <c r="AK25" i="11"/>
  <c r="AK26" i="11" s="1"/>
  <c r="AC21" i="11"/>
  <c r="AC10" i="12"/>
  <c r="AC4" i="12"/>
  <c r="Y10" i="12"/>
  <c r="Y4" i="12"/>
  <c r="Y21" i="11"/>
  <c r="V21" i="12"/>
  <c r="J21" i="12"/>
  <c r="AG21" i="12" s="1"/>
  <c r="V16" i="12"/>
  <c r="J16" i="12"/>
  <c r="AG16" i="12" s="1"/>
  <c r="V10" i="12"/>
  <c r="V4" i="12"/>
  <c r="Y21" i="13" l="1"/>
  <c r="AF100" i="14"/>
  <c r="AJ81" i="15"/>
  <c r="AK81" i="15" s="1"/>
  <c r="AH72" i="15"/>
  <c r="AH71" i="15"/>
  <c r="AJ76" i="14"/>
  <c r="AH77" i="14"/>
  <c r="AH54" i="15"/>
  <c r="AH6" i="15"/>
  <c r="AH78" i="14"/>
  <c r="AC21" i="13"/>
  <c r="AD21" i="13"/>
  <c r="V21" i="13"/>
  <c r="AH16" i="14"/>
  <c r="AH30" i="14"/>
  <c r="AH29" i="14"/>
  <c r="AH10" i="14"/>
  <c r="AH4" i="14"/>
  <c r="AF10" i="13"/>
  <c r="AH10" i="13" s="1"/>
  <c r="AG21" i="13"/>
  <c r="AD30" i="12"/>
  <c r="V30" i="12"/>
  <c r="AF16" i="13"/>
  <c r="AF4" i="13"/>
  <c r="AC30" i="12"/>
  <c r="Y30" i="12"/>
  <c r="AG30" i="12"/>
  <c r="AF26" i="12"/>
  <c r="AF10" i="12"/>
  <c r="AH10" i="12" s="1"/>
  <c r="AH12" i="12" s="1"/>
  <c r="AF21" i="12"/>
  <c r="AH21" i="12" s="1"/>
  <c r="AH22" i="12" s="1"/>
  <c r="AF16" i="12"/>
  <c r="AH16" i="12" s="1"/>
  <c r="AF4" i="12"/>
  <c r="AH11" i="14" l="1"/>
  <c r="AJ10" i="14"/>
  <c r="AH17" i="14"/>
  <c r="AJ16" i="14"/>
  <c r="AH6" i="14"/>
  <c r="AJ4" i="14"/>
  <c r="AH5" i="14"/>
  <c r="AJ97" i="14"/>
  <c r="AK97" i="14" s="1"/>
  <c r="AH18" i="14"/>
  <c r="AH12" i="14"/>
  <c r="AH16" i="13"/>
  <c r="AF21" i="13"/>
  <c r="AH11" i="13"/>
  <c r="AH12" i="13"/>
  <c r="AH4" i="13"/>
  <c r="AH26" i="12"/>
  <c r="AF30" i="12"/>
  <c r="AH23" i="12"/>
  <c r="AH18" i="12"/>
  <c r="AH17" i="12"/>
  <c r="AH11" i="12"/>
  <c r="AH4" i="12"/>
  <c r="AJ95" i="14" l="1"/>
  <c r="AJ16" i="13"/>
  <c r="AK16" i="13" s="1"/>
  <c r="AH18" i="13"/>
  <c r="AH17" i="13"/>
  <c r="AH6" i="13"/>
  <c r="AH5" i="13"/>
  <c r="AH28" i="12"/>
  <c r="AJ16" i="12"/>
  <c r="AK16" i="12" s="1"/>
  <c r="AH27" i="12"/>
  <c r="AH6" i="12"/>
  <c r="AH5" i="12"/>
  <c r="AJ15" i="11" l="1"/>
  <c r="AE26" i="11"/>
  <c r="AB26" i="11"/>
  <c r="AA26" i="11"/>
  <c r="Z26" i="11"/>
  <c r="AC16" i="11"/>
  <c r="AC10" i="11"/>
  <c r="AC4" i="11"/>
  <c r="Y10" i="11"/>
  <c r="Y4" i="11"/>
  <c r="J10" i="11"/>
  <c r="AG10" i="11" s="1"/>
  <c r="J4" i="11"/>
  <c r="AG4" i="11" s="1"/>
  <c r="V21" i="11"/>
  <c r="J21" i="11"/>
  <c r="AG21" i="11" s="1"/>
  <c r="V16" i="11"/>
  <c r="J16" i="11"/>
  <c r="AG16" i="11" s="1"/>
  <c r="V10" i="11"/>
  <c r="V4" i="11"/>
  <c r="AC31" i="10"/>
  <c r="AC26" i="10"/>
  <c r="Y26" i="10"/>
  <c r="Y31" i="10"/>
  <c r="AJ15" i="10"/>
  <c r="J31" i="10"/>
  <c r="J26" i="10"/>
  <c r="AE35" i="10"/>
  <c r="AB35" i="10"/>
  <c r="AA35" i="10"/>
  <c r="Z35" i="10"/>
  <c r="Y26" i="11" l="1"/>
  <c r="AD26" i="11"/>
  <c r="AC26" i="11"/>
  <c r="V26" i="11"/>
  <c r="AG26" i="11"/>
  <c r="AF10" i="11"/>
  <c r="AH10" i="11" s="1"/>
  <c r="AH11" i="11" s="1"/>
  <c r="AF16" i="11"/>
  <c r="AH16" i="11" s="1"/>
  <c r="AF21" i="11"/>
  <c r="AF4" i="11"/>
  <c r="J21" i="10"/>
  <c r="V26" i="10"/>
  <c r="J16" i="10"/>
  <c r="AH21" i="11" l="1"/>
  <c r="AF26" i="11"/>
  <c r="AH4" i="11"/>
  <c r="AH6" i="11" s="1"/>
  <c r="AH12" i="11"/>
  <c r="AH17" i="11"/>
  <c r="AH18" i="11"/>
  <c r="AC21" i="10"/>
  <c r="Y21" i="10"/>
  <c r="Y16" i="10"/>
  <c r="AC10" i="10"/>
  <c r="AC4" i="10"/>
  <c r="Y4" i="10"/>
  <c r="AJ15" i="9"/>
  <c r="AC21" i="9"/>
  <c r="AC4" i="9"/>
  <c r="AA88" i="8"/>
  <c r="AE88" i="8"/>
  <c r="AB88" i="8"/>
  <c r="Z88" i="8"/>
  <c r="Y88" i="8"/>
  <c r="AC32" i="8"/>
  <c r="AC69" i="8"/>
  <c r="AC81" i="8"/>
  <c r="AC75" i="8"/>
  <c r="AC26" i="8"/>
  <c r="AC21" i="8"/>
  <c r="AC16" i="8"/>
  <c r="AE60" i="6"/>
  <c r="AB60" i="6"/>
  <c r="Z60" i="6"/>
  <c r="AC56" i="6"/>
  <c r="AC50" i="6"/>
  <c r="AC44" i="6"/>
  <c r="AC38" i="6"/>
  <c r="AC32" i="6"/>
  <c r="AC26" i="6"/>
  <c r="AJ53" i="6"/>
  <c r="AC21" i="6"/>
  <c r="AC16" i="6"/>
  <c r="AC10" i="6"/>
  <c r="AJ16" i="11" l="1"/>
  <c r="AK16" i="11" s="1"/>
  <c r="AK27" i="11" s="1"/>
  <c r="AK28" i="11" s="1"/>
  <c r="AH23" i="11"/>
  <c r="AH22" i="11"/>
  <c r="AH5" i="11"/>
  <c r="AC60" i="6"/>
  <c r="Y35" i="10"/>
  <c r="AC88" i="8"/>
  <c r="AC35" i="10"/>
  <c r="AG31" i="10"/>
  <c r="AG26" i="10"/>
  <c r="AG21" i="10"/>
  <c r="AG16" i="10"/>
  <c r="V31" i="10"/>
  <c r="V21" i="10"/>
  <c r="V16" i="10"/>
  <c r="Z10" i="9"/>
  <c r="AD21" i="6"/>
  <c r="AF26" i="10"/>
  <c r="AJ53" i="8"/>
  <c r="AD35" i="10" l="1"/>
  <c r="AF31" i="10"/>
  <c r="AH31" i="10" s="1"/>
  <c r="AF16" i="10"/>
  <c r="AH16" i="10" s="1"/>
  <c r="AF21" i="10"/>
  <c r="AH21" i="10" s="1"/>
  <c r="AH26" i="10"/>
  <c r="V10" i="10"/>
  <c r="AF10" i="10" s="1"/>
  <c r="J10" i="10"/>
  <c r="AG10" i="10" s="1"/>
  <c r="V4" i="10"/>
  <c r="J4" i="10"/>
  <c r="AG4" i="10" s="1"/>
  <c r="AE41" i="9"/>
  <c r="AC41" i="9"/>
  <c r="AB41" i="9"/>
  <c r="AA41" i="9"/>
  <c r="Z41" i="9"/>
  <c r="Y41" i="9"/>
  <c r="V36" i="9"/>
  <c r="AF36" i="9" s="1"/>
  <c r="J36" i="9"/>
  <c r="AG36" i="9" s="1"/>
  <c r="V31" i="9"/>
  <c r="AF31" i="9" s="1"/>
  <c r="J31" i="9"/>
  <c r="AG31" i="9" s="1"/>
  <c r="J75" i="8"/>
  <c r="AG75" i="8" s="1"/>
  <c r="J81" i="8"/>
  <c r="AG81" i="8" s="1"/>
  <c r="V16" i="9"/>
  <c r="AF16" i="9" s="1"/>
  <c r="J16" i="9"/>
  <c r="AG16" i="9" s="1"/>
  <c r="J10" i="9"/>
  <c r="AG10" i="9" s="1"/>
  <c r="J4" i="9"/>
  <c r="AG4" i="9" s="1"/>
  <c r="V26" i="9"/>
  <c r="AF26" i="9" s="1"/>
  <c r="J26" i="9"/>
  <c r="AG26" i="9" s="1"/>
  <c r="V21" i="9"/>
  <c r="AF21" i="9" s="1"/>
  <c r="J21" i="9"/>
  <c r="AG21" i="9" s="1"/>
  <c r="AD41" i="9"/>
  <c r="V10" i="9"/>
  <c r="AF10" i="9" s="1"/>
  <c r="V4" i="9"/>
  <c r="AF4" i="9" s="1"/>
  <c r="J69" i="8"/>
  <c r="AG69" i="8" s="1"/>
  <c r="J62" i="8"/>
  <c r="AG62" i="8" s="1"/>
  <c r="J56" i="8"/>
  <c r="AG56" i="8" s="1"/>
  <c r="J50" i="8"/>
  <c r="AG50" i="8" s="1"/>
  <c r="J44" i="8"/>
  <c r="AG44" i="8" s="1"/>
  <c r="J38" i="8"/>
  <c r="J32" i="8"/>
  <c r="V81" i="8"/>
  <c r="AF81" i="8" s="1"/>
  <c r="V75" i="8"/>
  <c r="AF75" i="8" s="1"/>
  <c r="V69" i="8"/>
  <c r="AF69" i="8" s="1"/>
  <c r="J10" i="8"/>
  <c r="V56" i="8"/>
  <c r="AF56" i="8" s="1"/>
  <c r="V62" i="8"/>
  <c r="AF62" i="8" s="1"/>
  <c r="V35" i="10" l="1"/>
  <c r="AG35" i="10"/>
  <c r="AF4" i="10"/>
  <c r="AH10" i="10"/>
  <c r="AH12" i="10" s="1"/>
  <c r="AH17" i="10"/>
  <c r="AH18" i="10"/>
  <c r="AH33" i="10"/>
  <c r="AH32" i="10"/>
  <c r="AH27" i="10"/>
  <c r="AH28" i="10"/>
  <c r="V41" i="9"/>
  <c r="AG41" i="9"/>
  <c r="AH36" i="9"/>
  <c r="AH38" i="9" s="1"/>
  <c r="AF41" i="9"/>
  <c r="AH31" i="9"/>
  <c r="AH32" i="9" s="1"/>
  <c r="AH26" i="9"/>
  <c r="AH10" i="9"/>
  <c r="AH12" i="9" s="1"/>
  <c r="AH4" i="9"/>
  <c r="AH21" i="9"/>
  <c r="AH81" i="8"/>
  <c r="AH82" i="8" s="1"/>
  <c r="AH75" i="8"/>
  <c r="AH76" i="8" s="1"/>
  <c r="AH69" i="8"/>
  <c r="AA56" i="6"/>
  <c r="AA50" i="6"/>
  <c r="AA44" i="6"/>
  <c r="AA38" i="6"/>
  <c r="AA32" i="6"/>
  <c r="AA26" i="6"/>
  <c r="AA21" i="6"/>
  <c r="AA16" i="6"/>
  <c r="AA10" i="6"/>
  <c r="AH4" i="10" l="1"/>
  <c r="AJ16" i="10" s="1"/>
  <c r="AK16" i="10" s="1"/>
  <c r="AF35" i="10"/>
  <c r="AA60" i="6"/>
  <c r="AH5" i="9"/>
  <c r="AH11" i="10"/>
  <c r="AH23" i="10"/>
  <c r="AH22" i="10"/>
  <c r="AH37" i="9"/>
  <c r="AH33" i="9"/>
  <c r="AH28" i="9"/>
  <c r="AH27" i="9"/>
  <c r="AH11" i="9"/>
  <c r="AH16" i="9"/>
  <c r="AH17" i="9" s="1"/>
  <c r="AH23" i="9"/>
  <c r="AH22" i="9"/>
  <c r="AH6" i="9"/>
  <c r="AH83" i="8"/>
  <c r="AH77" i="8"/>
  <c r="AH71" i="8"/>
  <c r="AH70" i="8"/>
  <c r="V4" i="8"/>
  <c r="V44" i="8"/>
  <c r="AF44" i="8" s="1"/>
  <c r="AH44" i="8" s="1"/>
  <c r="V50" i="8"/>
  <c r="V38" i="8"/>
  <c r="J16" i="8"/>
  <c r="AG16" i="8" s="1"/>
  <c r="AH62" i="8"/>
  <c r="AH64" i="8" s="1"/>
  <c r="AH56" i="8"/>
  <c r="AH57" i="8" s="1"/>
  <c r="J26" i="8"/>
  <c r="AG26" i="8" s="1"/>
  <c r="J21" i="8"/>
  <c r="AG21" i="8" s="1"/>
  <c r="AG38" i="8"/>
  <c r="AG32" i="8"/>
  <c r="V32" i="8"/>
  <c r="AD56" i="6"/>
  <c r="V56" i="6"/>
  <c r="J56" i="6"/>
  <c r="AG56" i="6" s="1"/>
  <c r="J50" i="6"/>
  <c r="V26" i="8"/>
  <c r="V21" i="8"/>
  <c r="V16" i="8"/>
  <c r="AG10" i="8"/>
  <c r="V10" i="8"/>
  <c r="J4" i="8"/>
  <c r="AG4" i="8" s="1"/>
  <c r="AH6" i="10" l="1"/>
  <c r="AF26" i="8"/>
  <c r="AH26" i="8" s="1"/>
  <c r="AH27" i="8" s="1"/>
  <c r="AH5" i="10"/>
  <c r="V88" i="8"/>
  <c r="AG88" i="8"/>
  <c r="AD88" i="8"/>
  <c r="AF50" i="8"/>
  <c r="AH50" i="8" s="1"/>
  <c r="AH52" i="8" s="1"/>
  <c r="AJ16" i="9"/>
  <c r="AK16" i="9" s="1"/>
  <c r="AF38" i="8"/>
  <c r="AH38" i="8" s="1"/>
  <c r="AH40" i="8" s="1"/>
  <c r="AH18" i="9"/>
  <c r="AF4" i="8"/>
  <c r="AF21" i="8"/>
  <c r="AH21" i="8" s="1"/>
  <c r="AF10" i="8"/>
  <c r="AH10" i="8" s="1"/>
  <c r="AF16" i="8"/>
  <c r="AH16" i="8" s="1"/>
  <c r="AH18" i="8" s="1"/>
  <c r="AH58" i="8"/>
  <c r="AH63" i="8"/>
  <c r="AF32" i="8"/>
  <c r="AH32" i="8" s="1"/>
  <c r="AH33" i="8" s="1"/>
  <c r="AF56" i="6"/>
  <c r="J44" i="6"/>
  <c r="AG44" i="6" s="1"/>
  <c r="J38" i="6"/>
  <c r="AG38" i="6" s="1"/>
  <c r="J26" i="6"/>
  <c r="AG26" i="6" s="1"/>
  <c r="V21" i="6"/>
  <c r="J21" i="6"/>
  <c r="AG21" i="6" s="1"/>
  <c r="J61" i="5"/>
  <c r="AG61" i="5" s="1"/>
  <c r="AE65" i="5"/>
  <c r="AB65" i="5"/>
  <c r="AA65" i="5"/>
  <c r="Z65" i="5"/>
  <c r="AD51" i="5"/>
  <c r="AC51" i="5"/>
  <c r="Y51" i="5"/>
  <c r="V51" i="5"/>
  <c r="J51" i="5"/>
  <c r="AG51" i="5" s="1"/>
  <c r="J56" i="5"/>
  <c r="AG56" i="5" s="1"/>
  <c r="V56" i="5"/>
  <c r="Y56" i="5"/>
  <c r="AC56" i="5"/>
  <c r="AD56" i="5"/>
  <c r="J46" i="5"/>
  <c r="AG46" i="5" s="1"/>
  <c r="J4" i="6"/>
  <c r="AG4" i="6" s="1"/>
  <c r="AE80" i="4"/>
  <c r="AB80" i="4"/>
  <c r="Z80" i="4"/>
  <c r="AJ78" i="4"/>
  <c r="AJ14" i="7"/>
  <c r="AE16" i="7"/>
  <c r="AB16" i="7"/>
  <c r="AA16" i="7"/>
  <c r="Z16" i="7"/>
  <c r="AG10" i="7"/>
  <c r="AD10" i="7"/>
  <c r="AC10" i="7"/>
  <c r="Y10" i="7"/>
  <c r="V10" i="7"/>
  <c r="AG4" i="7"/>
  <c r="AD4" i="7"/>
  <c r="AC4" i="7"/>
  <c r="Y4" i="7"/>
  <c r="V4" i="7"/>
  <c r="Y60" i="6"/>
  <c r="AD4" i="6"/>
  <c r="AG50" i="6"/>
  <c r="AD50" i="6"/>
  <c r="V50" i="6"/>
  <c r="AD44" i="6"/>
  <c r="V44" i="6"/>
  <c r="AD38" i="6"/>
  <c r="V38" i="6"/>
  <c r="AD32" i="6"/>
  <c r="V32" i="6"/>
  <c r="J32" i="6"/>
  <c r="AG32" i="6" s="1"/>
  <c r="AD26" i="6"/>
  <c r="V26" i="6"/>
  <c r="AD16" i="6"/>
  <c r="V16" i="6"/>
  <c r="J16" i="6"/>
  <c r="AG16" i="6" s="1"/>
  <c r="AD10" i="6"/>
  <c r="V10" i="6"/>
  <c r="J10" i="6"/>
  <c r="AG10" i="6" s="1"/>
  <c r="V4" i="6"/>
  <c r="AJ53" i="5"/>
  <c r="AD61" i="5"/>
  <c r="Y61" i="5"/>
  <c r="V61" i="5"/>
  <c r="AC46" i="5"/>
  <c r="AC40" i="5"/>
  <c r="AC34" i="5"/>
  <c r="AC28" i="5"/>
  <c r="AC22" i="5"/>
  <c r="AC16" i="5"/>
  <c r="AC10" i="5"/>
  <c r="AC4" i="5"/>
  <c r="AD46" i="5"/>
  <c r="Y46" i="5"/>
  <c r="V46" i="5"/>
  <c r="AD40" i="5"/>
  <c r="Y40" i="5"/>
  <c r="V40" i="5"/>
  <c r="J40" i="5"/>
  <c r="AG40" i="5" s="1"/>
  <c r="AD34" i="5"/>
  <c r="Y34" i="5"/>
  <c r="V34" i="5"/>
  <c r="J34" i="5"/>
  <c r="AG34" i="5" s="1"/>
  <c r="AD28" i="5"/>
  <c r="Y28" i="5"/>
  <c r="V28" i="5"/>
  <c r="J28" i="5"/>
  <c r="AG28" i="5" s="1"/>
  <c r="AD22" i="5"/>
  <c r="Y22" i="5"/>
  <c r="V22" i="5"/>
  <c r="J22" i="5"/>
  <c r="AG22" i="5" s="1"/>
  <c r="AD16" i="5"/>
  <c r="Y16" i="5"/>
  <c r="V16" i="5"/>
  <c r="J16" i="5"/>
  <c r="AG16" i="5" s="1"/>
  <c r="AD10" i="5"/>
  <c r="Y10" i="5"/>
  <c r="V10" i="5"/>
  <c r="J10" i="5"/>
  <c r="AG10" i="5" s="1"/>
  <c r="AD4" i="5"/>
  <c r="Y4" i="5"/>
  <c r="V4" i="5"/>
  <c r="J4" i="5"/>
  <c r="AG4" i="5" s="1"/>
  <c r="AD77" i="4"/>
  <c r="AC77" i="4"/>
  <c r="AA77" i="4"/>
  <c r="Y77" i="4"/>
  <c r="V77" i="4"/>
  <c r="J77" i="4"/>
  <c r="AG77" i="4" s="1"/>
  <c r="AD71" i="4"/>
  <c r="AC71" i="4"/>
  <c r="AA71" i="4"/>
  <c r="Y71" i="4"/>
  <c r="V71" i="4"/>
  <c r="J71" i="4"/>
  <c r="AG71" i="4" s="1"/>
  <c r="AD65" i="4"/>
  <c r="AC65" i="4"/>
  <c r="AA65" i="4"/>
  <c r="Y65" i="4"/>
  <c r="V65" i="4"/>
  <c r="J65" i="4"/>
  <c r="AG65" i="4" s="1"/>
  <c r="AD59" i="4"/>
  <c r="V59" i="4"/>
  <c r="J59" i="4"/>
  <c r="AG59" i="4" s="1"/>
  <c r="AD53" i="4"/>
  <c r="V53" i="4"/>
  <c r="J53" i="4"/>
  <c r="AG53" i="4" s="1"/>
  <c r="AD47" i="4"/>
  <c r="V47" i="4"/>
  <c r="J47" i="4"/>
  <c r="AG47" i="4" s="1"/>
  <c r="AD41" i="4"/>
  <c r="V41" i="4"/>
  <c r="J41" i="4"/>
  <c r="AG41" i="4" s="1"/>
  <c r="AD35" i="4"/>
  <c r="V35" i="4"/>
  <c r="J35" i="4"/>
  <c r="AG35" i="4" s="1"/>
  <c r="AD29" i="4"/>
  <c r="AC29" i="4"/>
  <c r="Y29" i="4"/>
  <c r="V29" i="4"/>
  <c r="J29" i="4"/>
  <c r="AG29" i="4" s="1"/>
  <c r="AD23" i="4"/>
  <c r="V23" i="4"/>
  <c r="J23" i="4"/>
  <c r="AG23" i="4" s="1"/>
  <c r="AD17" i="4"/>
  <c r="V17" i="4"/>
  <c r="J17" i="4"/>
  <c r="AG17" i="4" s="1"/>
  <c r="AD11" i="4"/>
  <c r="AC11" i="4"/>
  <c r="Y11" i="4"/>
  <c r="V11" i="4"/>
  <c r="J11" i="4"/>
  <c r="AG11" i="4" s="1"/>
  <c r="AD4" i="4"/>
  <c r="AC4" i="4"/>
  <c r="Y4" i="4"/>
  <c r="V4" i="4"/>
  <c r="J4" i="4"/>
  <c r="AG4" i="4" s="1"/>
  <c r="AE32" i="3"/>
  <c r="AB32" i="3"/>
  <c r="AA32" i="3"/>
  <c r="Z32" i="3"/>
  <c r="AJ31" i="3"/>
  <c r="AD28" i="3"/>
  <c r="V28" i="3"/>
  <c r="J28" i="3"/>
  <c r="AG28" i="3" s="1"/>
  <c r="AD22" i="3"/>
  <c r="AC22" i="3"/>
  <c r="Y22" i="3"/>
  <c r="V22" i="3"/>
  <c r="J22" i="3"/>
  <c r="AG22" i="3" s="1"/>
  <c r="AD16" i="3"/>
  <c r="AC16" i="3"/>
  <c r="Y16" i="3"/>
  <c r="V16" i="3"/>
  <c r="J16" i="3"/>
  <c r="AG16" i="3" s="1"/>
  <c r="AD10" i="3"/>
  <c r="AC10" i="3"/>
  <c r="Y10" i="3"/>
  <c r="V10" i="3"/>
  <c r="J10" i="3"/>
  <c r="AG10" i="3" s="1"/>
  <c r="AD4" i="3"/>
  <c r="V4" i="3"/>
  <c r="J4" i="3"/>
  <c r="AG4" i="3" s="1"/>
  <c r="AE73" i="2"/>
  <c r="AB73" i="2"/>
  <c r="AA73" i="2"/>
  <c r="Z73" i="2"/>
  <c r="AD69" i="2"/>
  <c r="V69" i="2"/>
  <c r="J69" i="2"/>
  <c r="AG69" i="2" s="1"/>
  <c r="AD64" i="2"/>
  <c r="Y64" i="2"/>
  <c r="V64" i="2"/>
  <c r="J64" i="2"/>
  <c r="AG64" i="2" s="1"/>
  <c r="AJ63" i="2"/>
  <c r="AJ59" i="2"/>
  <c r="AD58" i="2"/>
  <c r="Y58" i="2"/>
  <c r="V58" i="2"/>
  <c r="J58" i="2"/>
  <c r="AG58" i="2" s="1"/>
  <c r="AD52" i="2"/>
  <c r="Y52" i="2"/>
  <c r="V52" i="2"/>
  <c r="J52" i="2"/>
  <c r="AG52" i="2" s="1"/>
  <c r="AD46" i="2"/>
  <c r="Y46" i="2"/>
  <c r="V46" i="2"/>
  <c r="J46" i="2"/>
  <c r="AG46" i="2" s="1"/>
  <c r="AD40" i="2"/>
  <c r="V40" i="2"/>
  <c r="J40" i="2"/>
  <c r="AG40" i="2" s="1"/>
  <c r="AD34" i="2"/>
  <c r="AC34" i="2"/>
  <c r="Y34" i="2"/>
  <c r="V34" i="2"/>
  <c r="J34" i="2"/>
  <c r="AG34" i="2" s="1"/>
  <c r="AD28" i="2"/>
  <c r="AC28" i="2"/>
  <c r="Y28" i="2"/>
  <c r="V28" i="2"/>
  <c r="J28" i="2"/>
  <c r="AG28" i="2" s="1"/>
  <c r="AD22" i="2"/>
  <c r="V22" i="2"/>
  <c r="J22" i="2"/>
  <c r="AG22" i="2" s="1"/>
  <c r="AD16" i="2"/>
  <c r="Y16" i="2"/>
  <c r="V16" i="2"/>
  <c r="J16" i="2"/>
  <c r="AG16" i="2" s="1"/>
  <c r="AD10" i="2"/>
  <c r="Y10" i="2"/>
  <c r="V10" i="2"/>
  <c r="J10" i="2"/>
  <c r="AG10" i="2" s="1"/>
  <c r="AD4" i="2"/>
  <c r="Y4" i="2"/>
  <c r="V4" i="2"/>
  <c r="J4" i="2"/>
  <c r="AG4" i="2" s="1"/>
  <c r="AH51" i="8" l="1"/>
  <c r="AD60" i="6"/>
  <c r="AG60" i="6"/>
  <c r="AF88" i="8"/>
  <c r="AH11" i="8"/>
  <c r="AH12" i="8"/>
  <c r="V60" i="6"/>
  <c r="AH4" i="8"/>
  <c r="AH17" i="8"/>
  <c r="AH34" i="8"/>
  <c r="AH28" i="8"/>
  <c r="AH39" i="8"/>
  <c r="AH56" i="6"/>
  <c r="AH58" i="6" s="1"/>
  <c r="AH46" i="8"/>
  <c r="AH45" i="8"/>
  <c r="AH23" i="8"/>
  <c r="AH22" i="8"/>
  <c r="AF21" i="6"/>
  <c r="AH21" i="6" s="1"/>
  <c r="V16" i="7"/>
  <c r="AG16" i="7"/>
  <c r="V80" i="4"/>
  <c r="Y80" i="4"/>
  <c r="AF59" i="4"/>
  <c r="AH59" i="4" s="1"/>
  <c r="AF40" i="2"/>
  <c r="AH40" i="2" s="1"/>
  <c r="AH42" i="2" s="1"/>
  <c r="AC80" i="4"/>
  <c r="AA80" i="4"/>
  <c r="V65" i="5"/>
  <c r="AC16" i="7"/>
  <c r="Y16" i="7"/>
  <c r="AF69" i="2"/>
  <c r="AH69" i="2" s="1"/>
  <c r="AH71" i="2" s="1"/>
  <c r="AG80" i="4"/>
  <c r="AD80" i="4"/>
  <c r="AD16" i="7"/>
  <c r="Y65" i="5"/>
  <c r="AF56" i="5"/>
  <c r="AH56" i="5" s="1"/>
  <c r="AH57" i="5" s="1"/>
  <c r="AD65" i="5"/>
  <c r="AC65" i="5"/>
  <c r="AG65" i="5"/>
  <c r="AF51" i="5"/>
  <c r="AH51" i="5" s="1"/>
  <c r="AF10" i="7"/>
  <c r="AH10" i="7" s="1"/>
  <c r="AH12" i="7" s="1"/>
  <c r="AF4" i="7"/>
  <c r="AF38" i="6"/>
  <c r="AH38" i="6" s="1"/>
  <c r="AF10" i="6"/>
  <c r="AH10" i="6" s="1"/>
  <c r="AH12" i="6" s="1"/>
  <c r="AF16" i="6"/>
  <c r="AH16" i="6" s="1"/>
  <c r="AF26" i="6"/>
  <c r="AF32" i="6"/>
  <c r="AH32" i="6" s="1"/>
  <c r="AF44" i="6"/>
  <c r="AH44" i="6" s="1"/>
  <c r="AF50" i="6"/>
  <c r="AH50" i="6" s="1"/>
  <c r="AH52" i="6" s="1"/>
  <c r="AF4" i="6"/>
  <c r="AF4" i="5"/>
  <c r="AH4" i="5" s="1"/>
  <c r="AF40" i="5"/>
  <c r="AH40" i="5" s="1"/>
  <c r="AF61" i="5"/>
  <c r="AH61" i="5" s="1"/>
  <c r="AF16" i="5"/>
  <c r="AH16" i="5" s="1"/>
  <c r="AF22" i="5"/>
  <c r="AH22" i="5" s="1"/>
  <c r="AF28" i="5"/>
  <c r="AH28" i="5" s="1"/>
  <c r="AH30" i="5" s="1"/>
  <c r="AF46" i="5"/>
  <c r="AF10" i="5"/>
  <c r="AH10" i="5" s="1"/>
  <c r="AH12" i="5" s="1"/>
  <c r="AF34" i="5"/>
  <c r="AH34" i="5" s="1"/>
  <c r="AF23" i="4"/>
  <c r="AH23" i="4" s="1"/>
  <c r="AH25" i="4" s="1"/>
  <c r="AF41" i="4"/>
  <c r="AH41" i="4" s="1"/>
  <c r="AF35" i="4"/>
  <c r="AH35" i="4" s="1"/>
  <c r="AH37" i="4" s="1"/>
  <c r="AF53" i="4"/>
  <c r="AH53" i="4" s="1"/>
  <c r="AH55" i="4" s="1"/>
  <c r="AF47" i="4"/>
  <c r="AH47" i="4" s="1"/>
  <c r="AH49" i="4" s="1"/>
  <c r="AF17" i="4"/>
  <c r="AH17" i="4" s="1"/>
  <c r="AH19" i="4" s="1"/>
  <c r="AF29" i="4"/>
  <c r="AH29" i="4" s="1"/>
  <c r="AH31" i="4" s="1"/>
  <c r="AF65" i="4"/>
  <c r="AH65" i="4" s="1"/>
  <c r="AH67" i="4" s="1"/>
  <c r="AF71" i="4"/>
  <c r="AH71" i="4" s="1"/>
  <c r="AH73" i="4" s="1"/>
  <c r="AC32" i="3"/>
  <c r="AF28" i="3"/>
  <c r="AH28" i="3" s="1"/>
  <c r="AH30" i="3" s="1"/>
  <c r="AD32" i="3"/>
  <c r="Y32" i="3"/>
  <c r="AF22" i="3"/>
  <c r="AH22" i="3" s="1"/>
  <c r="AH24" i="3" s="1"/>
  <c r="AF34" i="2"/>
  <c r="AH34" i="2" s="1"/>
  <c r="AH36" i="2" s="1"/>
  <c r="AF46" i="2"/>
  <c r="AH46" i="2" s="1"/>
  <c r="AH48" i="2" s="1"/>
  <c r="AF64" i="2"/>
  <c r="AH64" i="2" s="1"/>
  <c r="AH66" i="2" s="1"/>
  <c r="AF4" i="2"/>
  <c r="AH4" i="2" s="1"/>
  <c r="AH6" i="2" s="1"/>
  <c r="AC73" i="2"/>
  <c r="AF22" i="2"/>
  <c r="AH22" i="2" s="1"/>
  <c r="AF16" i="2"/>
  <c r="AH16" i="2" s="1"/>
  <c r="AH18" i="2" s="1"/>
  <c r="AF58" i="2"/>
  <c r="AH58" i="2" s="1"/>
  <c r="AF77" i="4"/>
  <c r="AH77" i="4" s="1"/>
  <c r="AH79" i="4" s="1"/>
  <c r="AF4" i="4"/>
  <c r="AF11" i="4"/>
  <c r="AH11" i="4" s="1"/>
  <c r="AH13" i="4" s="1"/>
  <c r="AG32" i="3"/>
  <c r="AF4" i="3"/>
  <c r="AH4" i="3" s="1"/>
  <c r="AH6" i="3" s="1"/>
  <c r="AF10" i="3"/>
  <c r="AH10" i="3" s="1"/>
  <c r="AH12" i="3" s="1"/>
  <c r="V32" i="3"/>
  <c r="AF16" i="3"/>
  <c r="AH16" i="3" s="1"/>
  <c r="AH18" i="3" s="1"/>
  <c r="V73" i="2"/>
  <c r="AG73" i="2"/>
  <c r="AF10" i="2"/>
  <c r="AH10" i="2" s="1"/>
  <c r="AH12" i="2" s="1"/>
  <c r="Y73" i="2"/>
  <c r="AD73" i="2"/>
  <c r="AF28" i="2"/>
  <c r="AH28" i="2" s="1"/>
  <c r="AH30" i="2" s="1"/>
  <c r="AF52" i="2"/>
  <c r="AH23" i="2" l="1"/>
  <c r="AH24" i="2"/>
  <c r="AH59" i="2"/>
  <c r="AH60" i="2"/>
  <c r="AH60" i="4"/>
  <c r="AH61" i="4"/>
  <c r="AH42" i="4"/>
  <c r="AH43" i="4"/>
  <c r="AH4" i="6"/>
  <c r="AH5" i="6" s="1"/>
  <c r="AF60" i="6"/>
  <c r="AH6" i="8"/>
  <c r="AJ54" i="8"/>
  <c r="AK54" i="8" s="1"/>
  <c r="AH5" i="8"/>
  <c r="AF16" i="7"/>
  <c r="AH57" i="6"/>
  <c r="AH26" i="6"/>
  <c r="AH27" i="6" s="1"/>
  <c r="AH22" i="6"/>
  <c r="AH23" i="6"/>
  <c r="AH51" i="6"/>
  <c r="AH70" i="2"/>
  <c r="AH41" i="2"/>
  <c r="AH66" i="4"/>
  <c r="AF80" i="4"/>
  <c r="AH46" i="5"/>
  <c r="AH48" i="5" s="1"/>
  <c r="AF65" i="5"/>
  <c r="AH53" i="5"/>
  <c r="AH52" i="5"/>
  <c r="AH24" i="4"/>
  <c r="AH4" i="7"/>
  <c r="AH6" i="7" s="1"/>
  <c r="AH11" i="7"/>
  <c r="AH58" i="5"/>
  <c r="AH11" i="6"/>
  <c r="AH18" i="6"/>
  <c r="AH17" i="6"/>
  <c r="AH46" i="6"/>
  <c r="AH45" i="6"/>
  <c r="AH33" i="6"/>
  <c r="AH34" i="6"/>
  <c r="AH40" i="6"/>
  <c r="AH39" i="6"/>
  <c r="AH29" i="5"/>
  <c r="AH6" i="5"/>
  <c r="AH18" i="5"/>
  <c r="AH17" i="5"/>
  <c r="AH5" i="5"/>
  <c r="AH63" i="5"/>
  <c r="AH62" i="5"/>
  <c r="AH11" i="5"/>
  <c r="AH36" i="4"/>
  <c r="AH48" i="4"/>
  <c r="AH4" i="4"/>
  <c r="AH29" i="3"/>
  <c r="AH17" i="2"/>
  <c r="AF73" i="2"/>
  <c r="AH36" i="5"/>
  <c r="AH35" i="5"/>
  <c r="AH24" i="5"/>
  <c r="AH23" i="5"/>
  <c r="AH42" i="5"/>
  <c r="AH41" i="5"/>
  <c r="AH78" i="4"/>
  <c r="AH72" i="4"/>
  <c r="AH30" i="4"/>
  <c r="AH54" i="4"/>
  <c r="AH18" i="4"/>
  <c r="AH12" i="4"/>
  <c r="AH11" i="3"/>
  <c r="AH17" i="3"/>
  <c r="AH23" i="3"/>
  <c r="AF32" i="3"/>
  <c r="AH5" i="3"/>
  <c r="AJ32" i="3"/>
  <c r="AJ33" i="3" s="1"/>
  <c r="AH29" i="2"/>
  <c r="AH65" i="2"/>
  <c r="AH11" i="2"/>
  <c r="AH47" i="2"/>
  <c r="AH52" i="2"/>
  <c r="AH54" i="2" s="1"/>
  <c r="AH35" i="2"/>
  <c r="AH5" i="2"/>
  <c r="AJ79" i="4" l="1"/>
  <c r="AH6" i="4"/>
  <c r="AH6" i="6"/>
  <c r="AJ54" i="5"/>
  <c r="AK54" i="5" s="1"/>
  <c r="AJ54" i="6"/>
  <c r="AK54" i="6" s="1"/>
  <c r="AH28" i="6"/>
  <c r="AH47" i="5"/>
  <c r="AJ15" i="7"/>
  <c r="AJ16" i="7" s="1"/>
  <c r="AH5" i="7"/>
  <c r="AH5" i="4"/>
  <c r="AK32" i="3"/>
  <c r="AH53" i="2"/>
  <c r="AJ60" i="2"/>
  <c r="AK15" i="7" l="1"/>
  <c r="AJ55" i="5"/>
  <c r="AK79" i="4"/>
  <c r="AJ80" i="4"/>
  <c r="AJ64" i="2"/>
  <c r="AJ61" i="2"/>
  <c r="AE24" i="1"/>
  <c r="AC24" i="1"/>
  <c r="AB24" i="1"/>
  <c r="Z24" i="1"/>
  <c r="Y24" i="1"/>
  <c r="AD22" i="1"/>
  <c r="AD16" i="1"/>
  <c r="AD10" i="1"/>
  <c r="AD4" i="1"/>
  <c r="V22" i="1"/>
  <c r="J22" i="1"/>
  <c r="AG22" i="1" s="1"/>
  <c r="AI15" i="1"/>
  <c r="AI21" i="1" s="1"/>
  <c r="V16" i="1"/>
  <c r="J16" i="1"/>
  <c r="AG16" i="1" s="1"/>
  <c r="V10" i="1"/>
  <c r="J10" i="1"/>
  <c r="AG10" i="1" s="1"/>
  <c r="V4" i="1"/>
  <c r="J4" i="1"/>
  <c r="AG4" i="1" s="1"/>
  <c r="AF4" i="1" l="1"/>
  <c r="AH4" i="1" s="1"/>
  <c r="AH6" i="1" s="1"/>
  <c r="AJ65" i="2"/>
  <c r="AK64" i="2"/>
  <c r="AF22" i="1"/>
  <c r="AH22" i="1" s="1"/>
  <c r="AF10" i="1"/>
  <c r="AH10" i="1" s="1"/>
  <c r="AH12" i="1" s="1"/>
  <c r="AG24" i="1"/>
  <c r="AF16" i="1"/>
  <c r="AD24" i="1"/>
  <c r="V24" i="1"/>
  <c r="AH23" i="1" l="1"/>
  <c r="AH24" i="1"/>
  <c r="AF24" i="1"/>
  <c r="AH16" i="1"/>
  <c r="AH18" i="1" s="1"/>
  <c r="AH5" i="1"/>
  <c r="AH11" i="1"/>
  <c r="AH17" i="1" l="1"/>
  <c r="AI16" i="1"/>
  <c r="AI22" i="1" s="1"/>
  <c r="AI17" i="1" l="1"/>
  <c r="AI23" i="1"/>
  <c r="AJ22" i="1"/>
  <c r="AH76" i="68" l="1"/>
  <c r="AL17" i="68" l="1"/>
  <c r="AM17" i="68" s="1"/>
  <c r="AH115" i="68"/>
  <c r="AH78" i="68"/>
  <c r="AH77" i="68"/>
  <c r="J84" i="78" l="1"/>
  <c r="AG84" i="78" s="1"/>
  <c r="V84" i="78"/>
  <c r="V104" i="78" s="1"/>
  <c r="AG104" i="78" l="1"/>
  <c r="AF84" i="78"/>
  <c r="AF104" i="78" s="1"/>
  <c r="AL3" i="78" l="1"/>
  <c r="C4" i="83" s="1"/>
  <c r="D44" i="83"/>
  <c r="D72" i="83" s="1"/>
  <c r="AH84" i="78"/>
  <c r="D74" i="83" l="1"/>
  <c r="AH104" i="78"/>
  <c r="AL15" i="78"/>
  <c r="AL33" i="78" s="1"/>
  <c r="AL39" i="78"/>
  <c r="AL40" i="78" s="1"/>
  <c r="AL41" i="78" s="1"/>
  <c r="AH86" i="78"/>
  <c r="AH85" i="78"/>
  <c r="AJ69" i="78" l="1"/>
  <c r="AJ54" i="78"/>
  <c r="AJ64" i="78"/>
  <c r="AJ19" i="78"/>
  <c r="AJ14" i="78"/>
  <c r="AJ39" i="78"/>
  <c r="AJ49" i="78"/>
  <c r="AJ44" i="78"/>
  <c r="AJ24" i="78"/>
  <c r="AJ59" i="78"/>
  <c r="AJ74" i="78"/>
  <c r="AJ29" i="78"/>
  <c r="AJ34" i="78"/>
  <c r="AJ94" i="78"/>
  <c r="AJ99" i="78"/>
  <c r="AJ79" i="78"/>
  <c r="AJ89" i="78"/>
  <c r="AJ9" i="78"/>
  <c r="AJ84" i="78"/>
  <c r="AL34" i="78"/>
  <c r="AM15" i="78"/>
  <c r="AI104" i="78" l="1"/>
  <c r="AM3" i="78" s="1"/>
  <c r="E44" i="83" s="1"/>
  <c r="F44" i="83" s="1"/>
  <c r="AJ4" i="78"/>
  <c r="AJ104" i="78" s="1"/>
  <c r="AL26" i="75"/>
  <c r="AL27" i="75" s="1"/>
  <c r="AL30" i="75"/>
  <c r="AL31" i="75" s="1"/>
  <c r="AM4" i="78" l="1"/>
  <c r="AJ4" i="75"/>
  <c r="AJ44" i="75" s="1"/>
  <c r="AM4" i="75" s="1"/>
  <c r="AL25" i="71"/>
  <c r="AL26" i="71" s="1"/>
  <c r="AL34" i="71"/>
  <c r="AL35" i="71" s="1"/>
  <c r="AI89" i="71"/>
  <c r="AM3" i="71" s="1"/>
  <c r="E37" i="83" s="1"/>
  <c r="F37" i="83" s="1"/>
  <c r="AJ4" i="71" l="1"/>
  <c r="AJ89" i="71" s="1"/>
  <c r="AM4" i="71" s="1"/>
  <c r="AJ44" i="76" l="1"/>
  <c r="AL33" i="76"/>
  <c r="AL34" i="76" s="1"/>
  <c r="AL37" i="76" s="1"/>
  <c r="AJ49" i="76"/>
  <c r="AJ39" i="76"/>
  <c r="AJ19" i="76"/>
  <c r="AJ24" i="76"/>
  <c r="AJ29" i="76"/>
  <c r="AJ4" i="76"/>
  <c r="AJ34" i="76"/>
  <c r="AJ54" i="76"/>
  <c r="AJ14" i="76"/>
  <c r="AL28" i="76"/>
  <c r="AL29" i="76" s="1"/>
  <c r="AJ9" i="76" l="1"/>
  <c r="AJ59" i="76" s="1"/>
  <c r="AI59" i="76"/>
  <c r="AM3" i="76" s="1"/>
  <c r="E43" i="83" s="1"/>
  <c r="F43" i="83" s="1"/>
  <c r="AJ34" i="60"/>
  <c r="AJ46" i="60"/>
  <c r="AJ22" i="60"/>
  <c r="AL23" i="60"/>
  <c r="AL24" i="60" s="1"/>
  <c r="AJ16" i="60"/>
  <c r="AJ10" i="60"/>
  <c r="AJ40" i="60"/>
  <c r="AJ28" i="60"/>
  <c r="AJ52" i="60"/>
  <c r="AJ58" i="60"/>
  <c r="AJ4" i="60"/>
  <c r="AM4" i="76" l="1"/>
  <c r="AI64" i="60"/>
  <c r="AM3" i="60" s="1"/>
  <c r="AJ64" i="60"/>
  <c r="E26" i="83" l="1"/>
  <c r="F26" i="83" s="1"/>
  <c r="AM4" i="60"/>
  <c r="AL29" i="61"/>
  <c r="AL30" i="61" s="1"/>
  <c r="AL32" i="61" s="1"/>
  <c r="AJ52" i="61"/>
  <c r="AJ28" i="61"/>
  <c r="AJ10" i="61"/>
  <c r="AJ58" i="61"/>
  <c r="AJ40" i="61"/>
  <c r="AJ46" i="61"/>
  <c r="AJ16" i="61"/>
  <c r="AJ70" i="61"/>
  <c r="AJ64" i="61"/>
  <c r="AJ34" i="61"/>
  <c r="AJ4" i="61"/>
  <c r="AJ22" i="61"/>
  <c r="AI75" i="61" l="1"/>
  <c r="AM3" i="61" s="1"/>
  <c r="AJ75" i="61"/>
  <c r="E27" i="83" l="1"/>
  <c r="F27" i="83" s="1"/>
  <c r="AM4" i="61"/>
  <c r="AJ10" i="63"/>
  <c r="AJ64" i="63"/>
  <c r="AJ46" i="63"/>
  <c r="AJ22" i="63"/>
  <c r="AJ34" i="63"/>
  <c r="AJ70" i="63"/>
  <c r="AJ16" i="63"/>
  <c r="AL32" i="63"/>
  <c r="AL33" i="63" s="1"/>
  <c r="AJ58" i="63"/>
  <c r="AJ28" i="63"/>
  <c r="AJ40" i="63"/>
  <c r="AJ4" i="63"/>
  <c r="AJ52" i="63"/>
  <c r="AJ75" i="63" l="1"/>
  <c r="AI75" i="63"/>
  <c r="AM3" i="63" s="1"/>
  <c r="AJ88" i="64"/>
  <c r="AJ76" i="64"/>
  <c r="AJ52" i="64"/>
  <c r="AJ34" i="64"/>
  <c r="AJ10" i="64"/>
  <c r="AJ46" i="64"/>
  <c r="AJ22" i="64"/>
  <c r="AJ82" i="64"/>
  <c r="AJ100" i="64"/>
  <c r="AJ58" i="64"/>
  <c r="AJ111" i="64"/>
  <c r="AJ70" i="64"/>
  <c r="AJ116" i="64"/>
  <c r="AJ40" i="64"/>
  <c r="AL29" i="64"/>
  <c r="AL30" i="64" s="1"/>
  <c r="AJ4" i="64"/>
  <c r="AJ28" i="64"/>
  <c r="AJ64" i="64"/>
  <c r="AJ16" i="64"/>
  <c r="AJ94" i="64"/>
  <c r="AJ122" i="64"/>
  <c r="AJ128" i="64"/>
  <c r="AJ106" i="64"/>
  <c r="E29" i="83" l="1"/>
  <c r="F29" i="83" s="1"/>
  <c r="AM4" i="63"/>
  <c r="AJ135" i="64"/>
  <c r="AI135" i="64"/>
  <c r="AM3" i="64" s="1"/>
  <c r="E30" i="83" s="1"/>
  <c r="F30" i="83" s="1"/>
  <c r="AJ28" i="65"/>
  <c r="AJ46" i="65"/>
  <c r="AJ10" i="65"/>
  <c r="AJ52" i="65"/>
  <c r="AJ16" i="65"/>
  <c r="AJ64" i="65"/>
  <c r="AJ82" i="65"/>
  <c r="AJ22" i="65"/>
  <c r="AJ4" i="65"/>
  <c r="AJ70" i="65"/>
  <c r="AJ40" i="65"/>
  <c r="AL30" i="65"/>
  <c r="AL31" i="65" s="1"/>
  <c r="AJ58" i="65"/>
  <c r="AJ76" i="65"/>
  <c r="AJ34" i="65"/>
  <c r="AM4" i="64" l="1"/>
  <c r="AJ88" i="65"/>
  <c r="AI88" i="65"/>
  <c r="AM3" i="65" s="1"/>
  <c r="E31" i="83" s="1"/>
  <c r="F31" i="83" s="1"/>
  <c r="AJ10" i="66"/>
  <c r="AJ34" i="66"/>
  <c r="AJ64" i="66"/>
  <c r="AJ70" i="66"/>
  <c r="AJ46" i="66"/>
  <c r="AJ52" i="66"/>
  <c r="AJ58" i="66"/>
  <c r="AJ16" i="66"/>
  <c r="AJ22" i="66"/>
  <c r="AJ40" i="66"/>
  <c r="AL30" i="66"/>
  <c r="AL31" i="66" s="1"/>
  <c r="AJ4" i="66"/>
  <c r="AJ28" i="66"/>
  <c r="AM4" i="65" l="1"/>
  <c r="AI75" i="66"/>
  <c r="AM3" i="66" s="1"/>
  <c r="E32" i="83" s="1"/>
  <c r="F32" i="83" s="1"/>
  <c r="AJ75" i="66"/>
  <c r="AM4" i="66" l="1"/>
  <c r="AL30" i="67"/>
  <c r="AL31" i="67" s="1"/>
  <c r="AJ16" i="67"/>
  <c r="AJ64" i="67"/>
  <c r="AJ34" i="67"/>
  <c r="AJ46" i="67"/>
  <c r="AJ40" i="67"/>
  <c r="AJ52" i="67"/>
  <c r="AJ76" i="67"/>
  <c r="AJ10" i="67"/>
  <c r="AJ70" i="67"/>
  <c r="AJ58" i="67"/>
  <c r="AJ22" i="67"/>
  <c r="AJ28" i="67"/>
  <c r="AJ4" i="67"/>
  <c r="AJ82" i="67" l="1"/>
  <c r="AI82" i="67"/>
  <c r="AM3" i="67" s="1"/>
  <c r="AJ111" i="68"/>
  <c r="AJ22" i="68"/>
  <c r="AJ52" i="68"/>
  <c r="AJ94" i="68"/>
  <c r="AJ76" i="68"/>
  <c r="AJ40" i="68"/>
  <c r="AJ88" i="68"/>
  <c r="AJ64" i="68"/>
  <c r="AJ46" i="68"/>
  <c r="AJ82" i="68"/>
  <c r="AJ106" i="68"/>
  <c r="AL30" i="68"/>
  <c r="AL31" i="68" s="1"/>
  <c r="AJ34" i="68"/>
  <c r="AJ16" i="68"/>
  <c r="AJ70" i="68"/>
  <c r="AJ100" i="68"/>
  <c r="AJ58" i="68"/>
  <c r="AJ28" i="68"/>
  <c r="AJ10" i="68"/>
  <c r="E33" i="83" l="1"/>
  <c r="F33" i="83" s="1"/>
  <c r="AM4" i="67"/>
  <c r="AI115" i="68"/>
  <c r="AM3" i="68" s="1"/>
  <c r="E34" i="83" s="1"/>
  <c r="F34" i="83" s="1"/>
  <c r="AJ4" i="68"/>
  <c r="AJ115" i="68" s="1"/>
  <c r="AM4" i="68" l="1"/>
  <c r="AL26" i="69"/>
  <c r="AL27" i="69" s="1"/>
  <c r="AL33" i="74"/>
  <c r="AL34" i="74" s="1"/>
  <c r="AJ9" i="74"/>
  <c r="AJ29" i="74"/>
  <c r="AJ14" i="74"/>
  <c r="AJ34" i="74"/>
  <c r="AJ64" i="74"/>
  <c r="AJ24" i="74"/>
  <c r="AJ39" i="74"/>
  <c r="AJ59" i="74"/>
  <c r="AJ44" i="74"/>
  <c r="AJ49" i="74"/>
  <c r="AJ54" i="74"/>
  <c r="AJ69" i="74"/>
  <c r="AJ4" i="74"/>
  <c r="AJ74" i="74"/>
  <c r="AL26" i="74"/>
  <c r="AL27" i="74" s="1"/>
  <c r="AJ19" i="74"/>
  <c r="AJ79" i="74" l="1"/>
  <c r="AI79" i="74"/>
  <c r="AM3" i="74" s="1"/>
  <c r="E40" i="83" l="1"/>
  <c r="D4" i="83"/>
  <c r="D5" i="83" s="1"/>
  <c r="F40" i="83"/>
  <c r="E72" i="83"/>
  <c r="F72" i="83" s="1"/>
  <c r="AM4" i="74"/>
  <c r="E74" i="83" l="1"/>
</calcChain>
</file>

<file path=xl/comments1.xml><?xml version="1.0" encoding="utf-8"?>
<comments xmlns="http://schemas.openxmlformats.org/spreadsheetml/2006/main">
  <authors>
    <author>Usuario</author>
  </authors>
  <commentList>
    <comment ref="Y10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NF</t>
        </r>
      </text>
    </comment>
    <comment ref="Y16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MAXIMUS</t>
        </r>
      </text>
    </comment>
    <comment ref="Y22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MAXIMUS</t>
        </r>
      </text>
    </comment>
    <comment ref="Y28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NF</t>
        </r>
      </text>
    </comment>
    <comment ref="Y34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MAXIMUS</t>
        </r>
      </text>
    </comment>
    <comment ref="Y40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MAXIMUS</t>
        </r>
      </text>
    </comment>
    <comment ref="Y46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MAXIMUS</t>
        </r>
      </text>
    </comment>
    <comment ref="Y52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MAXIMUS</t>
        </r>
      </text>
    </comment>
    <comment ref="Y58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MAXIMUS</t>
        </r>
      </text>
    </comment>
    <comment ref="Y64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MAXIMUS</t>
        </r>
      </text>
    </comment>
    <comment ref="Y70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MAXIMUS</t>
        </r>
      </text>
    </comment>
    <comment ref="Y76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MAXIMUS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L15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- Valor excluído devido lançamento em duplicidade em datas anteriores (Liminar+NF JH, etc)</t>
        </r>
      </text>
    </comment>
    <comment ref="AL16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- Valor excluído devido lançamento em duplicidade em datas anteriores (Liminar+NF JH, etc)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L23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- Valor excluído devido lançamento em duplicidade em datas anteriores (Liminar+NF JH, etc)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L24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- Valor excluído devido lançamento em duplicidade em datas anteriores (Liminar+NF JH, etc)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L22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- Valor excluído devido lançamento em duplicidade em datas anteriores (Liminar+NF JH, etc)</t>
        </r>
      </text>
    </comment>
    <comment ref="AL23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- Valor excluído devido lançamento em duplicidade em datas anteriores (Liminar+NF JH, etc)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L23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- Valor excluído devido lançamento em duplicidade em datas anteriores (Liminar+NF JH, etc)</t>
        </r>
      </text>
    </comment>
  </commentList>
</comments>
</file>

<file path=xl/comments7.xml><?xml version="1.0" encoding="utf-8"?>
<comments xmlns="http://schemas.openxmlformats.org/spreadsheetml/2006/main">
  <authors>
    <author>Yuri</author>
  </authors>
  <commentList>
    <comment ref="B34" authorId="0" shapeId="0">
      <text>
        <r>
          <rPr>
            <b/>
            <sz val="9"/>
            <color indexed="81"/>
            <rFont val="Segoe UI"/>
            <family val="2"/>
          </rPr>
          <t>Yuri:</t>
        </r>
        <r>
          <rPr>
            <sz val="9"/>
            <color indexed="81"/>
            <rFont val="Segoe UI"/>
            <family val="2"/>
          </rPr>
          <t xml:space="preserve">
pedido dividido 149.340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AL22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- Valor excluído devido lançamento em duplicidade em datas anteriores (Liminar+NF JH, etc)</t>
        </r>
      </text>
    </comment>
    <comment ref="AL23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- Valor excluído devido lançamento em duplicidade em datas anteriores (Liminar+NF JH, etc)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AL21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- Valor excluído devido lançamento em duplicidade em datas anteriores (Liminar+NF JH, etc)</t>
        </r>
      </text>
    </comment>
    <comment ref="AL22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- Valor excluído devido lançamento em duplicidade em datas anteriores (Liminar+NF JH, etc)</t>
        </r>
      </text>
    </comment>
  </commentList>
</comments>
</file>

<file path=xl/comments10.xml><?xml version="1.0" encoding="utf-8"?>
<comments xmlns="http://schemas.openxmlformats.org/spreadsheetml/2006/main">
  <authors>
    <author>User</author>
  </authors>
  <commentList>
    <comment ref="AL19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- Valor excluído devido lançamento em duplicidade em datas anteriores (Liminar+NF JH, etc)</t>
        </r>
      </text>
    </comment>
    <comment ref="AL20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- Valor excluído devido lançamento em duplicidade em datas anteriores (Liminar+NF JH, etc)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AL20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- Valor excluído devido lançamento em duplicidade em datas anteriores (Liminar+NF JH, etc)</t>
        </r>
      </text>
    </comment>
    <comment ref="AL21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- Valor excluído devido lançamento em duplicidade em datas anteriores (Liminar+NF JH, etc)</t>
        </r>
      </text>
    </comment>
  </commentList>
</comments>
</file>

<file path=xl/comments12.xml><?xml version="1.0" encoding="utf-8"?>
<comments xmlns="http://schemas.openxmlformats.org/spreadsheetml/2006/main">
  <authors>
    <author>User</author>
  </authors>
  <commentList>
    <comment ref="F49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Do total de 200 Bois:
- Abate em 25/08/2023 - 147 CB
- Abate em 26/08/2023 - 53 CB (Linha 82)</t>
        </r>
      </text>
    </comment>
    <comment ref="F54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Do total de 200 Bois:
- Abate em 25/08/2023 - 147 CB
- Abate em 26/08/2023 - 53 CB (Linha 52)</t>
        </r>
      </text>
    </comment>
    <comment ref="F59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Do total de 550 Bois:
- Abate em 25/08/2023 - 53 CB (Linha 64)
- Abate em 26/08/2023 - 397 CB (Linha 88)
- Abate em 28/08/2023 - 100 CB (Linha 94)</t>
        </r>
      </text>
    </comment>
    <comment ref="F64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Do total de 550 Bois:
- Abate em 25/08/2023 - 53 CB (Linha 64)
- Abate em 26/08/2023 - 397 CB (Linha 88)
- Abate em 28/08/2023 - 100 CB (Linha 94)</t>
        </r>
      </text>
    </comment>
    <comment ref="F69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Do total de 550 Bois:
- Abate em 25/08/2023 - 53 CB (Linha 64)
- Abate em 26/08/2023 - 397 CB (Linha 88)
- Abate em 28/08/2023 - 100 CB (Linha 94)</t>
        </r>
      </text>
    </comment>
  </commentList>
</comments>
</file>

<file path=xl/comments13.xml><?xml version="1.0" encoding="utf-8"?>
<comments xmlns="http://schemas.openxmlformats.org/spreadsheetml/2006/main">
  <authors>
    <author>User</author>
  </authors>
  <commentList>
    <comment ref="E24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EMBARQUE DE NOVA MUTUM 200 BOIS, 
- 2 CARRETAS VAI DESCARREGAR SÍTIO NOSSA SENHORA, QUE VAI PARA ABATE JBS (Linha 24)
- 2 CARRETAS VAI PARA FAZ. SANTA IZABEL VAI ABATER NO JBS DIA 06/09 (Linha 29)</t>
        </r>
      </text>
    </comment>
    <comment ref="E29" authorId="0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EMBARQUE DE NOVA MUTUM 200 BOIS, 
- 2 CARRETAS VAI DESCARREGAR SÍTIO NOSSA SENHORA, QUE VAI PARA ABATE JBS (Linha 24)
- 2 CARRETAS VAI PARA FAZ. SANTA IZABEL VAI ABATER NO JBS DIA 06/09 (Linha 29)</t>
        </r>
      </text>
    </comment>
  </commentList>
</comments>
</file>

<file path=xl/comments14.xml><?xml version="1.0" encoding="utf-8"?>
<comments xmlns="http://schemas.openxmlformats.org/spreadsheetml/2006/main">
  <authors>
    <author>JHS Alimentos</author>
  </authors>
  <commentList>
    <comment ref="F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Quantidade inicial de Animais eram 100M</t>
        </r>
      </text>
    </comment>
    <comment ref="F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Quantidade inicial de Animais eram 100M
2 animais abatidos no frigorifico de Fernandopolis</t>
        </r>
      </text>
    </comment>
  </commentList>
</comments>
</file>

<file path=xl/comments15.xml><?xml version="1.0" encoding="utf-8"?>
<comments xmlns="http://schemas.openxmlformats.org/spreadsheetml/2006/main">
  <authors>
    <author>JHS Alimentos</author>
  </authors>
  <commentLis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Boi está cana
Abate  dia 27/10</t>
        </r>
      </text>
    </comment>
    <comment ref="E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23/10
LOTE EUROPA</t>
        </r>
      </text>
    </comment>
    <comment ref="F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50 23/10
50 24/10</t>
        </r>
      </text>
    </comment>
    <comment ref="AB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Não será pago valor referente à comissão.</t>
        </r>
      </text>
    </comment>
    <comment ref="F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50 23/10
50 24/10</t>
        </r>
      </text>
    </comment>
    <comment ref="AB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Não será pago valor referente à comissão.</t>
        </r>
      </text>
    </comment>
    <comment ref="Z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Descontar um boi</t>
        </r>
      </text>
    </comment>
    <comment ref="F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VENDEU PARA TERCEIRO
Efetuado o pagamento dia 31/10.</t>
        </r>
      </text>
    </comment>
  </commentList>
</comments>
</file>

<file path=xl/comments16.xml><?xml version="1.0" encoding="utf-8"?>
<comments xmlns="http://schemas.openxmlformats.org/spreadsheetml/2006/main">
  <authors>
    <author>JHS Alimentos</author>
  </authors>
  <commentLis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Quando pessoal chegou para carregar o gado para o abate, um havia sumido, estão procurando.
</t>
        </r>
      </text>
    </comment>
    <comment ref="F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199 abate 27/10
1 boi quebrou a perna Vendeu para Leonel, no valor de R$ 2.500,00
</t>
        </r>
      </text>
    </comment>
    <comment ref="F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199 abate 27/10
1 boi quebrou a perna Vendeu para Leonel, no valor de R$ 2.500,00
Efetuado o pagamento dia 31/10.</t>
        </r>
      </text>
    </comment>
    <comment ref="F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um boi na carreta da R3, descontar
Lote inicial 200 Bois</t>
        </r>
      </text>
    </comment>
    <comment ref="Z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Descontar 1 boi do frete</t>
        </r>
      </text>
    </comment>
    <comment ref="F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Lote inicial 100 Bois.
Morreu um na carreta.
Descontar R3.</t>
        </r>
      </text>
    </comment>
    <comment ref="Z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Descontar 1 Boi
R$ 4.590,72
</t>
        </r>
      </text>
    </comment>
  </commentList>
</comments>
</file>

<file path=xl/comments17.xml><?xml version="1.0" encoding="utf-8"?>
<comments xmlns="http://schemas.openxmlformats.org/spreadsheetml/2006/main">
  <authors>
    <author>JHS Alimentos</author>
  </authors>
  <commentLis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R$ 6.570,00
Pgto realizado dia 08/11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1.504,00
Pgto realizado dia 15/11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lote inicial 150
100 red meat
50 JBS
data de abate 03/11
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22.823,80
Pgto realizado dia 15/11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4.160,00
Pgto realizado dia 15/11
Malone 9.702,40
Pgto realizado dia 15/11
R3 8.520,00
Pgto realizado dia 15/11</t>
        </r>
      </text>
    </comment>
    <comment ref="Z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1.504,00
Pgto realizado dia 15/11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10% Catira Boi
Previsto pgto 13/11
</t>
        </r>
      </text>
    </comment>
    <comment ref="Z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3.323,20
Pgto realizado dia 15/11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10% Catira Boi
Previsto pgto 13/11</t>
        </r>
      </text>
    </comment>
    <comment ref="Z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59.967,76
Pgto realizado dia 15/11
Maloni 19.780,60
Pgto efetuado dia 22/11</t>
        </r>
      </text>
    </comment>
  </commentList>
</comments>
</file>

<file path=xl/comments18.xml><?xml version="1.0" encoding="utf-8"?>
<comments xmlns="http://schemas.openxmlformats.org/spreadsheetml/2006/main">
  <authors>
    <author>JHS Alimentos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Lote Inicial 200
</t>
        </r>
      </text>
    </commen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12.480,00
Pgto realizado dia 15/11
R3 8.520,00
Pgto realizado dia 15/11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Lote Inicial 200
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12.480,00
Pgto realizado dia 15/11
R3 8.520,00
Pgto realizado dia 15/11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12.480,00
Pgto realizado dia 15/11
R3 8.520,00
Pgto realizado dia 15/11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Lote inicial 156 Animais
JBS 100
Red Meat 50
Red Meat 6
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4.160,00
Pgto realizado dia 15/11
Malone 9.702,40
Pgto realizado dia 15/11
R3 8.520,00
Pgto realizado dia 15/11</t>
        </r>
      </text>
    </comment>
    <comment ref="Z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19.483,46
Pgto efetuado dia 22/11
R3 19.704,45
Pgto efetuado dia 22/11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10% Catira do Boi
Previsto pgto 13/11</t>
        </r>
      </text>
    </comment>
    <comment ref="Z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18.231,30
Pgto realizado dia 15/11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10% Anicezio Amorim
Previsto pgto 13/11</t>
        </r>
      </text>
    </comment>
    <comment ref="Z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18.231,30
Pgto realizado dia 15/11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10% Anicezio Amorim
Previsto pgto 13/11</t>
        </r>
      </text>
    </comment>
    <comment ref="Z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R$ 50.102,00
Pgto efetuado dia 22/11</t>
        </r>
      </text>
    </comment>
    <comment ref="Z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R$23.004,20
Pgto efetuado dia 22/11
R3 R$69.525,52
Pgto efetuado dia 22/11</t>
        </r>
      </text>
    </comment>
    <comment ref="Z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R$39.300,40
Pgto efetuado dia 22/11</t>
        </r>
      </text>
    </comment>
    <comment ref="AB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realizado dia 10/11 p/ Camacho</t>
        </r>
      </text>
    </comment>
    <comment ref="Z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R$ 7.608,80
Pgto efetuado dia 22/11</t>
        </r>
      </text>
    </comment>
    <comment ref="F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um Boi,
Descontar da transbroca</t>
        </r>
      </text>
    </comment>
    <comment ref="Z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R$ 41.224,00
Morreu um Boi,
Descontar da transbroca. R$ 4.553,06
Pgto efetuado dia 22/11
R3 R$ 21.594,56 pagar somente 50% ref. desconto Jose Inacio
Pgto efetuado dia 22/11</t>
        </r>
      </text>
    </comment>
  </commentList>
</comments>
</file>

<file path=xl/comments19.xml><?xml version="1.0" encoding="utf-8"?>
<comments xmlns="http://schemas.openxmlformats.org/spreadsheetml/2006/main">
  <authors>
    <author>JHS Alimentos</author>
  </authors>
  <commentLis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R$ 7.721,60
Pgto efetuado dia 29/11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R$ 42.295,86
Pgto efetuado dia 29/11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Boi morreu no curral após descer do embarque.
Não conseguiu vender.
Prejuizo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R$ 42.295,86
Pgto efetuado dia 29/11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</commentList>
</comments>
</file>

<file path=xl/comments20.xml><?xml version="1.0" encoding="utf-8"?>
<comments xmlns="http://schemas.openxmlformats.org/spreadsheetml/2006/main">
  <authors>
    <author>JHS Alimentos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Foi embarcado 399 bois um quebrou a perna e foi tirado da carreta antes de pesar</t>
        </r>
      </text>
    </commen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R$ 114.703,46
05 carretas
Pgto efetuado dia 06/12
Malone R$ 68.662,35
03 carretas
Pgto efetuado dia 06/12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R$ 42.106,00
Pgto efetuado dia 06/12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R$ 41.846,40
Pgto efetuado dia 06/12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R$ 84.931,30
Pgto efetuado dia 06/12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15% pago dia 21/11 ao Francisco Camacho</t>
        </r>
      </text>
    </comment>
    <comment ref="F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um boi na carreta, descontar transportadora</t>
        </r>
      </text>
    </comment>
    <comment ref="Z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R$ 69.124,20
Descontar um boi
Pgto efetuado dia 06/12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Z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R$ 22.506,82
Pgto efetuado dia 06/12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Z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R$ 22.506,82
Pgto efetuado dia 06/12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Z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R$ 22.506,82
Pgto efetuado dia 06/12</t>
        </r>
      </text>
    </comment>
    <comment ref="AB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Z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R$ 37.905,40
Pgto efetuado dia 13/12</t>
        </r>
      </text>
    </comment>
    <comment ref="A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Z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R$ 15.445,40
Pgto efetuado dia 06/12</t>
        </r>
      </text>
    </comment>
    <comment ref="AB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F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Lote inicial 204 animais.
Um boi machucou e foi vendido.
Valor R$ 2.000,00
Previsão de recebimento 20/12/2023
</t>
        </r>
      </text>
    </comment>
    <comment ref="Z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R$ 15.445,40
Pgto efetuado dia 06/12</t>
        </r>
      </text>
    </comment>
    <comment ref="AB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</commentList>
</comments>
</file>

<file path=xl/comments21.xml><?xml version="1.0" encoding="utf-8"?>
<comments xmlns="http://schemas.openxmlformats.org/spreadsheetml/2006/main">
  <authors>
    <author>JHS Alimentos</author>
  </authors>
  <commentLis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R$ 45.627,12
Pgto efetuado dia 06/12
Transbroca R$ 45.399,60
Pgto efetuado dia 06/12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Pedro efetuou o pagamento, feito reembolso.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Pedro efetuou o pagamento, feito reembolso.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a ser pago para JHS Originação dia 01/12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Frete pago pelo Pedrinho, realizado reembolso.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R$ 42.089,43
Pgto efetuado dia 13/12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R$ 47.134,00
2 carretas
Pgto efetuado dia 13/12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R$ 47.134,00
2 carretas
Pgto programado para dia 13/12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R$ 23.567,00
1 carreta
Pgto efetuado dia 13/12
Maloni R$ 70.639,94
3 carreta
Pgto efetuado dia 13/12</t>
        </r>
      </text>
    </comment>
    <comment ref="AB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R$ 24.463,00
1 carreta
Pgto efetuado dia 13/12
R3 R$ 73.625,61
3 carretas
Pgto efetuado dia 13/12</t>
        </r>
      </text>
    </comment>
    <comment ref="A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R$ 24.463,00
1 carreta
Pgto efetuado dia 13/12
R3 R$ 73.625,61
3 carretas
Pgto efetuado dia 13/12</t>
        </r>
      </text>
    </comment>
    <comment ref="AB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R$ 70.000,20
Pgto efetuado dia 13/12</t>
        </r>
      </text>
    </comment>
    <comment ref="AB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Y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Ainda não foi efetuado o pagamento</t>
        </r>
      </text>
    </comment>
    <comment ref="Z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22.243,63
1 carreta
Pgto efetuado dia 13/12
Transbroca R$ 67.194,60
3 carreta
Pgto efetuado dia 13/12</t>
        </r>
      </text>
    </comment>
    <comment ref="AB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Pago comissão para o Camacho à 15% dia 04/12</t>
        </r>
      </text>
    </comment>
  </commentList>
</comments>
</file>

<file path=xl/comments22.xml><?xml version="1.0" encoding="utf-8"?>
<comments xmlns="http://schemas.openxmlformats.org/spreadsheetml/2006/main">
  <authors>
    <author>JHS Alimentos</author>
  </authors>
  <commentLis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R$ 9.971,40
Pgto efetuado dia 20/12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um boi na carreta do Transbroca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um boi na carreta do Transbroca (Valor R$ 4.575,23)
Malone R$ 9.971,40
Pgto efetuado dia 20/12
Transbroca R$ 20.051,60
2 carretas
Pgto efetuado dia 20/12
Transbroca R$ 20.620,50
2 carretas 
Pgto efetuado dia 20/12
Transbroca R$ 21.106,90
2 carretas
Pgto efetuado dia 20/12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Y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não efetuado.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R$ 135.636,80
6 carretas
Pgto efetuado dia 20/12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R$ 40.103,20
4 carretas
Pgto efetuado dia 20/12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W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de venda ajustado conforme negociado com Camacho</t>
        </r>
      </text>
    </comment>
    <comment ref="Y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não efetuado.</t>
        </r>
      </text>
    </comment>
    <comment ref="Z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R$ 22.243,63
Pgto efetuado dia 20/12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15% para o Camacho dia 06/12</t>
        </r>
      </text>
    </comment>
    <comment ref="W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de venda ajustado conforme negociado com Camacho</t>
        </r>
      </text>
    </comment>
    <comment ref="Z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R$ 26.077,30
Pgto efetuado dia 20/12
R3 R$ 12.958,20
Pgto efetuado dia 20/12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Y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não efetuado.</t>
        </r>
      </text>
    </comment>
    <comment ref="Z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R$ 22.581,40
1 carreta
Pgto efetuado dia 20/12
R3 R$ 69.039,87
3 carretas
Pgto efetuado dia 20/12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Y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não efetuado.</t>
        </r>
      </text>
    </comment>
    <comment ref="Z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R$ 22.581,40
1 carreta
Pgto efetuado dia 20/12
R3 R$ 69.039,87
3 carretas
Pgto efetuado dia 20/12</t>
        </r>
      </text>
    </comment>
    <comment ref="AB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R$ 20.057,30
Pgto efetuado dia 20/12
Malone R$ 39.885,90
Pgto efetuado dia 20/12
</t>
        </r>
      </text>
    </comment>
    <comment ref="A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U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O GADO É COMPRADO A 220,00@, NÓS VAMOS PAGAR 215,00@ E DEPOIS QUE ABATER O GADO CASO TENHA ALGUM DESCONTO DE BOI NÃO CHINA, FAZEMOS O COMPLEMENTO DE 5,00 POR @</t>
        </r>
      </text>
    </comment>
    <comment ref="Y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não efetuado.</t>
        </r>
      </text>
    </comment>
    <comment ref="Z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R$ 19.792,80
Pgto efetuado dia 27/12</t>
        </r>
      </text>
    </comment>
    <comment ref="AB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Y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não efetuado.</t>
        </r>
      </text>
    </comment>
    <comment ref="Z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R$ 22.780,03
Pgto efetuado dia 20/12</t>
        </r>
      </text>
    </comment>
    <comment ref="AB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Transportadora Venancio R$ 22.613,20
Pagto efetuado dia 27/12</t>
        </r>
      </text>
    </comment>
    <comment ref="AB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Edilson Honororio R$ 4.455,00
Pagto efetuado dia 28/12</t>
        </r>
      </text>
    </comment>
    <comment ref="AB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Y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não efetuado.</t>
        </r>
      </text>
    </comment>
    <comment ref="Z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R$ 70.000,20
3 carretas
Pgto efetuado dia 27/12</t>
        </r>
      </text>
    </comment>
    <comment ref="AB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Transaquino R$ 4.759,60
Pgto efetuado dia 27/12
Transbroca R$ 9.720,60
2 carretas
Pgto efetuado dia 27/12</t>
        </r>
      </text>
    </comment>
    <comment ref="AB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7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Transaquino R$ 4.759,60
Pgto efetuado dia 27/12
Transbroca R$ 9.720,60
2 carretas
Pgto efetuado dia 27/12</t>
        </r>
      </text>
    </comment>
    <comment ref="AB7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Z8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Edilson Honororio R$ 1.936,00
Pagto efetuado dia 28/12</t>
        </r>
      </text>
    </comment>
    <comment ref="AB8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F8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49
Descontar um boi do broca transporte</t>
        </r>
      </text>
    </comment>
    <comment ref="W8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de venda ajustado conforme negociado com Camacho</t>
        </r>
      </text>
    </comment>
    <comment ref="Z8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49
Descontar um boi do broca transporte (Valor R$ 4.379,99)
Transbroca R$ 9.461,40
Pgto efetuado dia 20/12</t>
        </r>
      </text>
    </comment>
    <comment ref="AB8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  <comment ref="F9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149
Descontar um boi da R3 Transporte</t>
        </r>
      </text>
    </comment>
    <comment ref="W9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Valor de venda ajustado conforme negociado com Camacho</t>
        </r>
      </text>
    </comment>
    <comment ref="Y9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não efetuado.</t>
        </r>
      </text>
    </comment>
    <comment ref="Z9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149
Descontar um boi da R3 Transporte (valor R$ 4.959,85)
R3 R$ 22.778,93
1 carreta
Pgto efetuado dia 20/12
Transbroca R$ 45.796,32
2 carretas
Pgto efetuado dia 20/12</t>
        </r>
      </text>
    </comment>
    <comment ref="AB9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15% feito ao Camacho dia 11/12/2023</t>
        </r>
      </text>
    </comment>
    <comment ref="Y9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não efetuado.</t>
        </r>
      </text>
    </comment>
    <comment ref="Z9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R$ 46.223,09
2 carretas
Pgto efetuado dia 20/12</t>
        </r>
      </text>
    </comment>
    <comment ref="AB9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à 12,5% p/ JHS Originação</t>
        </r>
      </text>
    </comment>
  </commentList>
</comments>
</file>

<file path=xl/comments23.xml><?xml version="1.0" encoding="utf-8"?>
<comments xmlns="http://schemas.openxmlformats.org/spreadsheetml/2006/main">
  <authors>
    <author>JHS Alimentos</author>
  </authors>
  <commentLis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R$ 16.032,40
Pgto efetuado dia 27/12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Y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não efetuado.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R$ 23.134,85
1 carreta
Pgto efetuado dia 27/12
Transbroca R$ 45.237,00
2 carretas
Pgto efetuado dia 27/12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E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13/12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R$ 31.734,00
Pgto efetuado dia 27/12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E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14/12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R$ 31.734,00
Pgto efetuado dia 27/12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U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OBS.: O GADO É COMPRADO A 220,00@, NÓS VAMOS PAGAR 215,00@ E DEPOIS QUE ABATER O GADO CASO TENHA ALGUM DESCONTO DE BOI NÃO CHINA, FAZEMOS O COMPLEMENTO DE 5,00 POR @</t>
        </r>
      </text>
    </comment>
    <comment ref="Z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R$ 19.904,30
Pgto efetuado dia 27/12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Z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R$ 23.421,60
Pgto efetuado dia 27/12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Z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R$ 22.503,80
Pgto efetuado dia 03/01/2024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18/12</t>
        </r>
      </text>
    </comment>
    <comment ref="Z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Adauto Barbosa
R$ 20.636,00
Pgto efetuado dia 27/12.
</t>
        </r>
      </text>
    </comment>
    <comment ref="AB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Z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(Transaquino) R$ 20.286,60
Pgto efetuado dia 27/12
Transduda R$ 20.032,94
Pgto efetuado dia 27/12</t>
        </r>
      </text>
    </comment>
    <comment ref="A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15% para o Camacho dia 13/12/2023</t>
        </r>
      </text>
    </comment>
    <comment ref="Z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(Transaquino) R$ 20.286,60
Pgto efetuado dia 27/12
Transduda R$ 20.032,94
Pgto efetuado dia 27/12</t>
        </r>
      </text>
    </comment>
    <comment ref="AB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15% para o Camacho dia 13/12/2023</t>
        </r>
      </text>
    </comment>
    <comment ref="Z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R$ 19.925,56
Pgto efetuado dia 03/01/2024</t>
        </r>
      </text>
    </comment>
    <comment ref="AB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18/12</t>
        </r>
      </text>
    </comment>
    <comment ref="Z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R$ 40.976,70
Pgto efetuado dia 03/01/2024</t>
        </r>
      </text>
    </comment>
    <comment ref="AB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18/12</t>
        </r>
      </text>
    </comment>
    <comment ref="Z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R$ 24.940,00
Pgto efetuado dia 27/12
R3 49.976,35
Pgto efetuado dia 27/12</t>
        </r>
      </text>
    </comment>
    <comment ref="AB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200 abate 19/12
50 abate 20/12
Descontar um boi do transporte R3
abateu 199
</t>
        </r>
      </text>
    </comment>
    <comment ref="Z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Descontar um boi da R3 (Valor R$ 4.958,56)
R3 R$ 112.712,65
4 carretas
Pgto efetuado dia 27/12
Transbroca R$ 28.032,60
1 carreta
Pgto efetuado dia 27/12</t>
        </r>
      </text>
    </comment>
    <comment ref="AB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200 abate 19/12
50 abate 20/12
5 mortes na fazenda cabreira 
(prejuizo)</t>
        </r>
      </text>
    </comment>
    <comment ref="Z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Descontar um boi da R3 (Valor R$ 4.958,56)
R3 R$ 112.712,65
4 carretas
Pgto efetuado dia 27/12
Transbroca R$ 28.032,60
1 carreta
Pgto efetuado dia 27/12</t>
        </r>
      </text>
    </comment>
    <comment ref="AB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</commentList>
</comments>
</file>

<file path=xl/comments24.xml><?xml version="1.0" encoding="utf-8"?>
<comments xmlns="http://schemas.openxmlformats.org/spreadsheetml/2006/main">
  <authors>
    <author>JHS Alimentos</author>
  </authors>
  <commentLis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R$ 22.711,80
Pgto efetuado dia 03/01/2024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Descontar um boi do transporte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Descontar um boi (valor R$ 6.351,46)
Transbroca R$ 10.329,30
Pgto efetuado dia 03/01/2024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romaneio de 52 animais, dois animais morreram na fazenda cabreira (prejuizo)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R$ 5.271,20
Pgto efetuado dia 03/01/2024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romaneio de 52 animais, dois animais morreram na fazenda cabreira (prejuizo)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R$ 5.271,20
Pgto efetuado dia 03/01/2024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romaneio de 52 animais, dois animais morreram na fazenda cabreira (prejuizo)</t>
        </r>
      </text>
    </comment>
    <comment ref="Z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R$ 5.271,20
Pgto efetuado dia 03/01/2024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22/12</t>
        </r>
      </text>
    </comment>
    <comment ref="Z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R$ 19.712,80
Pgto efetuado dia 03/01/2024</t>
        </r>
      </text>
    </comment>
    <comment ref="AA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400,00 diárias 
150,00 refeição 
160,00 hotel 
500,00 Petróleo
OBS.: Olhar novilhas para Joaquim e acompanhar pesagem dos bois Porto nacional.
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Z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Edilson Honorio R$ 4.620,00
Pgto efetuado dia 03/01/2024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Z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Leonel Cicero R$ 1.116,00
Pgto efetuado dia 03/01/2024</t>
        </r>
      </text>
    </comment>
    <comment ref="AB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22/12
150 animais JBS
3 animais Red Meat dia 22/12
</t>
        </r>
      </text>
    </comment>
    <comment ref="Z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R$ 15.491,10
3 carretas
Pgto efetuado dia 03/01/2024</t>
        </r>
      </text>
    </comment>
    <comment ref="A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26/12</t>
        </r>
      </text>
    </comment>
    <comment ref="Z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R$ 19.712,80
1 carreta
Pgto efetuado dia 10/01
Transbroca R$ 20.015,60
1 carreta
Pgto efetuado dia 10/01</t>
        </r>
      </text>
    </comment>
    <comment ref="AA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Despesa para pesar os animais. 
Feito reembolso para o Pedrinho</t>
        </r>
      </text>
    </comment>
    <comment ref="AB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26/12</t>
        </r>
      </text>
    </comment>
    <comment ref="Z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R$ 38.907,92
(1275 km X 2 = 2550 km X 2 = 5100 km X R$ 6,40 = R$ 32.640,00 
+ R$ 2.289,92 pedágios 
+ R$ 3.978,00 
Total 🟰 R$ 38.907,92)
2 carregamentos
Pgto efetuado dia 10/01</t>
        </r>
      </text>
    </comment>
    <comment ref="AB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15% para o Camacho dia 02/01/2024</t>
        </r>
      </text>
    </comment>
    <comment ref="F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26/12</t>
        </r>
      </text>
    </comment>
    <comment ref="Z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R$ 37.033,50
3 carretas
Pgto efetuado dia 03/01/2024</t>
        </r>
      </text>
    </comment>
    <comment ref="AB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Z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R$ 15.870,54
1 carreta
Pgto efetuado dia 10/01
</t>
        </r>
      </text>
    </comment>
    <comment ref="AB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feito à 15% para o Camacho dia 26/12</t>
        </r>
      </text>
    </comment>
    <comment ref="Z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R$ 15.870,54
1 carreta
Pgto efetuado dia 10/01
</t>
        </r>
      </text>
    </comment>
    <comment ref="AB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feito à 15% para o Camacho dia 26/12</t>
        </r>
      </text>
    </comment>
  </commentList>
</comments>
</file>

<file path=xl/comments25.xml><?xml version="1.0" encoding="utf-8"?>
<comments xmlns="http://schemas.openxmlformats.org/spreadsheetml/2006/main">
  <authors>
    <author>JHS Alimentos</author>
  </authors>
  <commentList>
    <comment ref="E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PREVISÃO DE ABATE 27/12</t>
        </r>
      </text>
    </commen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um animal no confinamento (prejuizo)</t>
        </r>
      </text>
    </commen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R$ 8.946,90
Pgto efetuado dia 03/01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E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PREVISÃO DE ABATE 27/12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um animal no confinamento (prejuizo)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R$ 8.946,90
Pgto efetuado dia 10/01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28/12/2023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R$ 19.510,00
2 carretas
Pgto efetuado dia 10/01
Valor pago R$ 19.489,76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30/12
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Venancio R$ 40.664,00
2 carretas
Pgto efetuado dia 10/01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30/12
</t>
        </r>
      </text>
    </comment>
    <comment ref="Z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Venancio R$ 40.664,00
2 carretas
Pgto efetuado dia 10/01
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29/12</t>
        </r>
      </text>
    </comment>
    <comment ref="Z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R$ 16.086,40
2 carretas
Pgto efetuado dia 10/01
Malone R$ 15.609,20
2 carretas
Pgto efetuado dia 10/01
Valor pago R$ 15.600,20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30/12
</t>
        </r>
      </text>
    </comment>
    <comment ref="Z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R$ 58.606,28
3 carretas
Pagto programado p/ 17/01/2024
R3 R$ 59.318,86
3 carretas
Pgto efetuado dia 10/01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30/12
</t>
        </r>
      </text>
    </comment>
    <comment ref="Z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R$ 58.606,28
3 carretas
Pagto programado p/ 17/01/2024
R3 R$ 59.318,86
3 carretas
Pgto efetuado dia 10/01</t>
        </r>
      </text>
    </comment>
    <comment ref="AB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Pagamento à 12,5% para JHS Originação</t>
        </r>
      </text>
    </comment>
    <comment ref="F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30/12
</t>
        </r>
      </text>
    </comment>
    <comment ref="Z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R$ 89.740,60
4 carretas
Pgto efetuado dia 10/01</t>
        </r>
      </text>
    </comment>
    <comment ref="A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feito à 15% para o Camacho dia 28/12.</t>
        </r>
      </text>
    </comment>
  </commentList>
</comments>
</file>

<file path=xl/comments26.xml><?xml version="1.0" encoding="utf-8"?>
<comments xmlns="http://schemas.openxmlformats.org/spreadsheetml/2006/main">
  <authors>
    <author>JHS Alimentos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LOTE INICIAL 250M
ABATE DIA 08/01</t>
        </r>
      </text>
    </commen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R$ 116.273,20
5 carretas
Pgto programado para dia 17/01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LOTE INICIAL 250M
ABATE DIA 08/01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R$ 116.273,20
5 carretas
Pgto programado para dia 17/01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09/01
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R$ 9.513,80
1 carreta
Pagto programado p/ 17/01/2024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10/01
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R$ 9.513,80
1 carreta
Pagto programado p/ 17/01/2024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09/01
</t>
        </r>
      </text>
    </comment>
    <comment ref="Z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R$ 23.245,40
1 careta
Pgto programado para dia 17/01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08/01</t>
        </r>
      </text>
    </comment>
    <comment ref="Z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R$ 11.937,14
1 carreta
Pgto programado para dia 17/01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</commentList>
</comments>
</file>

<file path=xl/comments27.xml><?xml version="1.0" encoding="utf-8"?>
<comments xmlns="http://schemas.openxmlformats.org/spreadsheetml/2006/main">
  <authors>
    <author>JHS Alimentos</author>
    <author>User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10/01</t>
        </r>
      </text>
    </commen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Transboca R$ 42.788,40
2 carretas
Pagto programado p/ 17/01/2024
Malone R$ 21.212,03
1 carreta
Pagto programado p/ 17/01/2024
R3 R$ 21.462,93
1 carreta
Pagto programado p/ 17/01/2024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09/01
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R$ 2.998,44
1 carretra
Pgto programado para dia 17/01
Transbroca R$ 7.367,60
2 carretas
Pgto programado para dia 17/01
Florenzio Silva R$ 3.048,80
1 carreta
Pgto programado para dia 17/01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10/01
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R$ 6.953,60
1 carreta
Pagto programado p/ 17/01/2024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10/01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R$ 6.953,60
1 carreta
Pagto programado p/ 17/01/2024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11/01</t>
        </r>
      </text>
    </comment>
    <comment ref="Z24" authorId="1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Maloni R$ 20.748,35
1 carreta
Pgto realizado em 24/01/24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11/01</t>
        </r>
      </text>
    </comment>
    <comment ref="Z29" authorId="1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R3 R$ 15.566,80
1 carreta
Pagto realizado em 24/01/24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11/01</t>
        </r>
      </text>
    </comment>
    <comment ref="Z34" authorId="1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Malone R$ 4.697,60
01 carreta
Pgto realizado em 24/01/24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11/01</t>
        </r>
      </text>
    </comment>
    <comment ref="Z39" authorId="1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R3 R$ 39.356,41
2 carreta
Pagto realizado em 24/01/24</t>
        </r>
      </text>
    </comment>
    <comment ref="AB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12/01</t>
        </r>
      </text>
    </comment>
    <comment ref="Z44" authorId="1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R3 R$ 11.238,20 
1 carreta
Pagto realizado em 24/01/24</t>
        </r>
      </text>
    </comment>
    <comment ref="A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12/01</t>
        </r>
      </text>
    </comment>
    <comment ref="Z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R$ 5.851,60
1 carreta
Pgto realizado em 24/01/24
Malone R$ 5.717,40
1 carreta
Pgto realizado em 24/01/24
Transbroca R$ 5.897,20
1 carreta
Pgto realizado em 24/01/24</t>
        </r>
      </text>
    </comment>
    <comment ref="AB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Boi fugiu vai embarcar domingo e abater dia 15/01</t>
        </r>
      </text>
    </comment>
    <comment ref="Z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R$ 5.851,60
1 carreta
Malone R$ 5.717,40
1 carreta
Pgto realizado em 24/01/24
Transbroca R$ 5.897,20
1 carreta</t>
        </r>
      </text>
    </comment>
    <comment ref="AB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12/01
Morreu um animal, descontar da transportadora</t>
        </r>
      </text>
    </comment>
    <comment ref="Z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um animal, descontar da transportadora (valor R$ 4.754,58)
Malone R$ 10.487,60
1 carreta
Pgto realizado em 24/01/24</t>
        </r>
      </text>
    </comment>
    <comment ref="AB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11/01</t>
        </r>
      </text>
    </comment>
    <comment ref="Z64" authorId="1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Maloni R$ 1.612,80
1 carreta
Pgto realizado em 24/01/24</t>
        </r>
      </text>
    </comment>
    <comment ref="AB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15/01</t>
        </r>
      </text>
    </comment>
    <comment ref="Z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R$ 50.636,32
2 carretas
Pgto realizado em 24/01/24
R3 R$ 50.678,06
2 carretas
Pgto realizado em 24/01/24
Transbroca R$ 25.479,00
1 carreta
Pgto realizado em 24/01/24</t>
        </r>
      </text>
    </comment>
    <comment ref="AB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16/01/2024</t>
        </r>
      </text>
    </comment>
    <comment ref="Z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R$ 76.359,28
3 carretas
Pgto realizado em 24/01/24
Malone R$ 25.318,16
1 carreta
Pgto realizado em 24/01/24</t>
        </r>
      </text>
    </comment>
    <comment ref="AB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</commentList>
</comments>
</file>

<file path=xl/comments28.xml><?xml version="1.0" encoding="utf-8"?>
<comments xmlns="http://schemas.openxmlformats.org/spreadsheetml/2006/main">
  <authors>
    <author>JHS Alimentos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17/01</t>
        </r>
      </text>
    </commen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R$ 20.088,40
2 carretas
Transbroca R$ 10.169,20
1 carreta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17/01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R$ 6.588,40
Pgto realizado em 24/01/24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19/01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R$ 10.169,20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19/01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R$ 78.185,34
4 carreta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18/01</t>
        </r>
      </text>
    </comment>
    <comment ref="J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50M Rio verde x JBS - 24.060,00Kg
50M Rio verde x JBS - 24.380,00Kg
100M Serranopolis x JBS - 51.360,00Kg
O romaneio do abate veio somando os três lotes acima, sendo assim, foi feito a conta do RC Morto manual conforme abaixo: 
Total peso morto: 52.195,00kg/ Total peso vivo: 99.800,00kg = RC Morto 52,3%</t>
        </r>
      </text>
    </comment>
    <comment ref="K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Feito média, pois o romaneio de abate somou os três lotes.
Peso total do romaneio 52.195,00kg</t>
        </r>
      </text>
    </comment>
    <comment ref="Z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R$ 16.774,80
2 carretas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18/01</t>
        </r>
      </text>
    </comment>
    <comment ref="J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50M Rio verde x JBS - 24.060,00Kg
50M Rio verde x JBS - 24.380,00Kg
100M Serranopolis x JBS - 51.360,00Kg
O romaneio do abate veio somando os três lotes acima, sendo assim, foi feito a conta do RC Morto manual conforme abaixo: 
Total peso morto: 52.195,00kg/ Total peso vivo: 99.800,00kg = RC Morto 52,3%</t>
        </r>
      </text>
    </comment>
    <comment ref="K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Feito média, pois o romaneio de abate somou os três lotes.
Peso total do romaneio 52.195,00kg</t>
        </r>
      </text>
    </comment>
    <comment ref="Z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R$ 16.774,80
2 carretas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18/01</t>
        </r>
      </text>
    </comment>
    <comment ref="J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50M Rio verde x JBS - 24.060,00Kg
50M Rio verde x JBS - 24.380,00Kg
100M Serranopolis x JBS - 51.360,00Kg
O romaneio do abate veio somando os três lotes acima, sendo assim, foi feito a conta do RC Morto manual conforme abaixo: 
Total peso morto: 52.195,00kg/ Total peso vivo: 99.800,00kg = RC Morto 52,3%</t>
        </r>
      </text>
    </comment>
    <comment ref="K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Feito média, pois o romaneio de abate somou os três lotes.
Peso total do romaneio 52.195,00kg</t>
        </r>
      </text>
    </comment>
    <comment ref="Z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R$ 9.377,60
1 carreta
Malone R$ 9.186,40
1 carreta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22/01</t>
        </r>
      </text>
    </comment>
    <comment ref="Z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R$ 16.027,60
1 carreta</t>
        </r>
      </text>
    </comment>
    <comment ref="AB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22/01</t>
        </r>
      </text>
    </comment>
    <comment ref="Z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R$ 11.237,20
1 carreta</t>
        </r>
      </text>
    </comment>
    <comment ref="A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</commentList>
</comments>
</file>

<file path=xl/comments29.xml><?xml version="1.0" encoding="utf-8"?>
<comments xmlns="http://schemas.openxmlformats.org/spreadsheetml/2006/main">
  <authors>
    <author>JHS Alimentos</author>
    <author>Usuario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22/01</t>
        </r>
      </text>
    </commen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Vão ser dois fretes:
Itaberai x Confinamento (16/01)
Transbroca R$ 18.806,40
Confinamento x Gastao Vidigal (21/01)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22/01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Vão ser dois fretes:
Itaberai x Confinamento (16/01)
Transbroca R$ 18.806,40
Confinamento x Gastao Vidigal (21/01)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23/01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R$ 9.198,40
1 carreta
R3 R$ 9.175,60
1 carreta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22/01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R$ 2,854,62
1 carreta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22/01</t>
        </r>
      </text>
    </comment>
    <comment ref="Z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R$ 18.014,40
2 carretas
Transbroca R$ 18.396,80
2 carretas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25/01</t>
        </r>
      </text>
    </comment>
    <comment ref="Z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(PIRAPO) R$ 22.684,76
MALONE R$ 22.186,93 
01 CARRETA
TRANSBROCA R$ 22.241,31 
01 CARRETA
R3 R$ 22.120,53
01 CARRETA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23/01</t>
        </r>
      </text>
    </comment>
    <comment ref="Z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R$ 4.491,96
1 carreta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23/01
</t>
        </r>
      </text>
    </comment>
    <comment ref="Z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R$ 4.491,96
1 carreta</t>
        </r>
      </text>
    </comment>
    <comment ref="AB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23/01
</t>
        </r>
      </text>
    </comment>
    <comment ref="Z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R$ 4.491,96
1 carreta</t>
        </r>
      </text>
    </comment>
    <comment ref="A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23/01
</t>
        </r>
      </text>
    </comment>
    <comment ref="Z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R$ 4.491,96
1 carreta</t>
        </r>
      </text>
    </comment>
    <comment ref="AB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26/01</t>
        </r>
      </text>
    </comment>
    <comment ref="Z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R$ 20.850,96
1 CARRETA
MALONE R$ 20.846,56</t>
        </r>
      </text>
    </comment>
    <comment ref="AB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25/01</t>
        </r>
      </text>
    </comment>
    <comment ref="Z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R$ 11.233,92</t>
        </r>
      </text>
    </comment>
    <comment ref="AB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26/01</t>
        </r>
      </text>
    </comment>
    <comment ref="Z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R$ 32.055,20
3 carreta</t>
        </r>
      </text>
    </comment>
    <comment ref="AB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F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29/01</t>
        </r>
      </text>
    </comment>
    <comment ref="Z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R$ 11.375,60
01 carreta</t>
        </r>
      </text>
    </comment>
    <comment ref="AB69" authorId="1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JHS Originação 12,5%
Pagto: 07/02/2024</t>
        </r>
      </text>
    </comment>
    <comment ref="F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29/01
</t>
        </r>
      </text>
    </comment>
    <comment ref="Z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R$ 20.749,16
R3 R$ 62.847,25
03 CARRETA
TANSBROCA R$ 20.867,00
01 CARRETA</t>
        </r>
      </text>
    </comment>
    <comment ref="AB74" authorId="1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JHS Originação 12,5%
Pagto 07/02/2024</t>
        </r>
      </text>
    </comment>
    <comment ref="F7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29/01
</t>
        </r>
      </text>
    </comment>
    <comment ref="AB79" authorId="1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JHS Originação 12,5%
Pagto 07/02/2024</t>
        </r>
      </text>
    </comment>
  </commentList>
</comments>
</file>

<file path=xl/comments30.xml><?xml version="1.0" encoding="utf-8"?>
<comments xmlns="http://schemas.openxmlformats.org/spreadsheetml/2006/main">
  <authors>
    <author>JHS Alimentos</author>
    <author>User</author>
    <author>Usuario</author>
    <author>Jhs Alimentos</author>
  </authors>
  <commentList>
    <comment ref="G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LOTE INICIAL 250M
ABATE DIA 08/01</t>
        </r>
      </text>
    </comment>
    <comment ref="AA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R$ 116.273,20
5 carretas
Pgto programado para dia 17/01</t>
        </r>
      </text>
    </comment>
    <comment ref="AC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LOTE INICIAL 250M
ABATE DIA 08/01</t>
        </r>
      </text>
    </comment>
    <comment ref="AA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R$ 116.273,20
5 carretas
Pgto programado para dia 17/01</t>
        </r>
      </text>
    </comment>
    <comment ref="AC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09/01
</t>
        </r>
      </text>
    </comment>
    <comment ref="AA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R$ 9.513,80
1 carreta
Pagto programado p/ 17/01/2024</t>
        </r>
      </text>
    </comment>
    <comment ref="AC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10/01
</t>
        </r>
      </text>
    </comment>
    <comment ref="AA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R$ 9.513,80
1 carreta
Pagto programado p/ 17/01/2024</t>
        </r>
      </text>
    </comment>
    <comment ref="AC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09/01
</t>
        </r>
      </text>
    </comment>
    <comment ref="AA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R$ 23.245,40
1 careta
Pgto programado para dia 17/01</t>
        </r>
      </text>
    </comment>
    <comment ref="AC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08/01</t>
        </r>
      </text>
    </comment>
    <comment ref="AA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R$ 11.937,14
1 carreta
Pgto programado para dia 17/01</t>
        </r>
      </text>
    </comment>
    <comment ref="AC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1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10/01</t>
        </r>
      </text>
    </comment>
    <comment ref="AA1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Transboca R$ 42.788,40
2 carretas
Pagto programado p/ 17/01/2024
Malone R$ 21.212,03
1 carreta
Pagto programado p/ 17/01/2024
R3 R$ 21.462,93
1 carreta
Pagto programado p/ 17/01/2024</t>
        </r>
      </text>
    </comment>
    <comment ref="AC1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1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09/01
</t>
        </r>
      </text>
    </comment>
    <comment ref="AA1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R$ 2.998,44
1 carretra
Pgto programado para dia 17/01
Transbroca R$ 7.367,60
2 carretas
Pgto programado para dia 17/01
Florenzio Silva R$ 3.048,80
1 carreta
Pgto programado para dia 17/01</t>
        </r>
      </text>
    </comment>
    <comment ref="AC1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12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10/01
</t>
        </r>
      </text>
    </comment>
    <comment ref="AA12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R$ 6.953,60
1 carreta
Pagto programado p/ 17/01/2024</t>
        </r>
      </text>
    </comment>
    <comment ref="AC12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1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10/01</t>
        </r>
      </text>
    </comment>
    <comment ref="AA1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R$ 6.953,60
1 carreta
Pagto programado p/ 17/01/2024</t>
        </r>
      </text>
    </comment>
    <comment ref="AC1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DIA 11/01</t>
        </r>
      </text>
    </comment>
    <comment ref="AA14" authorId="1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Maloni R$ 20.748,35
1 carreta
Pgto realizado em 24/01/24</t>
        </r>
      </text>
    </comment>
    <comment ref="AC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1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11/01</t>
        </r>
      </text>
    </comment>
    <comment ref="AA15" authorId="1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R3 R$ 15.566,80
1 carreta
Pagto realizado em 24/01/24</t>
        </r>
      </text>
    </comment>
    <comment ref="AC1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1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11/01</t>
        </r>
      </text>
    </comment>
    <comment ref="AA16" authorId="1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Malone R$ 4.697,60
01 carreta
Pgto realizado em 24/01/24</t>
        </r>
      </text>
    </comment>
    <comment ref="AC1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1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11/01</t>
        </r>
      </text>
    </comment>
    <comment ref="AA17" authorId="1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R3 R$ 39.356,41
2 carreta
Pagto realizado em 24/01/24</t>
        </r>
      </text>
    </comment>
    <comment ref="AC1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H1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12/01</t>
        </r>
      </text>
    </comment>
    <comment ref="AA18" authorId="1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R3 R$ 11.238,20 
1 carreta
Pagto realizado em 24/01/24</t>
        </r>
      </text>
    </comment>
    <comment ref="AC1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12/01</t>
        </r>
      </text>
    </comment>
    <comment ref="AA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R$ 5.851,60
1 carreta
Pgto realizado em 24/01/24
Malone R$ 5.717,40
1 carreta
Pgto realizado em 24/01/24
Transbroca R$ 5.897,20
1 carreta
Pgto realizado em 24/01/24</t>
        </r>
      </text>
    </comment>
    <comment ref="AC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2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Boi fugiu vai embarcar domingo e abater dia 15/01</t>
        </r>
      </text>
    </comment>
    <comment ref="AA2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R$ 5.851,60
1 carreta
Malone R$ 5.717,40
1 carreta
Pgto realizado em 24/01/24
Transbroca R$ 5.897,20
1 carreta</t>
        </r>
      </text>
    </comment>
    <comment ref="AC2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2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12/01
Morreu um animal, descontar da transportadora</t>
        </r>
      </text>
    </comment>
    <comment ref="AA2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Morreu um animal, descontar da transportadora (valor R$ 4.754,58)
Malone R$ 10.487,60
1 carreta
Pgto realizado em 24/01/24</t>
        </r>
      </text>
    </comment>
    <comment ref="AC2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22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11/01</t>
        </r>
      </text>
    </comment>
    <comment ref="AA22" authorId="1" shapeId="0">
      <text>
        <r>
          <rPr>
            <b/>
            <sz val="9"/>
            <color indexed="81"/>
            <rFont val="Segoe UI"/>
            <family val="2"/>
          </rPr>
          <t>User:</t>
        </r>
        <r>
          <rPr>
            <sz val="9"/>
            <color indexed="81"/>
            <rFont val="Segoe UI"/>
            <family val="2"/>
          </rPr>
          <t xml:space="preserve">
Maloni R$ 1.612,80
1 carreta
Pgto realizado em 24/01/24</t>
        </r>
      </text>
    </comment>
    <comment ref="AC22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2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15/01</t>
        </r>
      </text>
    </comment>
    <comment ref="AA2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R$ 50.636,32
2 carretas
Pgto realizado em 24/01/24
R3 R$ 50.678,06
2 carretas
Pgto realizado em 24/01/24
Transbroca R$ 25.479,00
1 carreta
Pgto realizado em 24/01/24</t>
        </r>
      </text>
    </comment>
    <comment ref="AC2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16/01/2024</t>
        </r>
      </text>
    </comment>
    <comment ref="AA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R$ 76.359,28
3 carretas
Pgto realizado em 24/01/24
Malone R$ 25.318,16
1 carreta
Pgto realizado em 24/01/24</t>
        </r>
      </text>
    </comment>
    <comment ref="AC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2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17/01</t>
        </r>
      </text>
    </comment>
    <comment ref="AA2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R$ 20.088,40
2 carretas
Transbroca R$ 10.169,20
1 carreta</t>
        </r>
      </text>
    </comment>
    <comment ref="AC2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2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17/01</t>
        </r>
      </text>
    </comment>
    <comment ref="AA2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R$ 6.588,40
Pgto realizado em 24/01/24</t>
        </r>
      </text>
    </comment>
    <comment ref="AC2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2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19/01</t>
        </r>
      </text>
    </comment>
    <comment ref="AA2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R$ 10.169,20</t>
        </r>
      </text>
    </comment>
    <comment ref="AC2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2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19/01</t>
        </r>
      </text>
    </comment>
    <comment ref="AA2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R$ 78.185,34
4 carreta</t>
        </r>
      </text>
    </comment>
    <comment ref="AC2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18/01</t>
        </r>
      </text>
    </comment>
    <comment ref="K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50M Rio verde x JBS - 24.060,00Kg
50M Rio verde x JBS - 24.380,00Kg
100M Serranopolis x JBS - 51.360,00Kg
O romaneio do abate veio somando os três lotes acima, sendo assim, foi feito a conta do RC Morto manual conforme abaixo: 
Total peso morto: 52.195,00kg/ Total peso vivo: 99.800,00kg = RC Morto 52,3%</t>
        </r>
      </text>
    </comment>
    <comment ref="L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Feito média, pois o romaneio de abate somou os três lotes.
Peso total do romaneio 52.195,00kg</t>
        </r>
      </text>
    </comment>
    <comment ref="AA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R$ 16.774,80
2 carretas</t>
        </r>
      </text>
    </comment>
    <comment ref="AC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3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18/01</t>
        </r>
      </text>
    </comment>
    <comment ref="K3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50M Rio verde x JBS - 24.060,00Kg
50M Rio verde x JBS - 24.380,00Kg
100M Serranopolis x JBS - 51.360,00Kg
O romaneio do abate veio somando os três lotes acima, sendo assim, foi feito a conta do RC Morto manual conforme abaixo: 
Total peso morto: 52.195,00kg/ Total peso vivo: 99.800,00kg = RC Morto 52,3%</t>
        </r>
      </text>
    </comment>
    <comment ref="L3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Feito média, pois o romaneio de abate somou os três lotes.
Peso total do romaneio 52.195,00kg</t>
        </r>
      </text>
    </comment>
    <comment ref="AA3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R$ 16.774,80
2 carretas</t>
        </r>
      </text>
    </comment>
    <comment ref="AC3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3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18/01</t>
        </r>
      </text>
    </comment>
    <comment ref="K3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50M Rio verde x JBS - 24.060,00Kg
50M Rio verde x JBS - 24.380,00Kg
100M Serranopolis x JBS - 51.360,00Kg
O romaneio do abate veio somando os três lotes acima, sendo assim, foi feito a conta do RC Morto manual conforme abaixo: 
Total peso morto: 52.195,00kg/ Total peso vivo: 99.800,00kg = RC Morto 52,3%</t>
        </r>
      </text>
    </comment>
    <comment ref="L3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Feito média, pois o romaneio de abate somou os três lotes.
Peso total do romaneio 52.195,00kg</t>
        </r>
      </text>
    </comment>
    <comment ref="AA3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R$ 9.377,60
1 carreta
Malone R$ 9.186,40
1 carreta</t>
        </r>
      </text>
    </comment>
    <comment ref="AC3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32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22/01</t>
        </r>
      </text>
    </comment>
    <comment ref="AA32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R$ 16.027,60
1 carreta</t>
        </r>
      </text>
    </comment>
    <comment ref="AC32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3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22/01</t>
        </r>
      </text>
    </comment>
    <comment ref="AA3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R$ 11.237,20
1 carreta</t>
        </r>
      </text>
    </comment>
    <comment ref="AC3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22/01</t>
        </r>
      </text>
    </comment>
    <comment ref="AA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Vão ser dois fretes:
Itaberai x Confinamento (16/01)
Transbroca R$ 18.806,40
Confinamento x Gastao Vidigal (21/01)</t>
        </r>
      </text>
    </comment>
    <comment ref="AC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3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22/01</t>
        </r>
      </text>
    </comment>
    <comment ref="AA3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Vão ser dois fretes:
Itaberai x Confinamento (16/01)
Transbroca R$ 18.806,40
Confinamento x Gastao Vidigal (21/01)</t>
        </r>
      </text>
    </comment>
    <comment ref="AC3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3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23/01</t>
        </r>
      </text>
    </comment>
    <comment ref="AA3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R$ 9.198,40
1 carreta
R3 R$ 9.175,60
1 carreta</t>
        </r>
      </text>
    </comment>
    <comment ref="AC3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3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22/01</t>
        </r>
      </text>
    </comment>
    <comment ref="AA3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R$ 2,854,62
1 carreta</t>
        </r>
      </text>
    </comment>
    <comment ref="AC3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3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22/01</t>
        </r>
      </text>
    </comment>
    <comment ref="AA3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R$ 18.014,40
2 carretas
Transbroca R$ 18.396,80
2 carretas</t>
        </r>
      </text>
    </comment>
    <comment ref="AC3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25/01</t>
        </r>
      </text>
    </comment>
    <comment ref="AA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(PIRAPO) R$ 22.684,76
MALONE R$ 22.186,93 
01 CARRETA
TRANSBROCA R$ 22.241,31 
01 CARRETA
R3 R$ 22.120,53
01 CARRETA</t>
        </r>
      </text>
    </comment>
    <comment ref="AC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4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23/01</t>
        </r>
      </text>
    </comment>
    <comment ref="AA4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R$ 4.491,96
1 carreta</t>
        </r>
      </text>
    </comment>
    <comment ref="AC40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4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23/01
</t>
        </r>
      </text>
    </comment>
    <comment ref="AA4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R$ 4.491,96
1 carreta</t>
        </r>
      </text>
    </comment>
    <comment ref="AC41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42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23/01
</t>
        </r>
      </text>
    </comment>
    <comment ref="AA42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R$ 4.491,96
1 carreta</t>
        </r>
      </text>
    </comment>
    <comment ref="AC42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4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23/01
</t>
        </r>
      </text>
    </comment>
    <comment ref="AA4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R$ 4.491,96
1 carreta</t>
        </r>
      </text>
    </comment>
    <comment ref="AC4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26/01</t>
        </r>
      </text>
    </comment>
    <comment ref="AA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R$ 20.850,96
1 CARRETA
MALONE R$ 20.846,56</t>
        </r>
      </text>
    </comment>
    <comment ref="AC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4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25/01</t>
        </r>
      </text>
    </comment>
    <comment ref="AA4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R$ 11.233,92</t>
        </r>
      </text>
    </comment>
    <comment ref="AC45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4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26/01</t>
        </r>
      </text>
    </comment>
    <comment ref="AA4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R$ 32.055,20
3 carreta</t>
        </r>
      </text>
    </comment>
    <comment ref="AC46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Comissão paga à 12,5% para a JHS Originação</t>
        </r>
      </text>
    </comment>
    <comment ref="G4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29/01</t>
        </r>
      </text>
    </comment>
    <comment ref="AA47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R$ 11.375,60
01 carreta</t>
        </r>
      </text>
    </comment>
    <comment ref="AC47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JHS Originação 12,5%
Pagto: 07/02/2024</t>
        </r>
      </text>
    </comment>
    <comment ref="G4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29/01
</t>
        </r>
      </text>
    </comment>
    <comment ref="AA48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R$ 20.749,16
R3 R$ 62.847,25
03 CARRETA
TANSBROCA R$ 20.867,00
01 CARRETA</t>
        </r>
      </text>
    </comment>
    <comment ref="AC48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JHS Originação 12,5%
Pagto 07/02/2024</t>
        </r>
      </text>
    </comment>
    <comment ref="G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29/01
</t>
        </r>
      </text>
    </comment>
    <comment ref="AC49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JHS Originação 12,5%
Pagto 07/02/2024</t>
        </r>
      </text>
    </comment>
    <comment ref="G52" authorId="2" shapeId="0">
      <text>
        <r>
          <rPr>
            <b/>
            <sz val="9"/>
            <color indexed="81"/>
            <rFont val="Segoe UI"/>
            <family val="2"/>
          </rPr>
          <t xml:space="preserve">Usuario:DATA ABATE: </t>
        </r>
        <r>
          <rPr>
            <sz val="9"/>
            <color indexed="81"/>
            <rFont val="Segoe UI"/>
            <family val="2"/>
          </rPr>
          <t>30/01/2024</t>
        </r>
      </text>
    </comment>
    <comment ref="AA52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R$ 10.158,40
01 carreta</t>
        </r>
      </text>
    </comment>
    <comment ref="AC52" authorId="2" shapeId="0">
      <text>
        <r>
          <rPr>
            <b/>
            <sz val="9"/>
            <color indexed="81"/>
            <rFont val="Segoe UI"/>
            <family val="2"/>
          </rPr>
          <t>Usuario:JHS Originação - 12,5%
Pagto: 07/02/2024</t>
        </r>
      </text>
    </comment>
    <comment ref="B53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Valor não pago em 30/01/2024 - Erro Dados Banco.
Pagto p/ 31/01/2024</t>
        </r>
      </text>
    </comment>
    <comment ref="AA53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R$ 17.908,90
02 caretas
Transbroca R$ 18.080,40
02 carreta
R3 RS 18.096,00
02 carretas</t>
        </r>
      </text>
    </comment>
    <comment ref="AC53" authorId="3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- 12,50%
Pagto: 14/02/2024</t>
        </r>
      </text>
    </comment>
  </commentList>
</comments>
</file>

<file path=xl/comments31.xml><?xml version="1.0" encoding="utf-8"?>
<comments xmlns="http://schemas.openxmlformats.org/spreadsheetml/2006/main">
  <authors>
    <author>Usuario</author>
    <author>JHS Alimentos</author>
    <author>Jhs Alimentos</author>
  </authors>
  <commentList>
    <comment ref="G4" authorId="0" shapeId="0">
      <text>
        <r>
          <rPr>
            <b/>
            <sz val="9"/>
            <color indexed="81"/>
            <rFont val="Segoe UI"/>
            <family val="2"/>
          </rPr>
          <t xml:space="preserve">Usuario:DATA ABATE: </t>
        </r>
        <r>
          <rPr>
            <sz val="9"/>
            <color indexed="81"/>
            <rFont val="Segoe UI"/>
            <family val="2"/>
          </rPr>
          <t>30/01/2024</t>
        </r>
      </text>
    </comment>
    <comment ref="AA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R$ 10.158,40
01 carreta</t>
        </r>
      </text>
    </comment>
    <comment ref="AC4" authorId="0" shapeId="0">
      <text>
        <r>
          <rPr>
            <b/>
            <sz val="9"/>
            <color indexed="81"/>
            <rFont val="Segoe UI"/>
            <family val="2"/>
          </rPr>
          <t>Usuario:JHS Originação - 12,5%
Pagto: 07/02/2024</t>
        </r>
      </text>
    </comment>
    <comment ref="G10" authorId="0" shapeId="0">
      <text>
        <r>
          <rPr>
            <b/>
            <sz val="9"/>
            <color indexed="81"/>
            <rFont val="Segoe UI"/>
            <family val="2"/>
          </rPr>
          <t xml:space="preserve">Usuario:DATA ABATE: </t>
        </r>
        <r>
          <rPr>
            <sz val="9"/>
            <color indexed="81"/>
            <rFont val="Segoe UI"/>
            <family val="2"/>
          </rPr>
          <t>30/01/2024</t>
        </r>
      </text>
    </comment>
    <comment ref="AA10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R$ 10.158,40
01 carreta</t>
        </r>
      </text>
    </comment>
    <comment ref="AC10" authorId="0" shapeId="0">
      <text>
        <r>
          <rPr>
            <b/>
            <sz val="9"/>
            <color indexed="81"/>
            <rFont val="Segoe UI"/>
            <family val="2"/>
          </rPr>
          <t>Usuario:JHS Originação - 12,5%
Pagto: 07/02/2024</t>
        </r>
      </text>
    </comment>
    <comment ref="G16" authorId="0" shapeId="0">
      <text>
        <r>
          <rPr>
            <b/>
            <sz val="9"/>
            <color indexed="81"/>
            <rFont val="Segoe UI"/>
            <family val="2"/>
          </rPr>
          <t>Usuario:
DATA DO ABATE:</t>
        </r>
        <r>
          <rPr>
            <sz val="9"/>
            <color indexed="81"/>
            <rFont val="Segoe UI"/>
            <family val="2"/>
          </rPr>
          <t xml:space="preserve">
30/01/2024</t>
        </r>
      </text>
    </comment>
    <comment ref="AA16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R$ 16.514,00
01 carreta</t>
        </r>
      </text>
    </comment>
    <comment ref="AC16" authorId="0" shapeId="0">
      <text>
        <r>
          <rPr>
            <b/>
            <sz val="9"/>
            <color indexed="81"/>
            <rFont val="Segoe UI"/>
            <family val="2"/>
          </rPr>
          <t>Usuario:JHS Originação - 12,5%
Pagto: 07/02/2024</t>
        </r>
      </text>
    </comment>
    <comment ref="G21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Data Abate: 30/01/2024</t>
        </r>
      </text>
    </comment>
    <comment ref="AA21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R$ 2.736,80
01 carreta
Transbroca R$ 5.473,60
02 carreta</t>
        </r>
      </text>
    </comment>
    <comment ref="AC21" authorId="0" shapeId="0">
      <text>
        <r>
          <rPr>
            <b/>
            <sz val="9"/>
            <color indexed="81"/>
            <rFont val="Segoe UI"/>
            <family val="2"/>
          </rPr>
          <t>Usuario:JHS Originação - 12,5%
Pagto: 07/02/2024</t>
        </r>
      </text>
    </comment>
    <comment ref="A26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Pagamento realizado pelo Felipp</t>
        </r>
      </text>
    </comment>
    <comment ref="AA26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R$ 5.473,60
02 carreta</t>
        </r>
      </text>
    </comment>
    <comment ref="AC26" authorId="2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- 12,50%
Pagto: 14/02/2024
ID 1341</t>
        </r>
      </text>
    </comment>
    <comment ref="A31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Pagamento realizado pelo Felipp</t>
        </r>
      </text>
    </comment>
    <comment ref="AA31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R$ 5.473,60
02 carreta</t>
        </r>
      </text>
    </comment>
    <comment ref="AC31" authorId="2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- 12,50%
Pagto: 14/02/2024
ID 1342</t>
        </r>
      </text>
    </comment>
    <comment ref="A36" authorId="0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Valor não pago em 30/01/2024 - Erro Dados Banco.
Pagto p/ 31/01/2024</t>
        </r>
      </text>
    </comment>
    <comment ref="AA36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R$ 17.908,90
02 caretas
Transbroca R$ 18.080,40
02 carreta
R3 RS 18.096,00
02 carretas</t>
        </r>
      </text>
    </comment>
    <comment ref="AC36" authorId="2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- 12,50%
Pagto: 14/02/2024</t>
        </r>
      </text>
    </comment>
    <comment ref="G41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05/02/2024</t>
        </r>
      </text>
    </comment>
    <comment ref="AA41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Joao Bianchi R$ 8.985,80
01 carreta
Malone R$ 17.908,90
02 carreta
Transbroca R$ 27.120,60
03 carreta</t>
        </r>
      </text>
    </comment>
    <comment ref="AC41" authorId="2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- 12,50%
Pagto: 14/02/2024
ID </t>
        </r>
      </text>
    </comment>
    <comment ref="G46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05/02/2024</t>
        </r>
      </text>
    </comment>
    <comment ref="AA46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Joao Bianchi R$ 8.985,80
01 carreta
Malone R$ 17.908,90
02 carreta
Transbroca R$ 27.120,60
03 carreta</t>
        </r>
      </text>
    </comment>
    <comment ref="AC46" authorId="2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- 12,50%
Pagto: 14/02/2024</t>
        </r>
      </text>
    </comment>
  </commentList>
</comments>
</file>

<file path=xl/comments32.xml><?xml version="1.0" encoding="utf-8"?>
<comments xmlns="http://schemas.openxmlformats.org/spreadsheetml/2006/main">
  <authors>
    <author>JHS Alimentos</author>
    <author>Jhs Alimentos</author>
    <author>Usuario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07/02/2024</t>
        </r>
      </text>
    </comment>
    <comment ref="Z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R4 21.225,55
01 carreta
R3 R$ 20.843,46
01 carreta</t>
        </r>
      </text>
    </comment>
    <comment ref="AB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- 12,50%
Pagto: 14/02/2024
ID 1353 e 1354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08/02/2024</t>
        </r>
      </text>
    </comment>
    <comment ref="Z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R4 21.225,55
01 carreta
R3 R$ 20.843,46
01 carreta</t>
        </r>
      </text>
    </comment>
    <comment ref="AB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- 12,50%
Pagto: 14/02/2024
ID 1353 e 1354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06/02/2024</t>
        </r>
      </text>
    </comment>
    <comment ref="Z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R$ 9.697,40
01 careta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- 12,50¨%
Pagto: 14/02/2024
ID 1352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06/02/2024</t>
        </r>
      </text>
    </comment>
    <comment ref="Z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R$ 9.684,80
01 carreta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- 12,50¨%
Pagto: 14/02/2024
ID 1351</t>
        </r>
      </text>
    </comment>
    <comment ref="F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08/02/2024</t>
        </r>
      </text>
    </comment>
    <comment ref="Z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Tranbroca R$ 22.939,00
01 carreta
Malone
R$ 22.894,93
01 carreta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- 12,50¨%
Pagto: 14/02/2024
ID 1359</t>
        </r>
      </text>
    </comment>
    <comment ref="E2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Previsão era Abate no JBS de 50 Bois. Foi alterado p/
- JBS - 08/02/2024 - 30 Bois
- RED MEAT - 09/02/2024 - 20 Bois</t>
        </r>
      </text>
    </comment>
    <comment ref="F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08/02/2024</t>
        </r>
      </text>
    </comment>
    <comment ref="Z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R$ 25.299,20
01 carreta c/ 50 bois
Sendo 30 JBS e 20 RED MEAT
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- 12,50¨%
Pagto: 14/02/2024
ID 1358</t>
        </r>
      </text>
    </comment>
    <comment ref="F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
08/02/2024</t>
        </r>
      </text>
    </comment>
    <comment ref="Z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Tranbroca R$ 19.569,35
01 carreta
Malone R$ 20.565,33
01carreta</t>
        </r>
      </text>
    </comment>
    <comment ref="AB3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- 12,50%
Pagto|: 14/02/2024
50 Bois RED MEAT
56 Bois JBS
ID 1360, 1361 e 1362</t>
        </r>
      </text>
    </comment>
    <comment ref="F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08/02/2024</t>
        </r>
      </text>
    </comment>
    <comment ref="Z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Tranbroca R$ 19.569,35
01 carreta
Malone R$ 20.565,33
01 carreta</t>
        </r>
      </text>
    </comment>
    <comment ref="AB3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 - 12,50%
Pagto|: 14/02/2024
50 Bois RED MEAT
56 Bois JBS
ID 1360, 1361 e 1362</t>
        </r>
      </text>
    </comment>
    <comment ref="F44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ABATE: 07/02/2024</t>
        </r>
      </text>
    </comment>
    <comment ref="Z4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R$ 1.504,00
01 carreta
Pagto: 21/02/2024</t>
        </r>
      </text>
    </comment>
    <comment ref="AB4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1363</t>
        </r>
      </text>
    </comment>
    <comment ref="F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09/02/2024</t>
        </r>
      </text>
    </comment>
    <comment ref="Z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Tranbroca R$ 8.727,60
01 carreta
R3 R$ 17.473,20
02 carreta</t>
        </r>
      </text>
    </comment>
    <comment ref="AB4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1365 e 1366</t>
        </r>
      </text>
    </comment>
    <comment ref="F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09/02/2024</t>
        </r>
      </text>
    </comment>
    <comment ref="Z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Tranbroca R$ 8.727,60
01 carreta
R3 R$ 17.473,20
02 carreta</t>
        </r>
      </text>
    </comment>
    <comment ref="AB5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1365 e 1366</t>
        </r>
      </text>
    </comment>
    <comment ref="F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09/02/2024</t>
        </r>
      </text>
    </comment>
    <comment ref="Z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Tranbroca R$ 16.032,40
02 carreta
R3 R$ 8.027,60
01 carreta</t>
        </r>
      </text>
    </comment>
    <comment ref="AB5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1367</t>
        </r>
      </text>
    </comment>
    <comment ref="F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12/02/2024</t>
        </r>
      </text>
    </comment>
    <comment ref="Z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R$ 27.517,36
01 carreta</t>
        </r>
      </text>
    </comment>
    <comment ref="AB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1379</t>
        </r>
      </text>
    </comment>
    <comment ref="F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12/02/2024</t>
        </r>
      </text>
    </comment>
    <comment ref="Z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R$ 15.244,20
01 carreta</t>
        </r>
      </text>
    </comment>
    <comment ref="AB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1377 e 1378</t>
        </r>
      </text>
    </comment>
    <comment ref="F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12/02/2024</t>
        </r>
      </text>
    </comment>
    <comment ref="Z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R$ 15.244,20
01 carreta</t>
        </r>
      </text>
    </comment>
    <comment ref="AB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1377 e 1378
</t>
        </r>
      </text>
    </comment>
    <comment ref="F7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12/02/2024</t>
        </r>
      </text>
    </comment>
    <comment ref="Z7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R$ 9.834,80
01 carreta</t>
        </r>
      </text>
    </comment>
    <comment ref="AB7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1375</t>
        </r>
      </text>
    </comment>
    <comment ref="F8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12/02/2024</t>
        </r>
      </text>
    </comment>
    <comment ref="Z84" authorId="0" shapeId="0">
      <text>
        <r>
          <rPr>
            <b/>
            <sz val="9"/>
            <color indexed="81"/>
            <rFont val="Segoe UI"/>
            <family val="2"/>
          </rPr>
          <t xml:space="preserve">JHS Alimentos
</t>
        </r>
        <r>
          <rPr>
            <sz val="9"/>
            <color indexed="81"/>
            <rFont val="Segoe UI"/>
            <family val="2"/>
          </rPr>
          <t>R3 R$ 23.116,72
01 CARRETA</t>
        </r>
      </text>
    </comment>
    <comment ref="AB8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1376</t>
        </r>
      </text>
    </comment>
    <comment ref="F8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12/02/2024</t>
        </r>
      </text>
    </comment>
    <comment ref="Z8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R$ 11.956,00
01 carreta</t>
        </r>
      </text>
    </comment>
    <comment ref="AB8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1383 e 1384</t>
        </r>
      </text>
    </comment>
    <comment ref="F9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12/02/2024</t>
        </r>
      </text>
    </comment>
    <comment ref="Z9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R$ 11.956,00
01 carreta</t>
        </r>
      </text>
    </comment>
    <comment ref="AB9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1383 e 1384</t>
        </r>
      </text>
    </comment>
    <comment ref="F9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12/02/2024</t>
        </r>
      </text>
    </comment>
    <comment ref="Z9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Malone R$ 10.579,40
01 carreta</t>
        </r>
      </text>
    </comment>
    <comment ref="AB9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1380</t>
        </r>
      </text>
    </comment>
    <comment ref="F10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
/02/2024</t>
        </r>
      </text>
    </comment>
  </commentList>
</comments>
</file>

<file path=xl/comments33.xml><?xml version="1.0" encoding="utf-8"?>
<comments xmlns="http://schemas.openxmlformats.org/spreadsheetml/2006/main">
  <authors>
    <author>Jhs Alimentos</author>
    <author>JHS Alimentos</author>
    <author>Usuario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16/02/2024</t>
        </r>
      </text>
    </comment>
    <comment ref="Z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02 CARRETAS - 100 BOIS - R$ 43.865,37
02 CARRETAS - 100 BOIS - R$ 40.461,24
PAGTO: 28/02/2024</t>
        </r>
      </text>
    </comment>
    <comment ref="AB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JHS Originação: 12,50%
Pagto: 28/02/2024
ID: 1385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Estava Previsto Abate: 19/02/2024
ABATE em 20/12/2024</t>
        </r>
      </text>
    </comment>
    <comment ref="Z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MALONI TRANSPORTES
02 CARRETAS - 100 BOIS
R$ 54.198,60
PAGTO; 28/02/2024</t>
        </r>
      </text>
    </comment>
    <comment ref="AB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1389 - JHS ORIGINAÇÃO
R$ 2.662,50 100 BOIS
PAGTO: 06/03/2024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20/02/2024</t>
        </r>
      </text>
    </comment>
    <comment ref="Z1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MALONI TRANSPORTES
02 CARRETAS - 100 BOIS
R$ 54.198,60
PAGTO; 28/02/2024</t>
        </r>
      </text>
    </comment>
    <comment ref="AB1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1389 - JHS ORIGINAÇÃO
R$ 2.662,50 100 BOIS
PAGTO: 06/03/2024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19/02/2024</t>
        </r>
      </text>
    </comment>
    <comment ref="Z19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R3 Transportes - R$ 56.497,92 - 02 carretas
Transbroca - R$ 28.290,60 - 01 carreta
Maloni - R$ 28.008,10 - 01 carreta</t>
        </r>
      </text>
    </comment>
    <comment ref="AB1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1388 - JHS ORIGINAÇÃO
R$ 5.375,00
PAGTO: 06/03/2024</t>
        </r>
      </text>
    </comment>
    <comment ref="F3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
/02/2024</t>
        </r>
      </text>
    </comment>
    <comment ref="F5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
/02/2024</t>
        </r>
      </text>
    </comment>
    <comment ref="F7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
/02/2024</t>
        </r>
      </text>
    </comment>
    <comment ref="F8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
/02/2024</t>
        </r>
      </text>
    </comment>
  </commentList>
</comments>
</file>

<file path=xl/comments34.xml><?xml version="1.0" encoding="utf-8"?>
<comments xmlns="http://schemas.openxmlformats.org/spreadsheetml/2006/main">
  <authors>
    <author>Jhs Alimentos</author>
    <author>JHS Alimentos</author>
    <author>Usuario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20/02/2024</t>
        </r>
      </text>
    </comment>
    <comment ref="Z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Transportes
01 Carreta - 50 Bois
R$ 9.682,00
Pagto: 28/02/2024</t>
        </r>
      </text>
    </comment>
    <comment ref="AB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1392 - JHS ORIGINAÇÃO
R$ 1.406,25
PAGTO: 06/03/2024</t>
        </r>
      </text>
    </comment>
    <comment ref="F9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ABATE: 21/02/2024</t>
        </r>
      </text>
    </comment>
    <comment ref="Z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Transportes
01 Carreta - 50 Bois
R$ 8.956,30
Pagto: 28/02/2024</t>
        </r>
      </text>
    </comment>
    <comment ref="AB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1396 / 1397 - JHS ORIGINAÇÃO
R$ 1.393,75
PAGTO: 06/03/2024</t>
        </r>
      </text>
    </comment>
    <comment ref="F14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ABATE: 21/02/2024</t>
        </r>
      </text>
    </comment>
    <comment ref="Z1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Transportes
01 Carreta - 50 Bois
R$ 8.956,30
Pagto: 28/02/2024</t>
        </r>
      </text>
    </comment>
    <comment ref="AB1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1396 / 1397 - JHS ORIGINAÇÃO
R$ 1.393,75
PAGTO: 06/03/2024</t>
        </r>
      </text>
    </comment>
    <comment ref="F19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ABATE: 21/02/2024</t>
        </r>
      </text>
    </comment>
    <comment ref="Z1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 Transportes
01 Carreta - 53 Bois
R$ 6.598,40
Pagto: 28/02/2024</t>
        </r>
      </text>
    </comment>
    <comment ref="AB1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1395 - JHS ORIGINAÇÃO
R$ 1.490,63
PAGTO: 06/03/2024</t>
        </r>
      </text>
    </comment>
    <comment ref="F24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ABATE: 21/02/2024</t>
        </r>
      </text>
    </comment>
    <comment ref="Z2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 -  01 Carreta
Pagto: 06/03/2024</t>
        </r>
      </text>
    </comment>
    <comment ref="AB2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1398 - JHS ORIGINAÇÃO
R$ 1.312,50
PAGTO: 06/03/2024</t>
        </r>
      </text>
    </comment>
    <comment ref="F29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ABATE: 21/02/2024</t>
        </r>
      </text>
    </comment>
    <comment ref="Z2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MALONI TRANSPORTES
01 CARRETA - 50 BOIS
R$ 9.706,80
PAGTO: 28/02/2024</t>
        </r>
      </text>
    </comment>
    <comment ref="AB2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1394 - JHS ORIGINAÇÃO
R$ 1.406,25
PAGTO: 06/03/2024</t>
        </r>
      </text>
    </comment>
    <comment ref="F34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ABATE: 22/02/2024</t>
        </r>
      </text>
    </comment>
    <comment ref="Z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
R$ 22.009,82
Pagto: 06/03/2024</t>
        </r>
      </text>
    </comment>
    <comment ref="AB3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1399 / 1400 - JHS ORIGINAÇÃO
R$ 1.281,25 - 50 BOIS
PAGTO: 06/03/2024</t>
        </r>
      </text>
    </comment>
    <comment ref="F39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ABATE: 22/02/2024</t>
        </r>
      </text>
    </comment>
    <comment ref="Z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
R$ 22.009,82
Pagto: 06/03/2024</t>
        </r>
      </text>
    </comment>
    <comment ref="AB3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1399 / 1400 - JHS ORIGINAÇÃO
R$ 1.281,25 - 50 BOIS
PAGTO: 06/03/2024</t>
        </r>
      </text>
    </comment>
    <comment ref="F4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21/02/2024</t>
        </r>
      </text>
    </comment>
    <comment ref="Z4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EDILSON HONORIO
26 Animais
R$ 1.200,00
Pagto: 06/03/2024</t>
        </r>
      </text>
    </comment>
    <comment ref="AB4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1404 / 1405 - JHS ORIGINAÇÃO
R$ 737,50 - 26 BOIS
PAGTO: 06/03/2024</t>
        </r>
      </text>
    </comment>
    <comment ref="F4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21/02/2024</t>
        </r>
      </text>
    </comment>
    <comment ref="Z4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EDILSON HONORIO
26 Animais
R$ 1.200,00
Pagto: 06/03/2024</t>
        </r>
      </text>
    </comment>
    <comment ref="AB4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1404 / 1405 - JHS ORIGINAÇÃO
R$ 737,50 - 26 BOIS
PAGTO: 06/03/2024</t>
        </r>
      </text>
    </comment>
    <comment ref="F54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ABATE: 22/04/2024</t>
        </r>
      </text>
    </comment>
    <comment ref="Z5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Transportadora 4L
01 CARRETA
R$ 1.062,40
PAGTO: 06/03/2024</t>
        </r>
      </text>
    </comment>
    <comment ref="AB5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1411 - JHS ORIGINAÇÃO
R$ 1.260,00
PAGTO: 06/03/2024</t>
        </r>
      </text>
    </comment>
    <comment ref="F5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22/02/2024</t>
        </r>
      </text>
    </comment>
    <comment ref="Z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- 42 M
R$ 2.883,20
Pagto: 06/03/2024
Angelo Beiço
01 carreta - 18 M
R$ 1.904,80
Pagto: 06/03/2024</t>
        </r>
      </text>
    </comment>
    <comment ref="AB5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1408 / 1409 - JHS ORIGINAÇÃO
R$ 1.800,00 60 BOIS
PAGTO: 06/03/2024</t>
        </r>
      </text>
    </comment>
    <comment ref="F6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22/02/2024</t>
        </r>
      </text>
    </comment>
    <comment ref="Z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- 42 M
R$ 2.883,20
Pagto: 06/03/2024
Angelo Beiço
01 carreta - 18 M
R$ 1.904,80
Pagto: 06/03/2024</t>
        </r>
      </text>
    </comment>
    <comment ref="AB6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1408 / 1409 - JHS ORIGINAÇÃO
R$ 1.800,00 60 BOIS
PAGTO: 06/03/2024</t>
        </r>
      </text>
    </comment>
    <comment ref="F6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22/02/2024</t>
        </r>
      </text>
    </comment>
    <comment ref="Z6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 Duda
01 CARRETA
R$ 1.404,00
PAGTO: 06/03/2024</t>
        </r>
      </text>
    </comment>
    <comment ref="AB6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1415 - JHS ORIGINAÇÃO
R$ 1.175,00
PAGTO: 06/03/2024</t>
        </r>
      </text>
    </comment>
    <comment ref="F7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23/02/2024</t>
        </r>
      </text>
    </comment>
    <comment ref="Z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
R$ 19.909,56
Pagto: 06/03/2024</t>
        </r>
      </text>
    </comment>
    <comment ref="AB7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1414 - JHS ORIGINAÇÃO
R$ 1.343,75
PAGTO: 06/03/2024</t>
        </r>
      </text>
    </comment>
    <comment ref="F7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23/02/2024</t>
        </r>
      </text>
    </comment>
    <comment ref="Z7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MALONI TRANSPORTES
01 CARRETA - 55 BOIS
R$ 6.572,40
PAGTO: 06/03/2024</t>
        </r>
      </text>
    </comment>
    <comment ref="AB7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1413 - JHS ORIGINAÇÃO
R$ 1.546,88
PAGTO: 06/03/2024</t>
        </r>
      </text>
    </comment>
    <comment ref="F8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23/02/2024</t>
        </r>
      </text>
    </comment>
    <comment ref="Z8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
01 Carreta
R$ 10.196,80
Pagto: 06/03/2024</t>
        </r>
      </text>
    </comment>
    <comment ref="AB8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1410 - JHS ORIGINAÇÃO
R$ 1.406,25
PAGTO: 06/03/2024</t>
        </r>
      </text>
    </comment>
    <comment ref="F8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23/02/2024</t>
        </r>
      </text>
    </comment>
    <comment ref="Z8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Transportadora 4L
01 CARRETA
R$ 3.436,09
PAGTO: 06/03/2024</t>
        </r>
      </text>
    </comment>
    <comment ref="AB8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1417 - JHS ORIGINAÇÃO
R$ 1.500,00
PAGTO: 06/03/2024</t>
        </r>
      </text>
    </comment>
    <comment ref="F9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26/02/2024</t>
        </r>
      </text>
    </comment>
    <comment ref="Z9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- 100 M
R$ 39.512,20
Pagto: 06/03/2024
Maloni Transportes
01 carreta - 50 M
R$ 19.888,88
Pagto: 06/03/2024</t>
        </r>
      </text>
    </comment>
    <comment ref="AB9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1418
JHS Originação
R$ 4.125,00
Pagto: 13/03/2024</t>
        </r>
      </text>
    </comment>
    <comment ref="F9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26/02/2024</t>
        </r>
      </text>
    </comment>
    <comment ref="Z9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- 50 Bois
R$ 27.798.,96
Pagto: 06/03/2024</t>
        </r>
      </text>
    </comment>
    <comment ref="AB9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1419
JHS Originação
R$ 1.343,75
Pagto: 13/03/2024</t>
        </r>
      </text>
    </comment>
    <comment ref="F10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27/02/2024</t>
        </r>
      </text>
    </comment>
    <comment ref="Z10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- 100 BOIS
R$ 41.739,42
PAGTO: 06/03/2024</t>
        </r>
      </text>
    </comment>
    <comment ref="AB10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1422
JHS Originação
R$ 2.750,00
Pagto: 13/03/2024</t>
        </r>
      </text>
    </comment>
    <comment ref="F10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26/02/2024</t>
        </r>
      </text>
    </comment>
    <comment ref="Z10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- 50 M
R$ 8.975,20
Pagto: 06/03/2024
Transbroca
01 carreta - 50 M
R$ 8.929,60
Pagto: 06/03/2024
Maloni Transportes
02 carreta - 50 M cada 
R$ 17.579,40
Pagto: 06/03/2024
Transportadora 4L
01 carreta - 50 M cada 
R$ 8.826,75
Pagto: 06/03/2024</t>
        </r>
      </text>
    </comment>
    <comment ref="AB10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1421
JHS Originação
250 Bois
R$ 7.031,25
Pagto: 13/03/2024</t>
        </r>
      </text>
    </comment>
    <comment ref="F11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27/02/2024</t>
        </r>
      </text>
    </comment>
    <comment ref="Z1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- 50 M
R$ 8.975,20
Pagto: 06/03/2024
Transbroca
01 carreta - 50 M
R$ 8.929,60
Pagto: 06/03/2024
Maloni Transportes
02 carreta - 50 M cada 
R$ 17.579,40
Pagto: 06/03/2024
Transportadora 4L
01 carreta - 50 M cada 
R$ 8.826,75
Pagto: 06/03/2024</t>
        </r>
      </text>
    </comment>
    <comment ref="AB11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1421
JHS Originação
250 Bois
R$ 7.031,25
Pagto: 13/03/2024</t>
        </r>
      </text>
    </comment>
  </commentList>
</comments>
</file>

<file path=xl/comments35.xml><?xml version="1.0" encoding="utf-8"?>
<comments xmlns="http://schemas.openxmlformats.org/spreadsheetml/2006/main">
  <authors>
    <author>JHS Alimentos</author>
    <author>Jhs Alimentos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27/02/2024</t>
        </r>
      </text>
    </comment>
    <comment ref="Z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
01 Carreta - 50 M
R$ 9.040,20
Pagto: 06/03/2024
Maloni Transportes
01 carreta - 50 M
R$ 9.001,40
Pagto: 06/03/2024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1423
JHS Originação
R$ 2.812,50
Pagto: 13/03/2024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28/02/2024</t>
        </r>
      </text>
    </comment>
    <comment ref="Z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
02 Carreta - 100 M
R$ 15.264,40
Pagto: 13/03/2024
Maloni Transportes
02 carreta - 100 M
R$ 15.018,80
Pagto: 13/03/2024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1425
JHS Originação
R$ 5.625,00
Pagto: 13/03/2024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29/02/2024</t>
        </r>
      </text>
    </comment>
    <comment ref="Z1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02 Carreta - 100 M
R$ 40.294,04
Pagto: 13/03/2024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1426
JHS Originação
R$ 2.750,00
Pagto: 13/03/2024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29/02/2024</t>
        </r>
      </text>
    </comment>
    <comment ref="Z1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
01 Carreta - 50 M
R$ 14.557,00
Pagto: 13/03/2024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1430
JHS Originação
R$ 1.375,00
Pagto: 13/03/2024</t>
        </r>
      </text>
    </comment>
    <comment ref="F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29/02/2024</t>
        </r>
      </text>
    </comment>
    <comment ref="Z2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- 50 M
R$ 16.014,80
Pagto: 13/03/2024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1432
JHS Originação
R$ 1.268,75
Pagto: 13/03/2024</t>
        </r>
      </text>
    </comment>
    <comment ref="F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29/02/2024</t>
        </r>
      </text>
    </comment>
    <comment ref="Z2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
02 Carretas - 95 M
R$ 20.051,60
Pagto: 13/03/2024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1431
JHS Originação
R$ 2.612,50
Pagto: 13/03/2024</t>
        </r>
      </text>
    </comment>
    <comment ref="F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01/03/2024</t>
        </r>
      </text>
    </comment>
    <comment ref="Z3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02 Carreta - 100 M
R$ 44.804,04
Pagto: 13/03/2024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1433
JHS Originação
R$ 2.687,50
Pagto: 13/03/2024</t>
        </r>
      </text>
    </comment>
    <comment ref="F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01/03/2024</t>
        </r>
      </text>
    </comment>
    <comment ref="Z3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02 Carreta - 104 M
R$ 3.008
Pagto: 13/03/2024</t>
        </r>
      </text>
    </comment>
    <comment ref="AB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1435 / 1436
JHS Originação
104 BOIS
R$ 3.046,88
Pagto: 13/03/2024</t>
        </r>
      </text>
    </comment>
    <comment ref="F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01/03/2024</t>
        </r>
      </text>
    </comment>
    <comment ref="Z4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02 Carreta - 104 M
R$ 3.008
Pagto: 13/03/2024</t>
        </r>
      </text>
    </comment>
    <comment ref="A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1435 / 1436
JHS Originação
104 BOIS
R$ 3.046,88
Pagto: 13/03/2024</t>
        </r>
      </text>
    </comment>
    <comment ref="F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04/03/2024</t>
        </r>
      </text>
    </comment>
    <comment ref="Z4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- 50 M
R$ 27.458,60
Pagto: 13/03/2024</t>
        </r>
      </text>
    </comment>
    <comment ref="AB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1438
JHS Originação
50 BOIS
R$ 1.312,50
Pagto: 13/03/2024</t>
        </r>
      </text>
    </comment>
    <comment ref="F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
/02/2024</t>
        </r>
      </text>
    </comment>
    <comment ref="F8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
/02/2024</t>
        </r>
      </text>
    </comment>
    <comment ref="F9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
/02/2024</t>
        </r>
      </text>
    </comment>
  </commentList>
</comments>
</file>

<file path=xl/comments36.xml><?xml version="1.0" encoding="utf-8"?>
<comments xmlns="http://schemas.openxmlformats.org/spreadsheetml/2006/main">
  <authors>
    <author>JHS Alimentos</author>
    <author>Jhs Alimentos</author>
    <author>Usuario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05/03/2024</t>
        </r>
      </text>
    </comment>
    <comment ref="Z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
01 Carreta - 50 M
R$ 13.878,60
Pagto: 13/03/2024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1444 / 1445
JHS Originação
50 Bois 
R$ 1.370,00
Pagto: 13/03/2024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
05/03/2024</t>
        </r>
      </text>
    </comment>
    <comment ref="Z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
01 Carreta - 50 M
R$ 13.878,60
Pagto: 13/03/2024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1444 / 1445
JHS Originação
50 Bois 
R$ 1.370,00
Pagto: 13/03/2024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04/03/2024
Morreu 01 Boi, Descontar da Transportadora</t>
        </r>
      </text>
    </comment>
    <comment ref="Z1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
01 Carreta - 50 M
R$ 13.878,60
Pagto: 13/03/2024</t>
        </r>
      </text>
    </comment>
    <comment ref="AB14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Comissão Francisco Camacho
15% @ * Qtde Bois
Pagto junto com Liminares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 xml:space="preserve">JHS Alimentos:
</t>
        </r>
        <r>
          <rPr>
            <sz val="9"/>
            <color indexed="81"/>
            <rFont val="Segoe UI"/>
            <family val="2"/>
          </rPr>
          <t>ABATE: 05/03/2024</t>
        </r>
      </text>
    </comment>
    <comment ref="Z1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
01 Carreta - 50 M
R$ 13.878,60
Pagto: 13/03/2024</t>
        </r>
      </text>
    </comment>
    <comment ref="AB19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Comissão Francisco Camacho
15% @ * Qtde Bois
Pagto junto com Liminares</t>
        </r>
      </text>
    </comment>
    <comment ref="F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07/03/2024</t>
        </r>
      </text>
    </comment>
    <comment ref="Z2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 
01 carreta - 50 M
R$ 10.968,60
Pagto: 20/03/2024
Transportadora 4L
01 carreta - 50 M
R$ 10.959,70
Pagto: 20/03/2024
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1446
JHS Originação
100 Bois 
R$ 2.775,00
Pagto: 20/03/2024</t>
        </r>
      </text>
    </comment>
    <comment ref="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Compra de FRANCISCO FERREIRA CAMACHO</t>
        </r>
      </text>
    </comment>
    <comment ref="F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08/03/2024</t>
        </r>
      </text>
    </comment>
    <comment ref="Z2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03 Carreta - 150 M
R$ 69.896,11
Pagto: 20/03/2024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1447
JHS Originação
150 Bois 
R$ 3.937,50
Pagto: 20/03/2024</t>
        </r>
      </text>
    </comment>
    <comment ref="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Compra de FRANCISCO FERREIRA CAMACHO</t>
        </r>
      </text>
    </comment>
    <comment ref="F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08/03/2024</t>
        </r>
      </text>
    </comment>
    <comment ref="Z3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- 50 M
R$ 28.179,76
Pagto: 20/03/2024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1449/ 1450/ 1451
JHS Originação
50 Bois 
R$ 1.290,00
Pagto: 20/03/2024</t>
        </r>
      </text>
    </comment>
    <comment ref="B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Compra de FRANCISCO FERREIRA CAMACHO</t>
        </r>
      </text>
    </comment>
    <comment ref="F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08/03/2024</t>
        </r>
      </text>
    </comment>
    <comment ref="Z3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- 50 M
R$ 28.179,76
Pagto: 20/03/2024</t>
        </r>
      </text>
    </comment>
    <comment ref="AB3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1449/ 1450/ 1451
JHS Originação
50 Bois 
R$ 1.290,00
Pagto: 20/03/2024</t>
        </r>
      </text>
    </comment>
    <comment ref="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Compra de FRANCISCO FERREIRA CAMACHO</t>
        </r>
      </text>
    </comment>
    <comment ref="F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08/03/2024</t>
        </r>
      </text>
    </comment>
    <comment ref="Z4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- 50 M
R$ 28.179,76
Pagto: 20/03/2024</t>
        </r>
      </text>
    </comment>
    <comment ref="A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1449/ 1450/ 1451
JHS Originação
50 Bois 
R$ 1.290,00
Pagto: 20/03/2024</t>
        </r>
      </text>
    </comment>
    <comment ref="F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08/03/2024
Morreu 01 Boi</t>
        </r>
      </text>
    </comment>
    <comment ref="Z4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
01 Carreta - 50 Bois
R$ 9.321,80
MALONI
01 Carreta - 50 Bois
01 Boi Morto - Desconto: R$ 4.692,29
A Pagar: R$ 13.891,21
Pagto: 20/03/2024</t>
        </r>
      </text>
    </comment>
    <comment ref="AB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1452
JHS Originação
100 Bois 
R$ 2.750,00
Pagto: 20/03/2024</t>
        </r>
      </text>
    </comment>
    <comment ref="F5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11/03/2024
Foi alterada a programação, sendo abatidos 100 Bois em 11/03 e 100 Bois em 12/03</t>
        </r>
      </text>
    </comment>
    <comment ref="Z54" authorId="1" shapeId="0">
      <text>
        <r>
          <rPr>
            <b/>
            <sz val="9"/>
            <color indexed="81"/>
            <rFont val="Segoe UI"/>
            <family val="2"/>
          </rPr>
          <t xml:space="preserve">Jhs Alimentos:
</t>
        </r>
        <r>
          <rPr>
            <sz val="9"/>
            <color indexed="81"/>
            <rFont val="Segoe UI"/>
            <family val="2"/>
          </rPr>
          <t>Transportadora Maloni
02 Carreta - 100 M
R$ 43.290,72
Pagto: 27/03/2024
R3 Transportes
01 Carreta - 50 M
R$ 21.593,56
Pagto: 27/03/2024
Transbroca Transporte
01 Carreta - 50 M
R$ 21.792,51
Pagto: 27/03/2024</t>
        </r>
      </text>
    </comment>
    <comment ref="AB5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1455
JHS Originação
200 Bois 
R$ 5.250,00
Pagto: 20/03/2024</t>
        </r>
      </text>
    </comment>
    <comment ref="F5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12/03/2024
Foi alterada a programação, sendo abatidos 100 Bois em 11/03 e 100 Bois em 12/03</t>
        </r>
      </text>
    </comment>
    <comment ref="Z59" authorId="1" shapeId="0">
      <text>
        <r>
          <rPr>
            <b/>
            <sz val="9"/>
            <color indexed="81"/>
            <rFont val="Segoe UI"/>
            <family val="2"/>
          </rPr>
          <t xml:space="preserve">Jhs Alimentos:
</t>
        </r>
        <r>
          <rPr>
            <sz val="9"/>
            <color indexed="81"/>
            <rFont val="Segoe UI"/>
            <family val="2"/>
          </rPr>
          <t>Transportadora Maloni
02 Carreta - 100 M
R$ 43.290,72
Pagto: 27/03/2024
R3 Transportes
01 Carreta - 50 M
R$ 21.593,56
Pagto: 27/03/2024
Transbroca Transporte
01 Carreta - 50 M
R$ 21.792,51
Pagto: 27/03/2024</t>
        </r>
      </text>
    </comment>
    <comment ref="AB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1455
JHS Originação
200 Bois 
R$ 5.250,00
Pagto: 20/03/2024</t>
        </r>
      </text>
    </comment>
    <comment ref="F6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11/03/2024</t>
        </r>
      </text>
    </comment>
    <comment ref="Z64" authorId="1" shapeId="0">
      <text>
        <r>
          <rPr>
            <b/>
            <sz val="9"/>
            <color indexed="81"/>
            <rFont val="Segoe UI"/>
            <family val="2"/>
          </rPr>
          <t xml:space="preserve">Jhs Alimentos:
</t>
        </r>
        <r>
          <rPr>
            <sz val="9"/>
            <color indexed="81"/>
            <rFont val="Segoe UI"/>
            <family val="2"/>
          </rPr>
          <t>Transportadora Maloni
01 Carreta - 50 M
R$ 10.979,60
Pagto: 20/03/2024</t>
        </r>
      </text>
    </comment>
    <comment ref="AB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1456
JHS Originação
50 Bois 
R$ 1.375,00
Pagto: 20/03/2024</t>
        </r>
      </text>
    </comment>
    <comment ref="F6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11/03/2024</t>
        </r>
      </text>
    </comment>
    <comment ref="Z69" authorId="1" shapeId="0">
      <text>
        <r>
          <rPr>
            <b/>
            <sz val="9"/>
            <color indexed="81"/>
            <rFont val="Segoe UI"/>
            <family val="2"/>
          </rPr>
          <t xml:space="preserve">Jhs Alimentos:
</t>
        </r>
        <r>
          <rPr>
            <sz val="9"/>
            <color indexed="81"/>
            <rFont val="Segoe UI"/>
            <family val="2"/>
          </rPr>
          <t>Transbroca Transporte
01 Carreta - 50 M
R$ 9.040,20
Pagto: 20/03/2024</t>
        </r>
      </text>
    </comment>
    <comment ref="AB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1457
JHS Originação
50 Bois 
R$ 1.375,00
Pagto: 20/03/2024</t>
        </r>
      </text>
    </comment>
    <comment ref="F7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11/03/2024
Morte de 01 Boi no Transporte</t>
        </r>
      </text>
    </comment>
    <comment ref="Z74" authorId="1" shapeId="0">
      <text>
        <r>
          <rPr>
            <b/>
            <sz val="9"/>
            <color indexed="81"/>
            <rFont val="Segoe UI"/>
            <family val="2"/>
          </rPr>
          <t xml:space="preserve">Jhs Alimentos:
</t>
        </r>
        <r>
          <rPr>
            <sz val="9"/>
            <color indexed="81"/>
            <rFont val="Segoe UI"/>
            <family val="2"/>
          </rPr>
          <t>R3 Transportes</t>
        </r>
        <r>
          <rPr>
            <sz val="9"/>
            <color indexed="81"/>
            <rFont val="Segoe UI"/>
            <family val="2"/>
          </rPr>
          <t xml:space="preserve">
02 Carreta - 100 Bois
01 Boi Morto - Desconto: R$ 5.099,75
A Pagar: R$ 27.761,45
Pagto: 20/03/2024</t>
        </r>
      </text>
    </comment>
    <comment ref="AB74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Comissão Francisco Camacho
15% @ * Qtde Bois
Pagto junto com Liminares em
27/03/2024</t>
        </r>
      </text>
    </comment>
    <comment ref="F8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
/02/2024</t>
        </r>
      </text>
    </comment>
    <comment ref="F10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08
/02/2024</t>
        </r>
      </text>
    </comment>
  </commentList>
</comments>
</file>

<file path=xl/comments37.xml><?xml version="1.0" encoding="utf-8"?>
<comments xmlns="http://schemas.openxmlformats.org/spreadsheetml/2006/main">
  <authors>
    <author>JHS Alimentos</author>
    <author>Jhs Alimentos</author>
    <author>Usuario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12/03/2024</t>
        </r>
      </text>
    </comment>
    <comment ref="Z4" authorId="1" shapeId="0">
      <text>
        <r>
          <rPr>
            <b/>
            <sz val="9"/>
            <color indexed="81"/>
            <rFont val="Segoe UI"/>
            <family val="2"/>
          </rPr>
          <t xml:space="preserve">Jhs Alimentos:
</t>
        </r>
        <r>
          <rPr>
            <sz val="9"/>
            <color indexed="81"/>
            <rFont val="Segoe UI"/>
            <family val="2"/>
          </rPr>
          <t>Transbroca Transporte
02 Carreta - 100 M
R$ 18.080,40
Pagto: 20/03/2024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1458
JHS Originação
100 Bois 
R$ 2.750,00
Pagto: 20/03/2024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13/03/2024</t>
        </r>
      </text>
    </comment>
    <comment ref="Z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4L
01 Carretas
R$ 9.060,74
Pagto: 27/07/2024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1463
JHS Originação
50 Bois 
R$ 1.375.00
Pagto: 20/03/2024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13/03/2024</t>
        </r>
      </text>
    </comment>
    <comment ref="Z1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Transduda
01 Carretas
R$ 4.207,20
Pagto: 27/07/2024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1465
JHS Originação
50 Bois 
R$ 1.393,75
Pagto: 20/03/2024</t>
        </r>
      </text>
    </comment>
    <comment ref="F1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13/03/2024</t>
        </r>
      </text>
    </comment>
    <comment ref="Z19" authorId="1" shapeId="0">
      <text>
        <r>
          <rPr>
            <b/>
            <sz val="9"/>
            <color indexed="81"/>
            <rFont val="Segoe UI"/>
            <family val="2"/>
          </rPr>
          <t xml:space="preserve">Jhs Alimentos:
</t>
        </r>
        <r>
          <rPr>
            <sz val="9"/>
            <color indexed="81"/>
            <rFont val="Segoe UI"/>
            <family val="2"/>
          </rPr>
          <t>Transbroca Transporte
01 Carreta - 50 M
R$ 16.281,80
Pagto: 20/03/2024
R3 Transportes
01 Carreta - 50 M
R$ 16.430,60
Pagto: 20/03/2024</t>
        </r>
      </text>
    </comment>
    <comment ref="AB19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Comissão Francisco Camacho
15% @215,00 * 100 Bois
Pagto junto com Liminares em
27/03/2024</t>
        </r>
      </text>
    </comment>
    <comment ref="F2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ABATE; 14/03/2024</t>
        </r>
      </text>
    </comment>
    <comment ref="Z2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02 Carretas
R$ 56.467,58
Pagto: 27/07/2024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1464
JHS Originação
100 Bois 
R$ 2.625,00
Pagto: 20/03/2024</t>
        </r>
      </text>
    </comment>
    <comment ref="F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14/03/2024</t>
        </r>
      </text>
    </comment>
    <comment ref="Z2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
R$ 9.048,00
MALONI
01 Carreta
R$ 8.989,22
100 Bois - Total
Pagto: 27/07/2024</t>
        </r>
      </text>
    </comment>
    <comment ref="AB2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1468
JHS Originação
100 Bois 
R$ 2.750,00
Pagto: 27/03/2024</t>
        </r>
      </text>
    </comment>
    <comment ref="F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15/03/2024</t>
        </r>
      </text>
    </comment>
    <comment ref="Z3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
R$ 9.048,00
MALONI
01 Carreta
R$ 8.989,22
Pagto: 27/07/2024</t>
        </r>
      </text>
    </comment>
    <comment ref="AB3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1468
JHS Originação
100 Bois 
R$ 2.750,00
Pagto: 27/03/2024</t>
        </r>
      </text>
    </comment>
    <comment ref="F3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 14/03/2024</t>
        </r>
      </text>
    </comment>
    <comment ref="Z3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
R$ 16.430,60
Pasgto: 27/03/2024</t>
        </r>
      </text>
    </comment>
    <comment ref="AB39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Comissão Francisco Camacho
15% @215,00 * 50 Bois
Pagto junto com Liminares em
27/03/2024</t>
        </r>
      </text>
    </comment>
    <comment ref="F4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15/03</t>
        </r>
      </text>
    </comment>
    <comment ref="Z44" authorId="1" shapeId="0">
      <text>
        <r>
          <rPr>
            <b/>
            <sz val="9"/>
            <color indexed="81"/>
            <rFont val="Segoe UI"/>
            <family val="2"/>
          </rPr>
          <t xml:space="preserve">Jhs Alimentos:
</t>
        </r>
        <r>
          <rPr>
            <sz val="9"/>
            <color indexed="81"/>
            <rFont val="Segoe UI"/>
            <family val="2"/>
          </rPr>
          <t xml:space="preserve">Transbroca Transporte
01 Carreta - 50 M
R$ 7.101,00
Pagto: 27/03/2024
</t>
        </r>
      </text>
    </comment>
    <comment ref="AB4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1470
JHS Originação
50 Bois 
R$ 1.406,25
Pagto: 27/03/2024</t>
        </r>
      </text>
    </comment>
    <comment ref="F4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15/03</t>
        </r>
      </text>
    </comment>
    <comment ref="Z4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4L
01 Carretas
R$ 2.649,60
Pagto: 27/07/2024</t>
        </r>
      </text>
    </comment>
    <comment ref="AB4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1469
JHS Originação
50 Bois 
R$ 1.406,25
Pagto: 27/03/2024</t>
        </r>
      </text>
    </comment>
    <comment ref="F5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15/03</t>
        </r>
      </text>
    </comment>
    <comment ref="Z5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
R$ 14.824,40
MALONE
01 Carreta
R$ 14.424,30
Pagto: 27/03/2024</t>
        </r>
      </text>
    </comment>
    <comment ref="AB5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1471
jhs Originação
R$ 2.687,50
Pagto: 27/03/2024</t>
        </r>
      </text>
    </comment>
    <comment ref="F5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18/03/2024</t>
        </r>
      </text>
    </comment>
    <comment ref="Z5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- 50 Bois
R$ 23.325,74
Pagto: 27/07/2024</t>
        </r>
      </text>
    </comment>
    <comment ref="AB5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1473
JHS Originação
50 Bois 
R$ 1.312,50
Pagto: 27/03/2024</t>
        </r>
      </text>
    </comment>
    <comment ref="F6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18/03/2024</t>
        </r>
      </text>
    </comment>
    <comment ref="Z6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- 50 Bois
R$ 22.278,50
Pagto: 27/07/2024</t>
        </r>
      </text>
    </comment>
    <comment ref="AB6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1476 / 1477
JHS Originação
50 Bois 
R$ 1.303,75
Pagto: 27/03/2024</t>
        </r>
      </text>
    </comment>
    <comment ref="F6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18/03/2024</t>
        </r>
      </text>
    </comment>
    <comment ref="Z6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 Transportes
01 Carreta - 50 Bois
R$ 22.278,50
Pagto: 27/07/2024</t>
        </r>
      </text>
    </comment>
    <comment ref="AB6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1476 / 1477
JHS Originação
50 Bois 
R$ 1.303,75
Pagto: 27/03/2024</t>
        </r>
      </text>
    </comment>
    <comment ref="F7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18/03/2024</t>
        </r>
      </text>
    </comment>
    <comment ref="Z7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Transbroca
01 Carreta
R$ 5.334,00
Pagto: 27/07/2024</t>
        </r>
      </text>
    </comment>
    <comment ref="AB7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1475
JHS Originação
50 Bois 
R$ 1.406,25
Pagto: 27/03/2024</t>
        </r>
      </text>
    </comment>
    <comment ref="F7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18/03/2024</t>
        </r>
      </text>
    </comment>
    <comment ref="Z7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MALONI
01 Carreta
R$ 7.649,20
Transbroca
01 Carreta
R$ 7.821,40
Pagto: 27/07/2024</t>
        </r>
      </text>
    </comment>
    <comment ref="AB7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1474
JHS Originação
100 Bois 
R$ 2.687,50
Pagto: 27/03/2024</t>
        </r>
      </text>
    </comment>
    <comment ref="F8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18/03/2024</t>
        </r>
      </text>
    </comment>
    <comment ref="Z8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Transduda
01 Carretas
R$ 5.188,40
Pagto: 27/07/2024</t>
        </r>
      </text>
    </comment>
    <comment ref="AB8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1480
JHS Originação
50 Bois 
R$ 1.343,75
Pagto: 27/03/2024</t>
        </r>
      </text>
    </comment>
    <comment ref="F89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ABATE: 21/03/2024</t>
        </r>
      </text>
    </comment>
    <comment ref="Z8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
03 Carretas - 150 M
R$ 83.457,40
Pagto: 27/07/2024</t>
        </r>
      </text>
    </comment>
    <comment ref="AB8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1482
JHS Originação
40 Bois 
R$ 1.050,00
Pagto: 27/03/2024</t>
        </r>
      </text>
    </comment>
    <comment ref="F94" authorId="2" shapeId="0">
      <text>
        <r>
          <rPr>
            <b/>
            <sz val="9"/>
            <color indexed="81"/>
            <rFont val="Segoe UI"/>
            <family val="2"/>
          </rPr>
          <t>Usuario:</t>
        </r>
        <r>
          <rPr>
            <sz val="9"/>
            <color indexed="81"/>
            <rFont val="Segoe UI"/>
            <family val="2"/>
          </rPr>
          <t xml:space="preserve">
ABATE: 21/03/2024</t>
        </r>
      </text>
    </comment>
    <comment ref="Z9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R3
03 Carretas - 150 M
R$ 83.457,40
Pagto: 27/07/2024</t>
        </r>
      </text>
    </comment>
    <comment ref="AB9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1481
JHS Originação
110 Bois 
R$ 2.887,50
Pagto: 27/03/2024</t>
        </r>
      </text>
    </comment>
  </commentList>
</comments>
</file>

<file path=xl/comments38.xml><?xml version="1.0" encoding="utf-8"?>
<comments xmlns="http://schemas.openxmlformats.org/spreadsheetml/2006/main">
  <authors>
    <author>JHS Alimentos</author>
    <author>Jhs Alimentos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20/03/2024
Morreu 01 Boi no Transporte e 01 Boi foi transferido para Abate em 21/03/2024</t>
        </r>
      </text>
    </comment>
    <comment ref="Z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MALONI
X Carreta 
01  Boi Morto 
Desconto: R$ 
A Pagar: R$ 
Pagto: X/Y/2024</t>
        </r>
      </text>
    </comment>
    <comment ref="AB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1483
JHS Originação
150 Bois 
R$ 3.937,50
Pagto: 27/03/2024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21/03/2024
Morreu 01 Boi no Transporte e 148 Boi foram abatidos em 20/03/2024</t>
        </r>
      </text>
    </comment>
    <comment ref="Z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MALONI
X Carreta 
01  Boi Morto 
Desconto: R$ 
A Pagar: R$ 
Pagto: X/Y/2024</t>
        </r>
      </text>
    </comment>
    <comment ref="AB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1483
JHS Originação
150 Bois 
R$ 3.937,50
Pagto: 27/03/2024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20/03/2024</t>
        </r>
      </text>
    </comment>
    <comment ref="AB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1484
JHS Originação
50 Bois 
R$ 1.312,50
Pagto: 27/03/2024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21/03/2024</t>
        </r>
      </text>
    </comment>
    <comment ref="AB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1486
JHS Originação
50 Bois 
R$ 1.418,75
Pagto: 03/04/2024</t>
        </r>
      </text>
    </comment>
    <comment ref="F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22/03/2024</t>
        </r>
      </text>
    </comment>
    <comment ref="AB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1489
JHS Originação
100 Bois 
R$ 2.812,50
Pagto: 03/04/2024</t>
        </r>
      </text>
    </comment>
  </commentList>
</comments>
</file>

<file path=xl/comments39.xml><?xml version="1.0" encoding="utf-8"?>
<comments xmlns="http://schemas.openxmlformats.org/spreadsheetml/2006/main">
  <authors>
    <author>Jhs Alimentos</author>
    <author>JHS Alimentos</author>
  </authors>
  <commentList>
    <comment ref="F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25/03/2024</t>
        </r>
      </text>
    </comment>
    <comment ref="AB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1493
JHS Originação
100 Bois 
R$ 2.750,00
Pagto: 03/04/2024</t>
        </r>
      </text>
    </comment>
    <comment ref="F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DATA ABATE: 25/03/2024</t>
        </r>
      </text>
    </comment>
    <comment ref="AB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1492
JHS Originação
200 Bois 
R$ 5.625,00
Pagto: 03/04/2024</t>
        </r>
      </text>
    </comment>
    <comment ref="F1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26/03/2024
200 BOIS - JBS
100 BOIS - RED MEAT
</t>
        </r>
      </text>
    </comment>
    <comment ref="AB1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1494
JHS Originação
200 Bois 
R$ 5.000,00
Pagto: 03/04/2024</t>
        </r>
      </text>
    </comment>
    <comment ref="F19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27/03/2024</t>
        </r>
      </text>
    </comment>
    <comment ref="AB19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1496
JHS Originação
200 Bois 
R$ 5.000,00
Pagto: 03/04/2024</t>
        </r>
      </text>
    </comment>
    <comment ref="F24" authorId="0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ABATE: 27/03/2024</t>
        </r>
      </text>
    </comment>
    <comment ref="AB24" authorId="1" shapeId="0">
      <text>
        <r>
          <rPr>
            <b/>
            <sz val="9"/>
            <color indexed="81"/>
            <rFont val="Segoe UI"/>
            <family val="2"/>
          </rPr>
          <t>JHS Alimentos:</t>
        </r>
        <r>
          <rPr>
            <sz val="9"/>
            <color indexed="81"/>
            <rFont val="Segoe UI"/>
            <family val="2"/>
          </rPr>
          <t xml:space="preserve">
ID 1496
JHS Originação
200 Bois 
R$ 5.000,00
Pagto: 03/04/2024</t>
        </r>
      </text>
    </comment>
  </commentList>
</comments>
</file>

<file path=xl/sharedStrings.xml><?xml version="1.0" encoding="utf-8"?>
<sst xmlns="http://schemas.openxmlformats.org/spreadsheetml/2006/main" count="56384" uniqueCount="1053">
  <si>
    <t>PEDRINHO</t>
  </si>
  <si>
    <t>DATA</t>
  </si>
  <si>
    <t>PRODUTOR</t>
  </si>
  <si>
    <t>PASTO</t>
  </si>
  <si>
    <t>PESO</t>
  </si>
  <si>
    <t>RC VIVO</t>
  </si>
  <si>
    <t>RC MORTO</t>
  </si>
  <si>
    <t>PESO MORTO</t>
  </si>
  <si>
    <t>VALOR COMPRA</t>
  </si>
  <si>
    <t>TOTAL COMPRA</t>
  </si>
  <si>
    <t>VALOR VENDA</t>
  </si>
  <si>
    <t>PESADOR</t>
  </si>
  <si>
    <t>FRETE</t>
  </si>
  <si>
    <t>COMISSAO</t>
  </si>
  <si>
    <t>SENAR</t>
  </si>
  <si>
    <t>COMPRA + DESP</t>
  </si>
  <si>
    <t>FINAL</t>
  </si>
  <si>
    <t>NET</t>
  </si>
  <si>
    <t>OSMAR</t>
  </si>
  <si>
    <t>LIMINAR</t>
  </si>
  <si>
    <t>CUSTO GTA</t>
  </si>
  <si>
    <t>DARE</t>
  </si>
  <si>
    <t>ACERTO 30%</t>
  </si>
  <si>
    <t>PAULO QUEIROZ</t>
  </si>
  <si>
    <t>ELVIS</t>
  </si>
  <si>
    <t>FECHAMENTO 01/04</t>
  </si>
  <si>
    <t>ALEX FERRARI</t>
  </si>
  <si>
    <t>EDMUNDO GARCIA</t>
  </si>
  <si>
    <t>JOSÉ PAULA</t>
  </si>
  <si>
    <t>NF</t>
  </si>
  <si>
    <t>CELIA DE OLIVEIRA</t>
  </si>
  <si>
    <t>SEBASTIÃO CORREIA</t>
  </si>
  <si>
    <t>DENTES</t>
  </si>
  <si>
    <t>NOVILHA</t>
  </si>
  <si>
    <t>RAFAEL BARRA</t>
  </si>
  <si>
    <t>SOLANGE TEREZINHA</t>
  </si>
  <si>
    <t>ISABELA CASTILHO</t>
  </si>
  <si>
    <t>WILLIAM BAENINGER</t>
  </si>
  <si>
    <t>RAÇA</t>
  </si>
  <si>
    <t>NELORE</t>
  </si>
  <si>
    <t>CRUZAMENTO</t>
  </si>
  <si>
    <t>FECHAMENTO 08/04/2022</t>
  </si>
  <si>
    <t xml:space="preserve"> </t>
  </si>
  <si>
    <t>GERALDINE PAIVA</t>
  </si>
  <si>
    <t>MAXIMUS</t>
  </si>
  <si>
    <t>AMIRALDO BORGES</t>
  </si>
  <si>
    <t>BRUNO BARBARESCO</t>
  </si>
  <si>
    <t>ANELORADA</t>
  </si>
  <si>
    <t>EURIVALDO</t>
  </si>
  <si>
    <t>FERNANDO ALVES</t>
  </si>
  <si>
    <t>NILTON LUCIANO</t>
  </si>
  <si>
    <t>FECHAMENTO 15/04/2022</t>
  </si>
  <si>
    <t>AMIRALDO FILHO</t>
  </si>
  <si>
    <t>ÂNTONIO FERREIRA</t>
  </si>
  <si>
    <t>DIVINO FURTADO</t>
  </si>
  <si>
    <t>VALTER ARAÚJO</t>
  </si>
  <si>
    <t>MARIO JOSÉ</t>
  </si>
  <si>
    <t>JOÃO VICTOR</t>
  </si>
  <si>
    <t>RICARDO FURTADO</t>
  </si>
  <si>
    <t>GERSIONITA</t>
  </si>
  <si>
    <t>ROSANE ALVES</t>
  </si>
  <si>
    <t>ALEXANDRE ARANTES</t>
  </si>
  <si>
    <t>FECHAMENTO 22/04/2022</t>
  </si>
  <si>
    <t>,</t>
  </si>
  <si>
    <t>ÂNTONIO CARLOS</t>
  </si>
  <si>
    <t>MULTA + ESTADIA</t>
  </si>
  <si>
    <t>NRO PEDIDO</t>
  </si>
  <si>
    <t>ÂNTONIO BORBA</t>
  </si>
  <si>
    <t>JUSCELINO BORBA</t>
  </si>
  <si>
    <t>APARECIDO SAMARTINO</t>
  </si>
  <si>
    <t>GILMAR ALVES</t>
  </si>
  <si>
    <t>ABERTO</t>
  </si>
  <si>
    <t>PAGO</t>
  </si>
  <si>
    <t>FECHAMENTO 29/04/2022</t>
  </si>
  <si>
    <t>NF JH</t>
  </si>
  <si>
    <t>JOÃO ADELCIO</t>
  </si>
  <si>
    <t>AFONSO CELSO</t>
  </si>
  <si>
    <t>CARLOS FREDERICO</t>
  </si>
  <si>
    <t>MAURO RODRIGUES</t>
  </si>
  <si>
    <t>GABRIEL FORNIELES</t>
  </si>
  <si>
    <t>GUTEMBERG LINS</t>
  </si>
  <si>
    <t>SILVIO PEDROSO</t>
  </si>
  <si>
    <t>FECHAMENTO 06/05/2022</t>
  </si>
  <si>
    <t>FECHAMENTO 13/05/2022</t>
  </si>
  <si>
    <t>AMADO RODRIGUES</t>
  </si>
  <si>
    <t>WESLEY IVO</t>
  </si>
  <si>
    <t>JOÃO BATISTA SILVA</t>
  </si>
  <si>
    <t>JOÃO VICTOR MOREIRA</t>
  </si>
  <si>
    <t>RONALDO BORGES</t>
  </si>
  <si>
    <t>ANTONIO CORBUCCI</t>
  </si>
  <si>
    <t>OSCAR BOTINI</t>
  </si>
  <si>
    <t>ALUGUEL</t>
  </si>
  <si>
    <t>VAQUEIRO</t>
  </si>
  <si>
    <t>GERALDINE DE PAIVA</t>
  </si>
  <si>
    <t>NILDA VIEIRA</t>
  </si>
  <si>
    <t>MARCIO APARECIDO</t>
  </si>
  <si>
    <t>FERNANDO GUIOTTI</t>
  </si>
  <si>
    <t>FECHAMENTO 20/05/2022</t>
  </si>
  <si>
    <t>VALDIR BATISTA</t>
  </si>
  <si>
    <t>(terá 2 fretes)</t>
  </si>
  <si>
    <t>FATURAMENTO</t>
  </si>
  <si>
    <t>PEDRO AMARAL</t>
  </si>
  <si>
    <t>SILVIO ROSA</t>
  </si>
  <si>
    <t>WARNEY</t>
  </si>
  <si>
    <t>JOSÉ IVAIR</t>
  </si>
  <si>
    <t>PEDRO JOSÉ</t>
  </si>
  <si>
    <t>NF / LIMINAR</t>
  </si>
  <si>
    <t>NICOLAU RODRIGUES</t>
  </si>
  <si>
    <t>FECHAMENTO 27/05/2022</t>
  </si>
  <si>
    <t>JAMIL FERRAZ</t>
  </si>
  <si>
    <t>ORIGEM</t>
  </si>
  <si>
    <t>INOCÊNCIA - MS</t>
  </si>
  <si>
    <t>ONIVALDO CERVANTES</t>
  </si>
  <si>
    <t>ÁGUA CLARA - MS</t>
  </si>
  <si>
    <t>Descontar Pedrinho R$ 408,70 ref. Acerto semana 27/05</t>
  </si>
  <si>
    <t>MARCIO TAVARES</t>
  </si>
  <si>
    <t>MOZARLÂNDIA - GO</t>
  </si>
  <si>
    <t>FRETE OPERAÇÃO 27/05</t>
  </si>
  <si>
    <t>RONALDO P SILVA</t>
  </si>
  <si>
    <t>EDEIA - GO</t>
  </si>
  <si>
    <t>FECHAMENTO 03/06/2022</t>
  </si>
  <si>
    <t>FECHAMENTO 10/06/2022</t>
  </si>
  <si>
    <t>CAIRO DORMELINO</t>
  </si>
  <si>
    <t>CARLOS RODRIGUES</t>
  </si>
  <si>
    <t>ITAPURANGA - GO</t>
  </si>
  <si>
    <t>ARAGUAPAZ - GO</t>
  </si>
  <si>
    <t>BERNADINO PEREIRA</t>
  </si>
  <si>
    <t>DESCONTOS</t>
  </si>
  <si>
    <t>ACERTO SEMANA</t>
  </si>
  <si>
    <t>À PAGAR</t>
  </si>
  <si>
    <t>RAQUEL CARDOSO</t>
  </si>
  <si>
    <t>LUZIÂNIA - GO</t>
  </si>
  <si>
    <t>SILVÂNIA - GO</t>
  </si>
  <si>
    <t>JASON DE MELO</t>
  </si>
  <si>
    <t>FECHAMENTO 17/06/2022</t>
  </si>
  <si>
    <t>JOSÉ EUCLIDES</t>
  </si>
  <si>
    <t>JUSSARA - GO</t>
  </si>
  <si>
    <t>MACHOS</t>
  </si>
  <si>
    <t>FEMEAS</t>
  </si>
  <si>
    <t>FEMEA</t>
  </si>
  <si>
    <t xml:space="preserve">FEMEA </t>
  </si>
  <si>
    <t>JATAÍ - GO</t>
  </si>
  <si>
    <t>TANIA MARA</t>
  </si>
  <si>
    <t>BRITÂNIA - GO</t>
  </si>
  <si>
    <t>FECHAMENTO 24/06/2022</t>
  </si>
  <si>
    <t>NEWTON NUNES</t>
  </si>
  <si>
    <t>S. LUIZ M. BELO - GO</t>
  </si>
  <si>
    <t>MARCELO MARCONDES</t>
  </si>
  <si>
    <t>ITACAIU - GO</t>
  </si>
  <si>
    <t>FENELON SANTOS</t>
  </si>
  <si>
    <t>TRÊS LAGOAS - MS</t>
  </si>
  <si>
    <t>ODARCILIO ALVES</t>
  </si>
  <si>
    <t>PARANAÍBA - MS</t>
  </si>
  <si>
    <t>MARIA ECI</t>
  </si>
  <si>
    <t>EDVARD COSTA</t>
  </si>
  <si>
    <t>HITALO BORBA</t>
  </si>
  <si>
    <t>DEMOSTENES SILVA</t>
  </si>
  <si>
    <t>ITAPETINGA BA</t>
  </si>
  <si>
    <t>HELIO MORENO</t>
  </si>
  <si>
    <t>ITAGIMIRIM - BA</t>
  </si>
  <si>
    <t>CÉSAR AUGUSTO</t>
  </si>
  <si>
    <t>ITAPIRAPUÃ - GO</t>
  </si>
  <si>
    <t>JEOVAH ROCHA</t>
  </si>
  <si>
    <t>BELA VISTA - GO</t>
  </si>
  <si>
    <t>ANAISA REZENDE</t>
  </si>
  <si>
    <t>SANDRA GOUVEIA</t>
  </si>
  <si>
    <t>THIAGO GONÇALVES</t>
  </si>
  <si>
    <t>MATRINCHÃ - GO</t>
  </si>
  <si>
    <t>FECHAMENTO 01/07/2022</t>
  </si>
  <si>
    <t>FABIO REZENDE</t>
  </si>
  <si>
    <t>IACIARA - GO</t>
  </si>
  <si>
    <t>MARCIO AURELIO</t>
  </si>
  <si>
    <t>OURO VERDE - GO</t>
  </si>
  <si>
    <t>VALDIMICIO XAVIER</t>
  </si>
  <si>
    <t>ITAPACI - GO</t>
  </si>
  <si>
    <t>LUCIANO JUNIO</t>
  </si>
  <si>
    <t>FRANCINATO CAMPOS</t>
  </si>
  <si>
    <t>PONTALINA - GO</t>
  </si>
  <si>
    <t xml:space="preserve">WESLEY IVO </t>
  </si>
  <si>
    <t>CLEYTON SANTOS</t>
  </si>
  <si>
    <t>NOVA AMÉRICA - GO</t>
  </si>
  <si>
    <t>ADENILSON ALVES</t>
  </si>
  <si>
    <t>ITAJÁ - GO</t>
  </si>
  <si>
    <t>MARCIO CANATO</t>
  </si>
  <si>
    <t>FECHAMENTO 08/07/2022</t>
  </si>
  <si>
    <t>JADIR JOSÉ</t>
  </si>
  <si>
    <t>FORMOSA - GO</t>
  </si>
  <si>
    <t>DESPESAS</t>
  </si>
  <si>
    <t>FLAVIO ANTONIO</t>
  </si>
  <si>
    <t>ITAUÇU - GO</t>
  </si>
  <si>
    <t>ALCIDES MACHADO</t>
  </si>
  <si>
    <t>JOANA DARC</t>
  </si>
  <si>
    <t>NIOAQUE - MS</t>
  </si>
  <si>
    <t>FECHAMENTO 15/07/2022</t>
  </si>
  <si>
    <t>R.M DISTRIBUIDORA</t>
  </si>
  <si>
    <t>EDÉIA - GO</t>
  </si>
  <si>
    <t>CAIO PARELLA</t>
  </si>
  <si>
    <t>AP. TABOADO - MS</t>
  </si>
  <si>
    <t>RODRIGO ROSADO</t>
  </si>
  <si>
    <t>JORGE REZENDE</t>
  </si>
  <si>
    <t>ALCIDES JUNIOR</t>
  </si>
  <si>
    <t>CARLOS AUGUSTO</t>
  </si>
  <si>
    <t>ARNALDO ALVES</t>
  </si>
  <si>
    <t>FECHAMENTO 22/07/2022</t>
  </si>
  <si>
    <t>EDUARDO DUARTE</t>
  </si>
  <si>
    <t>CASSILÂNDIA - MS</t>
  </si>
  <si>
    <t>JORGE ELIAS</t>
  </si>
  <si>
    <t>SELVÍRIA - MS</t>
  </si>
  <si>
    <t>BRUNA CATRINE</t>
  </si>
  <si>
    <t>JOÃO AUGUSTO</t>
  </si>
  <si>
    <t>ROGÉRIO FREIRE</t>
  </si>
  <si>
    <t>BERNARDINO PEREIRA</t>
  </si>
  <si>
    <t xml:space="preserve">ARNALDO ALVES </t>
  </si>
  <si>
    <t>FECHAMENTO 29/07/2022</t>
  </si>
  <si>
    <t>LUIS CARLOS BATISTA</t>
  </si>
  <si>
    <t>PAULO SÉRGIO</t>
  </si>
  <si>
    <t>CARLOS RAVAGNANI</t>
  </si>
  <si>
    <t>THIAGO BOSCH</t>
  </si>
  <si>
    <t>ROSANE MACHADO</t>
  </si>
  <si>
    <t>RAFAEL GONÇALVES</t>
  </si>
  <si>
    <t>ÁGUA LIMPA - GO</t>
  </si>
  <si>
    <t>CASSIO ANTONIO</t>
  </si>
  <si>
    <t>ANÁPOLIS - GO</t>
  </si>
  <si>
    <t>LUCIO FABIANO</t>
  </si>
  <si>
    <t>PIRES DO RIO - GO</t>
  </si>
  <si>
    <t>FECHAMENTO 05/08/2022</t>
  </si>
  <si>
    <t>TECIO DE SOUZA</t>
  </si>
  <si>
    <t>OSCAR BORBA</t>
  </si>
  <si>
    <t>SELVIRIA - MS</t>
  </si>
  <si>
    <t>DOMINGOS MARTINS</t>
  </si>
  <si>
    <t>VILSON PEREIRA</t>
  </si>
  <si>
    <t>CRIXAS - GO</t>
  </si>
  <si>
    <t>GERALDO MAJELA</t>
  </si>
  <si>
    <t>R. M DISTRIBUIDORA</t>
  </si>
  <si>
    <t>ANTONIO DE FARIA</t>
  </si>
  <si>
    <t>FECHAMENTO 12/08/2022</t>
  </si>
  <si>
    <t>JOAQUIM LUCIO</t>
  </si>
  <si>
    <t>ITABERAÍ - GO</t>
  </si>
  <si>
    <t>FECHAMENTO 19/08/2022</t>
  </si>
  <si>
    <t>PLANTAE COMÉRCIO</t>
  </si>
  <si>
    <t>QUIRINÓPOLIS - GO</t>
  </si>
  <si>
    <t>BORGES RURAL</t>
  </si>
  <si>
    <t>INHUMAS - GO</t>
  </si>
  <si>
    <t>CELIO TAVARES</t>
  </si>
  <si>
    <t>MOSSÂMEDES - GO</t>
  </si>
  <si>
    <t>FECHAMENTO 26/08/2022</t>
  </si>
  <si>
    <t>UILSON JOSÉ</t>
  </si>
  <si>
    <t>SILVIO CAPONE</t>
  </si>
  <si>
    <t>GOIANÉSIA - GO</t>
  </si>
  <si>
    <t>BORGES EMPRESA</t>
  </si>
  <si>
    <t>WILSON TURIBIO</t>
  </si>
  <si>
    <t>FECHAMENTO 02/09/2022</t>
  </si>
  <si>
    <t>ARNALDO CELESTINO</t>
  </si>
  <si>
    <t>VIANÓPOLIS - GO</t>
  </si>
  <si>
    <t>FECHAMENTO 09/09/2022</t>
  </si>
  <si>
    <t>RONALDO PEREIRA</t>
  </si>
  <si>
    <t>ANTONIO DE SOUSA</t>
  </si>
  <si>
    <t>NOVA CRIXAS - GO</t>
  </si>
  <si>
    <t>DESPESA</t>
  </si>
  <si>
    <t>HUBER MARTINS</t>
  </si>
  <si>
    <t>JOÃO MIGUEL</t>
  </si>
  <si>
    <t>FECHAMENTO 16/09/2022</t>
  </si>
  <si>
    <t>VAGNER RODRIGUES</t>
  </si>
  <si>
    <t>JOÃO FLAVIO RAMOS</t>
  </si>
  <si>
    <t>RAFAEL RODRIGUES</t>
  </si>
  <si>
    <t>MARCIO SOUTO</t>
  </si>
  <si>
    <t>LY FERNANDES</t>
  </si>
  <si>
    <t>OSVALDO SOLER</t>
  </si>
  <si>
    <t>JALES - SP</t>
  </si>
  <si>
    <t>ICMS</t>
  </si>
  <si>
    <t>ADEMIR PEIXOTO</t>
  </si>
  <si>
    <t>NEWTON SILVA</t>
  </si>
  <si>
    <t>MONTES CLAROS - GO</t>
  </si>
  <si>
    <t>FECHAMENTO 23/09/2022</t>
  </si>
  <si>
    <t>ISAIAS RODRIGUES</t>
  </si>
  <si>
    <t>FECHAMENTO 30/09/2022</t>
  </si>
  <si>
    <t>NEWTON VOLPP</t>
  </si>
  <si>
    <t>FECHAMENTO 07/10/2022</t>
  </si>
  <si>
    <t>ELDER GALDINO</t>
  </si>
  <si>
    <t>DEN 0</t>
  </si>
  <si>
    <t>DEN 2</t>
  </si>
  <si>
    <t>DEN 4</t>
  </si>
  <si>
    <t>DEN 6</t>
  </si>
  <si>
    <t>DEN 8</t>
  </si>
  <si>
    <t>MARRRUCO</t>
  </si>
  <si>
    <t>DIF</t>
  </si>
  <si>
    <t>CATALÃO - GO</t>
  </si>
  <si>
    <t>JOÃO FLAVIO</t>
  </si>
  <si>
    <t>FAINA - GO</t>
  </si>
  <si>
    <t>TF</t>
  </si>
  <si>
    <t>FECHAMENTO 14/10/2022</t>
  </si>
  <si>
    <t>LUIS CARLOS</t>
  </si>
  <si>
    <t>RANIERY SANTANA</t>
  </si>
  <si>
    <t>GUARAITA - GO</t>
  </si>
  <si>
    <t>SUSANA GUIMARÃES</t>
  </si>
  <si>
    <t>S. JOSÉ DOS BANDEIRANTES - GO</t>
  </si>
  <si>
    <t>ARCINO BRAZ</t>
  </si>
  <si>
    <t>STA. HELENA DE GOIÁS - GO</t>
  </si>
  <si>
    <t>PEDRO MEROLA</t>
  </si>
  <si>
    <t>SUZY MARA</t>
  </si>
  <si>
    <t>HANDERSON CABRAL</t>
  </si>
  <si>
    <t>ERLI AIMI</t>
  </si>
  <si>
    <t>CAÇU - GO</t>
  </si>
  <si>
    <t>BRÁS ANTONIO</t>
  </si>
  <si>
    <t>ELYDA DA SILVA</t>
  </si>
  <si>
    <t>PIRACANJUBA - GO</t>
  </si>
  <si>
    <t>FECHAMENTO 28/10/2022</t>
  </si>
  <si>
    <t>FECHAMENTO 21/10/2022</t>
  </si>
  <si>
    <t>FABIO GUIMARÃES</t>
  </si>
  <si>
    <t>DIRCE FRANCISCA</t>
  </si>
  <si>
    <t>DESPESAS DIVERSAS:</t>
  </si>
  <si>
    <t>JHS</t>
  </si>
  <si>
    <t>À PAGAR PEDRINHO</t>
  </si>
  <si>
    <t>DIMARCY BORGES</t>
  </si>
  <si>
    <t>ACREÚNA - GO</t>
  </si>
  <si>
    <t>FECHAMENTO 04/11/2022</t>
  </si>
  <si>
    <t>MARCILENE LIMA</t>
  </si>
  <si>
    <t>FECHAMENTO 11/11/2022</t>
  </si>
  <si>
    <t>R F CARVALHO</t>
  </si>
  <si>
    <t>SERRANÓPOLIS - GO</t>
  </si>
  <si>
    <t>TARIKY CURADO</t>
  </si>
  <si>
    <t>FECHAMENTO 18/11/2022</t>
  </si>
  <si>
    <t>ANAVI AGROPECUÁRIA</t>
  </si>
  <si>
    <t>TRINDADE - GO</t>
  </si>
  <si>
    <t>PIO FRATTARI</t>
  </si>
  <si>
    <t>PARANAIGUARA - GO</t>
  </si>
  <si>
    <t>JOSÉ RODRIGUES</t>
  </si>
  <si>
    <t>FECHAMENTO 25/11/2022</t>
  </si>
  <si>
    <t>JOÃO MIRANDA</t>
  </si>
  <si>
    <t>DENIS MARIANO</t>
  </si>
  <si>
    <t>JOSÉ INÁCIO</t>
  </si>
  <si>
    <t>STA. HELENA - GO</t>
  </si>
  <si>
    <t>MINEIROS - GO</t>
  </si>
  <si>
    <t>RENATO MENEZES</t>
  </si>
  <si>
    <t>RUBENS RODRIGUES</t>
  </si>
  <si>
    <t>RIO VERDE - GO</t>
  </si>
  <si>
    <t>ROMEU ALMEIDA</t>
  </si>
  <si>
    <t>PEDRO RIBEIRO</t>
  </si>
  <si>
    <t>JOSÉ ULISSES</t>
  </si>
  <si>
    <t>AP. RIO DOCE - GO</t>
  </si>
  <si>
    <t>JOSÉ CARLOS CRUZ</t>
  </si>
  <si>
    <t>CACHOEIRA ALTA - GO</t>
  </si>
  <si>
    <t>CAPELA AGRONEGÓCIOS</t>
  </si>
  <si>
    <t>HIDROCARNES</t>
  </si>
  <si>
    <t>FECHAMENTO 02/12/2022</t>
  </si>
  <si>
    <t>EDIMAR DA COSTA</t>
  </si>
  <si>
    <t>NIQUELÂNDIA - GO</t>
  </si>
  <si>
    <t>LUCA LIMA</t>
  </si>
  <si>
    <t>ALTO TAQUARI - MT</t>
  </si>
  <si>
    <t>LUCAS ROSSINI</t>
  </si>
  <si>
    <t>03 novilhas abatidas em 01/12</t>
  </si>
  <si>
    <t>JOÃO BATISTA</t>
  </si>
  <si>
    <t>SANTIAGO PALHARES</t>
  </si>
  <si>
    <t>FRONTEIRA - MG</t>
  </si>
  <si>
    <t>VITORIA FLOR</t>
  </si>
  <si>
    <t>WIMA PARTICIPAÇÕES</t>
  </si>
  <si>
    <t>COCALINHO - MT</t>
  </si>
  <si>
    <t>FECHAMENTO 16/12/2022</t>
  </si>
  <si>
    <t>WIMA PARTICIPAÇÃO</t>
  </si>
  <si>
    <t>ROBERTO BASSAN</t>
  </si>
  <si>
    <t>Roquete</t>
  </si>
  <si>
    <t>Pago</t>
  </si>
  <si>
    <t>Crédito ref. à 50 M do Lucas Rossini bois não china</t>
  </si>
  <si>
    <t>Aberto</t>
  </si>
  <si>
    <t>Crédito ref. à 92 M não China e 1 marruco produtor Lucas Rossini</t>
  </si>
  <si>
    <t>WIMA PARCITIPAÇÃO</t>
  </si>
  <si>
    <t>FECHAMENTO 23/12/2022</t>
  </si>
  <si>
    <t>Pgto feito pelo Lucas até 19/12</t>
  </si>
  <si>
    <t>FECHAMENTO 30/12/2022</t>
  </si>
  <si>
    <t>ALESSANDRO SOARES</t>
  </si>
  <si>
    <t>PALESTINA - SP</t>
  </si>
  <si>
    <t>FECHAMENTO 06/01/2023</t>
  </si>
  <si>
    <t>CONRADO VILELA</t>
  </si>
  <si>
    <t>IPORÁ - GO</t>
  </si>
  <si>
    <t>GOIATUBA - GO</t>
  </si>
  <si>
    <t>VARJÃO - GO</t>
  </si>
  <si>
    <t>NELSON MAGGIONI</t>
  </si>
  <si>
    <t>JOSÉ MANOEL</t>
  </si>
  <si>
    <t>PF SANTANDER</t>
  </si>
  <si>
    <t>PJ SANTANDER</t>
  </si>
  <si>
    <t>R.F. C GEOTERRA</t>
  </si>
  <si>
    <t>DJONE FRIES</t>
  </si>
  <si>
    <t>FECHAMENTO 13/01/2023</t>
  </si>
  <si>
    <t>VITÓRIA FLOR</t>
  </si>
  <si>
    <t>TURVANIA - GO</t>
  </si>
  <si>
    <t>KLISSE DENISE</t>
  </si>
  <si>
    <t>Hudson</t>
  </si>
  <si>
    <t>TJ - Proc. Adalberto</t>
  </si>
  <si>
    <t>FECHAMENTO 20/01/2023</t>
  </si>
  <si>
    <t>APORÉ - GO</t>
  </si>
  <si>
    <t>RANDOLFO AUGUSTO</t>
  </si>
  <si>
    <t>MORRINHOS - GO</t>
  </si>
  <si>
    <t>REGINALDO MARTINS</t>
  </si>
  <si>
    <t>CALDAS NOVAS - GO</t>
  </si>
  <si>
    <t>JOÃO ALVES MAIA</t>
  </si>
  <si>
    <t>LAGOA SANTA - GO</t>
  </si>
  <si>
    <t>RODRIGO REZENDE</t>
  </si>
  <si>
    <t>ITARUMÃ - GO</t>
  </si>
  <si>
    <t>STA HELENA - GO</t>
  </si>
  <si>
    <t>CLEUZA APARECIDA</t>
  </si>
  <si>
    <t>FECHAMENTO 27/01/2023</t>
  </si>
  <si>
    <t>WILSON DE OLIVEIRA</t>
  </si>
  <si>
    <t>VERA LUCIA</t>
  </si>
  <si>
    <t>SÃO JOSÉ RIO PRETO - SP</t>
  </si>
  <si>
    <t>CRISTALINA - GO</t>
  </si>
  <si>
    <t>Marco Rogerio (acompanhamento de abate 1.747 animais)</t>
  </si>
  <si>
    <t>FECHAMENTO 03/02/2023</t>
  </si>
  <si>
    <t>Arrendamento Sta. Virginia</t>
  </si>
  <si>
    <t>ALVACIR LOBO</t>
  </si>
  <si>
    <t>URUANA - GO</t>
  </si>
  <si>
    <t>NILDO VIANA</t>
  </si>
  <si>
    <t>FABIO BORGES</t>
  </si>
  <si>
    <t>AVELINÓPOLIS - GO</t>
  </si>
  <si>
    <t xml:space="preserve">JOSÉ INÁCIO </t>
  </si>
  <si>
    <t>FECHAMENTO 10/02/2023</t>
  </si>
  <si>
    <t>JAIME MENDONÇA</t>
  </si>
  <si>
    <t>NEROPOLIS - GO</t>
  </si>
  <si>
    <t>Arrendamento Gércio</t>
  </si>
  <si>
    <t>Marco Tezzan (acompanhamento de abate)</t>
  </si>
  <si>
    <t>DANILO VIANA</t>
  </si>
  <si>
    <t>EDENILSON BOCCHI</t>
  </si>
  <si>
    <t>SANTANA DO ARAGUAIA - PA</t>
  </si>
  <si>
    <t>Despesas boi gordo, confinamento Pedranópolis</t>
  </si>
  <si>
    <t>resultado</t>
  </si>
  <si>
    <t>Pgto Pedrinho</t>
  </si>
  <si>
    <t>total despesas</t>
  </si>
  <si>
    <t>pgto Pedrinho</t>
  </si>
  <si>
    <t>Custas Iniciais processo Goiáis</t>
  </si>
  <si>
    <t>FECHAMENTO 24/02/2023</t>
  </si>
  <si>
    <t>OSVALDO FERREIRA</t>
  </si>
  <si>
    <t>JARAGUÁ - GO</t>
  </si>
  <si>
    <t>FABIO FERREIRA</t>
  </si>
  <si>
    <t>162 M GTA p/ Sta. Virginia</t>
  </si>
  <si>
    <t>DAEs 629 M transf. Marcos p/ Sta Virginia</t>
  </si>
  <si>
    <t>Total despesas</t>
  </si>
  <si>
    <t>PF Santander</t>
  </si>
  <si>
    <t>FECHAMENTO 03/03/2023</t>
  </si>
  <si>
    <t>Embarque animais marfrig</t>
  </si>
  <si>
    <t>Marco Tezza (acompanhamento abates)</t>
  </si>
  <si>
    <t>FECHAMENTO 10/03/2023</t>
  </si>
  <si>
    <t>GUAPO - GO</t>
  </si>
  <si>
    <t>LEONARDO GUIMARÃES</t>
  </si>
  <si>
    <t>JOSÉ ALBERTO TOME</t>
  </si>
  <si>
    <t>FERNANDO SERAFIM</t>
  </si>
  <si>
    <t>RIALMA - GO</t>
  </si>
  <si>
    <t>FECHAMENTO 17/03/2023</t>
  </si>
  <si>
    <t>JOSÉ INACIO</t>
  </si>
  <si>
    <t>DORCAS ALVES</t>
  </si>
  <si>
    <t>GABRIEL PEREIRA</t>
  </si>
  <si>
    <t>ARENÓPOLIS - GO</t>
  </si>
  <si>
    <t>CARLOS EDUARDO</t>
  </si>
  <si>
    <t>DORISMAR PAIVA</t>
  </si>
  <si>
    <t>crédito</t>
  </si>
  <si>
    <t>pegar o valor do boi 07/03 José Inácio</t>
  </si>
  <si>
    <t>MARCUS NAVES</t>
  </si>
  <si>
    <t>NIVALDO DE OLIVEIRA</t>
  </si>
  <si>
    <t>Marcos (despesas N. S Ap)</t>
  </si>
  <si>
    <t>Pedrinho (despesas N. S AP)</t>
  </si>
  <si>
    <t>Pedrinho (despesas N. S AP) embarques</t>
  </si>
  <si>
    <t>LIMIRIO DA COSTA</t>
  </si>
  <si>
    <t>SÃO MIGUEL ARAGUAIA - GO</t>
  </si>
  <si>
    <t>HUGO DE CASTRO</t>
  </si>
  <si>
    <t>SÃO MIGUEL  ARAGUAIA - GO</t>
  </si>
  <si>
    <t>FECHAMENTO 24/03/2023</t>
  </si>
  <si>
    <t>LIMIRIO NETO</t>
  </si>
  <si>
    <t>SÃO MIGUEL DO ARAGUAIA - GO</t>
  </si>
  <si>
    <t>LIMIRIO FILHO</t>
  </si>
  <si>
    <t>ADIR DO CARMO</t>
  </si>
  <si>
    <t>Pedrinho (baldeio de gado 18/03)</t>
  </si>
  <si>
    <t>ALEXANDRE PARISE</t>
  </si>
  <si>
    <t>Mão de obra N. S Aparecida (Marcos)</t>
  </si>
  <si>
    <t>Resultado</t>
  </si>
  <si>
    <t>T &amp; C AGRONEGÓCIOS</t>
  </si>
  <si>
    <t>FECHAMENTO 31/03/2023</t>
  </si>
  <si>
    <t>T &amp; C</t>
  </si>
  <si>
    <t>Recurso apelação José Inácio e Mª Helena Bertonha</t>
  </si>
  <si>
    <t>SÃO FRANCISCO - GO</t>
  </si>
  <si>
    <t>ANICUNS - GO</t>
  </si>
  <si>
    <t>Pedrinho (carga e descarga marfrif)</t>
  </si>
  <si>
    <t>ICMS de Frete de 65 F do dia 24/03</t>
  </si>
  <si>
    <t>FECHAMENTO 07/04/2023</t>
  </si>
  <si>
    <t>TURVELÂNDIA - GO</t>
  </si>
  <si>
    <t>T&amp;C</t>
  </si>
  <si>
    <t>SÃO LUIS M. BELOS - GO</t>
  </si>
  <si>
    <t>Marcos Tezzan (acompanhamento de abate)</t>
  </si>
  <si>
    <t>ITABERAI - GO</t>
  </si>
  <si>
    <t>CELIA MARIA</t>
  </si>
  <si>
    <t>CARNEIRINHO - MG</t>
  </si>
  <si>
    <t>FECHAMENTO 14/04/2023</t>
  </si>
  <si>
    <t xml:space="preserve">T &amp; C </t>
  </si>
  <si>
    <t>Tarifas bancárias T&amp;C</t>
  </si>
  <si>
    <t>FECHAMENTO 21/04/2023</t>
  </si>
  <si>
    <t>TURVÂNIA - GO</t>
  </si>
  <si>
    <t>T &amp;C</t>
  </si>
  <si>
    <t>Pedrinho (carga e descarga marfrig)</t>
  </si>
  <si>
    <t>ROSANA COTRIN</t>
  </si>
  <si>
    <t>FECHAMENTO 28/04/2023</t>
  </si>
  <si>
    <t>CARLOS CHAGAS - MG</t>
  </si>
  <si>
    <t>FAZ. NOVA - GO</t>
  </si>
  <si>
    <t>Pedrinho</t>
  </si>
  <si>
    <t>NF 270 animais</t>
  </si>
  <si>
    <t>NF 187 animais</t>
  </si>
  <si>
    <t>FECHAMENTO 05/05/2023</t>
  </si>
  <si>
    <t xml:space="preserve">T&amp;C </t>
  </si>
  <si>
    <t>CAIPONIA - GO</t>
  </si>
  <si>
    <t>SERRNÓPOLIS - GO</t>
  </si>
  <si>
    <t>Vacinas (Pedrinho)</t>
  </si>
  <si>
    <t>CARLOS CHAGAS - GO</t>
  </si>
  <si>
    <t>Guia Apelação Carlos Eduardo</t>
  </si>
  <si>
    <t>LEOPOLDO DE BULHÕES - GO</t>
  </si>
  <si>
    <t>FECHAMENTO 12/05/2023</t>
  </si>
  <si>
    <t>SÃO LUIS MONTES BELOS - GO</t>
  </si>
  <si>
    <t>ABADIA DE GOIÁS - GO</t>
  </si>
  <si>
    <t>NFs</t>
  </si>
  <si>
    <t>FAZENDA NOVA - GO</t>
  </si>
  <si>
    <t>FECHAMENTO 19/05/2023</t>
  </si>
  <si>
    <t>JULIANA ALVES</t>
  </si>
  <si>
    <t>JOSÉ FURTADO</t>
  </si>
  <si>
    <t>JAIR RODRIGUES</t>
  </si>
  <si>
    <t>ANTÔNIO PIMENTA</t>
  </si>
  <si>
    <t>LUIZ ALCANTARA</t>
  </si>
  <si>
    <t>RICARDO ITO</t>
  </si>
  <si>
    <t>LEONARDO FERREIRA</t>
  </si>
  <si>
    <t>REGINALDO COSTA</t>
  </si>
  <si>
    <t>Diferença recebimento estrela</t>
  </si>
  <si>
    <t>Resultado Pedrinho</t>
  </si>
  <si>
    <t>Multa (Broca - Pedrinho)</t>
  </si>
  <si>
    <t>NF 1730 animais</t>
  </si>
  <si>
    <t>FECHAMENTO 26/05/2023</t>
  </si>
  <si>
    <t>NFs Tocantins</t>
  </si>
  <si>
    <t>Cléberson</t>
  </si>
  <si>
    <t>SÃO LUIZ MONTES BELOS - GO</t>
  </si>
  <si>
    <t>NF 25 animais</t>
  </si>
  <si>
    <t>CHAPADÃO DO CÉU - GO</t>
  </si>
  <si>
    <t>RAWLINSOM COELHO</t>
  </si>
  <si>
    <t>EVANDRO RODRIGUES</t>
  </si>
  <si>
    <t>NFs Cléberson</t>
  </si>
  <si>
    <t>FECHAMENTO 02/06/2023</t>
  </si>
  <si>
    <t>CORUMBAIBA - GO</t>
  </si>
  <si>
    <t>RUBIATABA - GO</t>
  </si>
  <si>
    <t>NFs/GTA 1000 animais</t>
  </si>
  <si>
    <t>NFs/GTA 500 animais</t>
  </si>
  <si>
    <t>STA TEREZINHA - GO</t>
  </si>
  <si>
    <t>FECHAMENTO 09/06/2023</t>
  </si>
  <si>
    <t xml:space="preserve">DIVINO ALVES </t>
  </si>
  <si>
    <t>CUMARU - PA</t>
  </si>
  <si>
    <t>HUGO PASSOS</t>
  </si>
  <si>
    <t>SÃO MIGUEL ARAGUAIA-GO</t>
  </si>
  <si>
    <t>LUCAS PORTILHO</t>
  </si>
  <si>
    <t>PIRES DO RIO-GO</t>
  </si>
  <si>
    <t>CORUMBAÍBA - GO</t>
  </si>
  <si>
    <t>VANESSA COELHO</t>
  </si>
  <si>
    <t>SEBASTIÃO CABRAL</t>
  </si>
  <si>
    <t>NIQUELÊNDIA - GO</t>
  </si>
  <si>
    <t>CARLOS AZEVEDO</t>
  </si>
  <si>
    <t>RENATO CARNEIRO</t>
  </si>
  <si>
    <t>IPAMERI - GO</t>
  </si>
  <si>
    <t>IRANI TRONCHA</t>
  </si>
  <si>
    <t>NILCIMAR ALVARES</t>
  </si>
  <si>
    <t>Crédito produtor online Cléberson</t>
  </si>
  <si>
    <t>Santander PF</t>
  </si>
  <si>
    <t>Gércio (arrendamento)</t>
  </si>
  <si>
    <t>FECHAMENTO 23/06/2023</t>
  </si>
  <si>
    <t>JOSE INACIO</t>
  </si>
  <si>
    <t>NFs/GTA 1075 animais</t>
  </si>
  <si>
    <t>JATAI - GO</t>
  </si>
  <si>
    <t>MOZARLANDIA - GO</t>
  </si>
  <si>
    <t>CAMPO LIMPO DE GOIAS - GO</t>
  </si>
  <si>
    <t>BONOPOLIS - GO</t>
  </si>
  <si>
    <t>SANTA TEREZINHA - GO</t>
  </si>
  <si>
    <t>Carta Precatória
Gil</t>
  </si>
  <si>
    <t>Carta Precatória
Ivan Danilo</t>
  </si>
  <si>
    <t>HIDROLÂNDIA - GO</t>
  </si>
  <si>
    <t>SERRANOPOLIS - GO</t>
  </si>
  <si>
    <t>VIANOPOLIS - GO</t>
  </si>
  <si>
    <t>CAIAPONIA - GO</t>
  </si>
  <si>
    <t>FECHAMENTO 30/06/2023</t>
  </si>
  <si>
    <t>ANAPOLIS - GO</t>
  </si>
  <si>
    <t>NOVA CRIXAS- GO</t>
  </si>
  <si>
    <t>FLORES DE GOIAS - GO</t>
  </si>
  <si>
    <t>trading</t>
  </si>
  <si>
    <t>MATRINCHA - GO</t>
  </si>
  <si>
    <t>ORIZONA - GO</t>
  </si>
  <si>
    <t>Santander R3 TRANSPORTES</t>
  </si>
  <si>
    <t>SANTANDER PF</t>
  </si>
  <si>
    <t>Hudson notas</t>
  </si>
  <si>
    <t>JATAI -GO</t>
  </si>
  <si>
    <t>Frete Pedranopolis x Estrela x Fernandopolis</t>
  </si>
  <si>
    <t>AMERICANO DO BRASIL - GO</t>
  </si>
  <si>
    <t>NFs/GTA 1060 animais</t>
  </si>
  <si>
    <t>GUARINOS - GO</t>
  </si>
  <si>
    <t>Carta Precatória</t>
  </si>
  <si>
    <t>NFs / GTA
José Inacio</t>
  </si>
  <si>
    <t>VIANOPOLIS -GO</t>
  </si>
  <si>
    <t>FECHAMENTO 14/07/2023</t>
  </si>
  <si>
    <t>FECHAMENTO 21/07/2023</t>
  </si>
  <si>
    <t>Resultado com 7 dias</t>
  </si>
  <si>
    <t>Resultado - despesas</t>
  </si>
  <si>
    <t xml:space="preserve">Resultado Pedrinho </t>
  </si>
  <si>
    <t>Resultado com 30 dias</t>
  </si>
  <si>
    <t>GUAPÓ - GO</t>
  </si>
  <si>
    <t>PALMEIRAS DE GOIAS - GO</t>
  </si>
  <si>
    <t>ARUANÃ - GO</t>
  </si>
  <si>
    <t>ARUNÃ - GO</t>
  </si>
  <si>
    <t>SILVANIA - GO</t>
  </si>
  <si>
    <t>1200 F Sta Virginia</t>
  </si>
  <si>
    <t>1500 M Sta Virginia</t>
  </si>
  <si>
    <t>FECHAMENTO 28/07/2023</t>
  </si>
  <si>
    <t>Pedrinho (frete novilha Sartin)</t>
  </si>
  <si>
    <t>NERÓPOLIS - GO</t>
  </si>
  <si>
    <t>FRANCISCO FERREIRA</t>
  </si>
  <si>
    <t>CACERES - MT</t>
  </si>
  <si>
    <t>Pgar Pedrinho</t>
  </si>
  <si>
    <t>CAIAPÔNIA - GO</t>
  </si>
  <si>
    <t>Pedrinho (veterinário novilhas Aruanã)</t>
  </si>
  <si>
    <t>GILBERTO SANITA</t>
  </si>
  <si>
    <t>MACEDÔNIA - SP</t>
  </si>
  <si>
    <t>ELIANA SCATENA</t>
  </si>
  <si>
    <t>ROQUETE</t>
  </si>
  <si>
    <t>NFs TO</t>
  </si>
  <si>
    <t>Serviços retirada NF (Cléberson)</t>
  </si>
  <si>
    <t>FECHAMENTO 04/08/2023</t>
  </si>
  <si>
    <t>RENATO SCHNEIDER</t>
  </si>
  <si>
    <t>PORTO NACIONAL - TO</t>
  </si>
  <si>
    <t>WILSON RONDINA</t>
  </si>
  <si>
    <t>BRUNO MEDRI</t>
  </si>
  <si>
    <t>GUARANI D'OESTE - SP</t>
  </si>
  <si>
    <t>SANDRA SERAFIM</t>
  </si>
  <si>
    <t>ELIANA FRANÇA</t>
  </si>
  <si>
    <t>Marco Tezzan (acompanhamento abates)</t>
  </si>
  <si>
    <t>CELSO ALESSI</t>
  </si>
  <si>
    <t>PEDRANÓPOLIS - SP</t>
  </si>
  <si>
    <t>FRANCISCO CAMACHO</t>
  </si>
  <si>
    <t>SORRISO - MT</t>
  </si>
  <si>
    <t>FECHAMENTO 11/08/2023</t>
  </si>
  <si>
    <t>Guia Apelação (Rodolfo Moreira)</t>
  </si>
  <si>
    <t>Mediador - Processo Barra Mansa</t>
  </si>
  <si>
    <t>DOM AQUINO - MT</t>
  </si>
  <si>
    <t>UNIDADE</t>
  </si>
  <si>
    <t>GOIANIRA - GO</t>
  </si>
  <si>
    <t xml:space="preserve">NFs TO </t>
  </si>
  <si>
    <t>ESTRELA</t>
  </si>
  <si>
    <t>FECHAMENTO 18/08/2023</t>
  </si>
  <si>
    <t>MARFRIG</t>
  </si>
  <si>
    <t>JBS - ANDRADINA</t>
  </si>
  <si>
    <t>FABIO ROBERTO</t>
  </si>
  <si>
    <t>FERNANDÓPOLIS - SP</t>
  </si>
  <si>
    <t>CACERES -MT</t>
  </si>
  <si>
    <t>MANOEL TERRA</t>
  </si>
  <si>
    <t>FERNANDOPÓLIS  - SP</t>
  </si>
  <si>
    <t>CAMPO NOVO -  MT</t>
  </si>
  <si>
    <t>ITAPURANGA GO</t>
  </si>
  <si>
    <t>JBS</t>
  </si>
  <si>
    <t>DIAMANTINO MT</t>
  </si>
  <si>
    <t>FECHAMENTO 25/08/2023</t>
  </si>
  <si>
    <t>PONTALINA GO</t>
  </si>
  <si>
    <t>Embarque e processamento de boi gordo</t>
  </si>
  <si>
    <t>CAMPO NOVO MT</t>
  </si>
  <si>
    <t>FERNANDÓPOLIS SP</t>
  </si>
  <si>
    <t>Um boi que não embarcou</t>
  </si>
  <si>
    <t>CASTANHEIRA  MT</t>
  </si>
  <si>
    <t>NOVA MUTUM MT</t>
  </si>
  <si>
    <t>CACERES MT</t>
  </si>
  <si>
    <t>MACEDÔNIA SP</t>
  </si>
  <si>
    <t>FECHAMENTO 01/09/2023</t>
  </si>
  <si>
    <t>CASTANHEIRA MT</t>
  </si>
  <si>
    <t>NOVA STA. HELENA MT</t>
  </si>
  <si>
    <t>467 M GTA p/ Sta. Virginia - Alan</t>
  </si>
  <si>
    <t>Conserto porteira N.S. Aparecida</t>
  </si>
  <si>
    <t>Despesa com funcionários op. Boi gordo</t>
  </si>
  <si>
    <t>Diárias com funcionários op. E Sítio. N. S. Ap</t>
  </si>
  <si>
    <t>FECHAMENTO 08/09/2023</t>
  </si>
  <si>
    <t>NOVA MUTUM - MT</t>
  </si>
  <si>
    <t>TOTAL DESPESAS</t>
  </si>
  <si>
    <t>Resultado (-) despesas</t>
  </si>
  <si>
    <t>ROE</t>
  </si>
  <si>
    <t>CAMPO NOVO - MT</t>
  </si>
  <si>
    <t>RONDONÓPOLIS - MT</t>
  </si>
  <si>
    <t>NET JHS</t>
  </si>
  <si>
    <t>DESP. DIVs</t>
  </si>
  <si>
    <t>DESCRIÇÃO DAS DESPESAS</t>
  </si>
  <si>
    <t>DESCRIÇÃO DESPESAS</t>
  </si>
  <si>
    <t>TOTAL DAS DESPESAS</t>
  </si>
  <si>
    <t>CUSTO COMPRA 
+ DESPESAS</t>
  </si>
  <si>
    <r>
      <t xml:space="preserve">NET LÍQUIDO
</t>
    </r>
    <r>
      <rPr>
        <b/>
        <sz val="16"/>
        <color rgb="FFFF0000"/>
        <rFont val="Calibri"/>
        <family val="2"/>
        <scheme val="minor"/>
      </rPr>
      <t>JHS</t>
    </r>
  </si>
  <si>
    <t>SEMANA</t>
  </si>
  <si>
    <t>CUSTO COMPRAS
+ DESPESAS</t>
  </si>
  <si>
    <t>NET J.H.S</t>
  </si>
  <si>
    <t>11/08/2023 (N)</t>
  </si>
  <si>
    <t>Alimentação embarques (Pedrinho)</t>
  </si>
  <si>
    <t>Custas Proc. BSB</t>
  </si>
  <si>
    <t>JACIARA - MT</t>
  </si>
  <si>
    <t>NOVA XAVANTINA - MT</t>
  </si>
  <si>
    <t>Impressora Floreal</t>
  </si>
  <si>
    <t>Carimbos Marcadores</t>
  </si>
  <si>
    <t>FECHAMENTO 16/09/2023</t>
  </si>
  <si>
    <t>BOM JARDIM DE GÓIAS - GO</t>
  </si>
  <si>
    <t>TANGARA DA SERRA - MT</t>
  </si>
  <si>
    <t>Arrendamento N. S. AP (Gércio)</t>
  </si>
  <si>
    <t>Honorários Renata</t>
  </si>
  <si>
    <t>ALESSANDRO SONEGO</t>
  </si>
  <si>
    <t>Despesas N. S. Ap (Pedrinho)</t>
  </si>
  <si>
    <t xml:space="preserve">HUGO PEREIRA </t>
  </si>
  <si>
    <t>OUROESTE - SP</t>
  </si>
  <si>
    <t>PAULO CEZAR VILCHES</t>
  </si>
  <si>
    <t>CLÁUDIO VILCHES</t>
  </si>
  <si>
    <t>MARINÓPOLIS - SP</t>
  </si>
  <si>
    <t>APARECIDA D'OESTE - SP</t>
  </si>
  <si>
    <t>Semana 08/09</t>
  </si>
  <si>
    <t>Semana 01/09</t>
  </si>
  <si>
    <t>Total</t>
  </si>
  <si>
    <t>Compra de Sal N. S. Ap</t>
  </si>
  <si>
    <t>SÃO JOSÉ DOS QUATRO MARCOS - MT</t>
  </si>
  <si>
    <t>Despesas confinamento 11/08 à 05/09</t>
  </si>
  <si>
    <t>JOÃO DIAS</t>
  </si>
  <si>
    <t>SANTA FE DO SUL - SP</t>
  </si>
  <si>
    <t>NF/ GTA (300 e 213 Animais)</t>
  </si>
  <si>
    <t>Crédito produtor online (NFs TO)</t>
  </si>
  <si>
    <t>Exame Admissional (Func Gastão Vidigal)</t>
  </si>
  <si>
    <t>Despesas Func Boi Gordo</t>
  </si>
  <si>
    <t>DAREs NFs TO (Cléberson)</t>
  </si>
  <si>
    <t>Resultado 7 dias</t>
  </si>
  <si>
    <t>Resultado 30 dias</t>
  </si>
  <si>
    <t>DENISE - MT</t>
  </si>
  <si>
    <t>PAGO/CONFERIDO</t>
  </si>
  <si>
    <t>WAGNEL OLIVEIRA</t>
  </si>
  <si>
    <t>PORANGATU - GO</t>
  </si>
  <si>
    <t>SANCLERLANDIA - GO</t>
  </si>
  <si>
    <t>Cleberson</t>
  </si>
  <si>
    <t>MARCOS DA SILVA</t>
  </si>
  <si>
    <t>Resultado 7 dias - despesas</t>
  </si>
  <si>
    <t>Resultado Pedrinho 7 Dias</t>
  </si>
  <si>
    <t>Resultado Pedrinho 30 Dias</t>
  </si>
  <si>
    <t>TALISMÃ - TO</t>
  </si>
  <si>
    <t>Pago dia 27/09/2023</t>
  </si>
  <si>
    <t>MIRASSOL D'OESTE - MT</t>
  </si>
  <si>
    <t>Despesas N. S. Ap e Vidigal (Pedrinho)</t>
  </si>
  <si>
    <t>Cabreira (03 meses aluguel Vidigal)</t>
  </si>
  <si>
    <t>LUCAS DO RIO VERDE - MT</t>
  </si>
  <si>
    <t>FECHAMENTO 02/10/2023</t>
  </si>
  <si>
    <t>FECHAMENTO 30/09/2023</t>
  </si>
  <si>
    <t>FECHAMENTO 23/09/2023</t>
  </si>
  <si>
    <t>Hudson (Documentação)</t>
  </si>
  <si>
    <t>PEDRO ROQUETE</t>
  </si>
  <si>
    <t>GUARITA - GO</t>
  </si>
  <si>
    <t>ROMEL ANIZIO</t>
  </si>
  <si>
    <t>ITUIUTABA - MG</t>
  </si>
  <si>
    <t>BRAS NORTE - MT</t>
  </si>
  <si>
    <t>João Batista</t>
  </si>
  <si>
    <t>ROI</t>
  </si>
  <si>
    <t>Boi morto no curral no Sitio]</t>
  </si>
  <si>
    <t>JULIANO MANFRIM</t>
  </si>
  <si>
    <t>BALSAMO - SP</t>
  </si>
  <si>
    <t xml:space="preserve">COMODORO - MT </t>
  </si>
  <si>
    <t>Despesa Prop. N. S. Ap</t>
  </si>
  <si>
    <t>Salário Eliton Luiz (09/2023)</t>
  </si>
  <si>
    <t>Resultado 7 dias (-) Despesas</t>
  </si>
  <si>
    <t>DIAMANTINO - MT</t>
  </si>
  <si>
    <t>WILTON FERREIRA</t>
  </si>
  <si>
    <t xml:space="preserve">MACEDONIA - SP </t>
  </si>
  <si>
    <t>GUSTAVO POLIZELLI</t>
  </si>
  <si>
    <t>GUZOLANDIA - SP</t>
  </si>
  <si>
    <t>SINOP - MT</t>
  </si>
  <si>
    <t>SAPEZAL - MT</t>
  </si>
  <si>
    <t>Pgto 16/11</t>
  </si>
  <si>
    <t xml:space="preserve">Resultado Pedrinho 7 dias  </t>
  </si>
  <si>
    <t>Resultado Pedrinho 30 dias</t>
  </si>
  <si>
    <t>Custas carta precatória (Processo Brasilia)</t>
  </si>
  <si>
    <t>Despesas Vidigal e N. S. AP</t>
  </si>
  <si>
    <t>Pago em 09/10</t>
  </si>
  <si>
    <t>Pago em 18/10</t>
  </si>
  <si>
    <t>BARRA DE BUGRE - MT</t>
  </si>
  <si>
    <t>PETROLINA DE GOIAS - GO</t>
  </si>
  <si>
    <t>RODRIGO CASTRO</t>
  </si>
  <si>
    <t>PATOS DE MINAS - MG</t>
  </si>
  <si>
    <t>Venda de 1 Boi</t>
  </si>
  <si>
    <t>TAPURAH - MT</t>
  </si>
  <si>
    <t>Devolução acerto 110 Bois (Ponto Alto)</t>
  </si>
  <si>
    <t>Pgto 13/11</t>
  </si>
  <si>
    <t>BRUNO BORGES</t>
  </si>
  <si>
    <t>Pago em 30/10</t>
  </si>
  <si>
    <t>Venda de 2 Boi (Jairo e Nelson)</t>
  </si>
  <si>
    <t>Venda de 1 Boi (Leonel)</t>
  </si>
  <si>
    <t>OSWALDO LONGHI</t>
  </si>
  <si>
    <t>MACAUBAL - SP</t>
  </si>
  <si>
    <t>Pgto 03/11</t>
  </si>
  <si>
    <t>Adriana Storti (diferença de valor)</t>
  </si>
  <si>
    <t>Salário (Eliton Luiz)</t>
  </si>
  <si>
    <t>Combustível Moto (Boi Gordo)</t>
  </si>
  <si>
    <t>CRISTIANO REZENDE</t>
  </si>
  <si>
    <t>UBERLANDIA - MG</t>
  </si>
  <si>
    <t>Honorarios Adv (Proc Pedrinho x Estado GO)</t>
  </si>
  <si>
    <t>Pago 26/10</t>
  </si>
  <si>
    <t>ANICEZIO AMORIM</t>
  </si>
  <si>
    <t>CARMO DO PARANAIBA - MG</t>
  </si>
  <si>
    <t>PAULO VELOSO</t>
  </si>
  <si>
    <t>Custas Proc Pedro x Estado GO</t>
  </si>
  <si>
    <t>Salário 10/2023 (Cleiton - Vidigal)</t>
  </si>
  <si>
    <t>FGTS 10/2023 (Cleiton - Vidigal)</t>
  </si>
  <si>
    <t>Pago 08/11</t>
  </si>
  <si>
    <t>Internet (Gastao Vidigal)</t>
  </si>
  <si>
    <t>ARAXA - MG</t>
  </si>
  <si>
    <t>BRASNORTE - MT</t>
  </si>
  <si>
    <t>FECHAMENTO 18/11/2023</t>
  </si>
  <si>
    <t>Reembolso Pedrinho (2 Cestas, Alimentação e diarista)</t>
  </si>
  <si>
    <t>INSS 10/2023 (Colaborador Faz. Anselmo)</t>
  </si>
  <si>
    <t>Gercio (Arrendamento Estrela D'Oeste)</t>
  </si>
  <si>
    <t>Valor da semana 04/11</t>
  </si>
  <si>
    <t>Doação (Irmandade Santa Casa)</t>
  </si>
  <si>
    <t>Valor a pagar Pedrinho</t>
  </si>
  <si>
    <t>NOVA MARILANDIA - MT</t>
  </si>
  <si>
    <t>ALEXANIA - GO</t>
  </si>
  <si>
    <t>BEATRIZ KRASTEL</t>
  </si>
  <si>
    <t>PIRAJUBA - MG</t>
  </si>
  <si>
    <t>DAREs TO</t>
  </si>
  <si>
    <t>VALDEMIR MASCHIO</t>
  </si>
  <si>
    <t>GENERAL SALGADO - SP</t>
  </si>
  <si>
    <t>ANTONIO CURY</t>
  </si>
  <si>
    <t>PLANALTO - SP</t>
  </si>
  <si>
    <t>VILA BELA SANTISSIMA TRINDADE - MT</t>
  </si>
  <si>
    <t>Pago dia 24/11</t>
  </si>
  <si>
    <t>Pagar dia 01/12</t>
  </si>
  <si>
    <t>Pendente recebimento da linha 54 (1 boi). Será efetuado o pagamento de R$ 2.000,00 dia 20/12/2023.</t>
  </si>
  <si>
    <t>Reembolso Pedrinho (Pgto GTA)</t>
  </si>
  <si>
    <t>Reembolso Pedrinho (Manutenção Curral Gastao Vidigal)</t>
  </si>
  <si>
    <t>Reembolso Pedrinho (Desp. Combustivel moto boi gordo)</t>
  </si>
  <si>
    <t>Reembolso Pedrinho (Desp. Moto oper boi gordo)</t>
  </si>
  <si>
    <t>Vacinas (Sta Virginia)</t>
  </si>
  <si>
    <t>Vacinas (Gastao Vidigal)</t>
  </si>
  <si>
    <t>Vacinas (N. S. AP)</t>
  </si>
  <si>
    <t>COMODORO - MT</t>
  </si>
  <si>
    <t>Reembolso Pedrinho (Adto de Salario Cleiton)</t>
  </si>
  <si>
    <t>BARRA MANSA</t>
  </si>
  <si>
    <t>Pago dia 05/12/2023</t>
  </si>
  <si>
    <t>DAREs</t>
  </si>
  <si>
    <t>Cleberson (Emissão de NF 05/12)</t>
  </si>
  <si>
    <t>PONTES E LACERTA - MT</t>
  </si>
  <si>
    <t>Reembolso Pedrinho (Adto de Salario Eliton Luiz)</t>
  </si>
  <si>
    <t>PONTES E LACERDA - MT</t>
  </si>
  <si>
    <t>Salário (Cleiton Alves)</t>
  </si>
  <si>
    <t>INHAUMAS - MG</t>
  </si>
  <si>
    <t>CARLOS MACEDO</t>
  </si>
  <si>
    <t>SANTA VITORIA - MG</t>
  </si>
  <si>
    <t>MARCELO DE PAULA</t>
  </si>
  <si>
    <t>JESSICA CABALLERO</t>
  </si>
  <si>
    <t>SÃO JOSE DO RIO PRETO - SP</t>
  </si>
  <si>
    <t>SANTA HELENA - GO</t>
  </si>
  <si>
    <t>Pago dia 13/12</t>
  </si>
  <si>
    <t>CASTANHEIRA - MT</t>
  </si>
  <si>
    <t>EURIPES CARLOS</t>
  </si>
  <si>
    <t>HILDA DELPHINA</t>
  </si>
  <si>
    <t>ROBERVAL DOMINGUES</t>
  </si>
  <si>
    <t>PERCIO TEODORO</t>
  </si>
  <si>
    <t>Pgto dia 19/12</t>
  </si>
  <si>
    <t>INSS (Cleiton - Operação Boi gordo)</t>
  </si>
  <si>
    <t>ANTONIO MARTINELI</t>
  </si>
  <si>
    <t>VITORIA BRASIL - SP</t>
  </si>
  <si>
    <t>FECHAMENTO 16/12/2023</t>
  </si>
  <si>
    <t>ITAUPURANGA - GO</t>
  </si>
  <si>
    <t>SANTO ANTONIO LEVERGER - MT</t>
  </si>
  <si>
    <t>Pgto dia 28/12</t>
  </si>
  <si>
    <t>Saldo a descontar do Pedrinho</t>
  </si>
  <si>
    <t>Reembolso Pedrinho (Despesas Diversas)</t>
  </si>
  <si>
    <t>Reembolso Pedrinho (Despesas Diversas - Gastao)</t>
  </si>
  <si>
    <t>DARE Crédito Produtor Online</t>
  </si>
  <si>
    <t>Reembolso Pedrinho (Abertura Ficha Camacho)</t>
  </si>
  <si>
    <t>Cleiton Alves (1ª Parcela 13º Salário)</t>
  </si>
  <si>
    <t>Cleiton Alves (2ª Parcela 13º Salário)</t>
  </si>
  <si>
    <t>Arrendamento Gastão Vidigal</t>
  </si>
  <si>
    <t>FECHAMENTO 30/12/2023</t>
  </si>
  <si>
    <t>FECHAMENTO 23/12/2023</t>
  </si>
  <si>
    <t>CEZARINA - GO</t>
  </si>
  <si>
    <t>PADRE BERNARDO - GO</t>
  </si>
  <si>
    <t>HENRIQUE BONILHA</t>
  </si>
  <si>
    <t>LUCELIA - SP</t>
  </si>
  <si>
    <t>NOVA LACERDA - MT</t>
  </si>
  <si>
    <t>Diárias e despesas Confinamento (Periodo 27/12 a 01/01</t>
  </si>
  <si>
    <t>Apropriação resultado/ Processo Barra Mansa (48 Animais)</t>
  </si>
  <si>
    <t>SANTA VITÓRIA - MG</t>
  </si>
  <si>
    <t>MOSSAMEDES - GO</t>
  </si>
  <si>
    <t>JOSÉ BONIFACIO - SP</t>
  </si>
  <si>
    <t>JEOVA QUEIROZ</t>
  </si>
  <si>
    <t>Vencimento 17/01 - Pedido 1.905.550</t>
  </si>
  <si>
    <t>13º Salário (Eliton Luiz)</t>
  </si>
  <si>
    <t>Reembolso Adto de Salário p/ Eliton Luiz (Pedrinho)</t>
  </si>
  <si>
    <t>Reembolso abastecimento Moto - Op. Boi Gordo (Pedrinho)</t>
  </si>
  <si>
    <t>FGTS - 12/2023 (Cleiton)</t>
  </si>
  <si>
    <t>Reembolso despesas diversas (Pedrinho)</t>
  </si>
  <si>
    <t>Reembolso cesta basica - Cleiton e Eliton Curti (Pedrinho)</t>
  </si>
  <si>
    <t>Reembolso adto de salário - Cleiton (Pedrinho)</t>
  </si>
  <si>
    <t>Internet Gastão Vidigal</t>
  </si>
  <si>
    <t>Instalação de nova estação (Gastão Vidigal)</t>
  </si>
  <si>
    <t>Vacinas N. S. Ap</t>
  </si>
  <si>
    <t>Cleberson (Documentação)</t>
  </si>
  <si>
    <t>FECHAMENTO 13/01/2024</t>
  </si>
  <si>
    <t>FECHAMENTO 06/01/2024</t>
  </si>
  <si>
    <t>Diárias e despesas Confinamento (Periodo 27/12 a 01/01)</t>
  </si>
  <si>
    <t>Saldo final</t>
  </si>
  <si>
    <t>CLEBER ALBANEZ</t>
  </si>
  <si>
    <t>ADAMANTINA - SP</t>
  </si>
  <si>
    <t>JOSE CORREA</t>
  </si>
  <si>
    <t>JUNQUEIROPOLIS - SP</t>
  </si>
  <si>
    <t>GUARACI - SP</t>
  </si>
  <si>
    <t>ALEXANDRE LINHARES</t>
  </si>
  <si>
    <t>GRAXARIA</t>
  </si>
  <si>
    <t>ANTONIO MARCUS ALBINO RIBEIRO</t>
  </si>
  <si>
    <t>MONTIVIDIU - GO</t>
  </si>
  <si>
    <t>ALEXANDRE SOUZA DINIZ LINHARES</t>
  </si>
  <si>
    <t xml:space="preserve">ANAPÓLIS - GO </t>
  </si>
  <si>
    <t>PONTES LACERDA - MT</t>
  </si>
  <si>
    <t>TABAPORÃ - MT</t>
  </si>
  <si>
    <t>ANTONIO MARCUS ALBINO</t>
  </si>
  <si>
    <t>SÃO JOSÉ QUATRO MARCOS - MT</t>
  </si>
  <si>
    <t>ARAPUTANGA - MT</t>
  </si>
  <si>
    <t xml:space="preserve">Saldo semana </t>
  </si>
  <si>
    <t>Elaboração estatistica de mercado do boi (Agrifatto)</t>
  </si>
  <si>
    <t>ACUMULADO 
16/12/2022 À 03/02/2024</t>
  </si>
  <si>
    <t>VITOR RICARDO BOMBONATO</t>
  </si>
  <si>
    <t>NEVES PAULISTA - SP</t>
  </si>
  <si>
    <t>JUARA - MT</t>
  </si>
  <si>
    <t>PAGO 09/01/2024</t>
  </si>
  <si>
    <t>COMPENSAR PAGTO FUTURO</t>
  </si>
  <si>
    <t>COMPENSAÇÃO PARTE - Saldo semana 06/01/2024</t>
  </si>
  <si>
    <t>Saldo final - A COMPENSAR FUTURO</t>
  </si>
  <si>
    <t>INSS 10/2023 (Colaborador Fazenda - Anselmo)</t>
  </si>
  <si>
    <t>COMPENSAÇÃO PARTE - Saldo semana 13/01/2024</t>
  </si>
  <si>
    <t>COMPENSAÇÃO SALDO - Saldo semana 20/01/2024</t>
  </si>
  <si>
    <t>50% Arrendamento Barreirão (Cesar Serafim) - 22/01/2024</t>
  </si>
  <si>
    <t>Arrendamento Estrela D´Oeste  (Gércio Pedro Santos) - 23/01/2024</t>
  </si>
  <si>
    <t>DAREs TO - 26/01/2024</t>
  </si>
  <si>
    <t>Prestação Serviço (Cleberson José) - 22/01 e 23/01/2024</t>
  </si>
  <si>
    <t>Prestação Serviço (Cleberson José) - 30/01/2024</t>
  </si>
  <si>
    <t>Arrendamento Estrela D Oeste (Gercio Pedro) - 05/02/2024</t>
  </si>
  <si>
    <t>DAREs TO - 02/02/2024</t>
  </si>
  <si>
    <t>Hudson (Documentação) - 02/02/2024</t>
  </si>
  <si>
    <t>Reembolso 1/3 novilha festa policiais - 31/01/2024</t>
  </si>
  <si>
    <t>Reembolso Carpinteiro conserto curral Gastão Vidigal - 31/01/2024</t>
  </si>
  <si>
    <t>Aluguel anual Sta Virginia (Guilherme Setemo Sentiinello) - 30/01/2024</t>
  </si>
  <si>
    <t>Prestação Serviço (Cleberson José) - 05/02/2024</t>
  </si>
  <si>
    <t>Saldo Devedor Remanescente -semana Anterior</t>
  </si>
  <si>
    <t>Roquete Representação (Santander)</t>
  </si>
  <si>
    <t>Hudson (Documentação) - 07/02/2024</t>
  </si>
  <si>
    <t>DAREs TO (Crédito Produtor Online) - 08/02/2024</t>
  </si>
  <si>
    <t>FGTS - 01/2024 (Cleiton Oper.Boi Gordo) - 07/02/2024</t>
  </si>
  <si>
    <t>Salário 01/2024 - Cleiton Alves (Oper.Boi Gordo) 07/02/2024</t>
  </si>
  <si>
    <t>Salário 01/2024 - Eliton Luiz (Oper.Boi Gordo) - 07/02/2024</t>
  </si>
  <si>
    <t>Reembolso Pedrinho (Adiantamento - Vale Eliton Curti) - 01/02/2024</t>
  </si>
  <si>
    <t>Reembolso Pedrinho - Desp.Combustivel Oper.Boi Gordo (|Eliton Curti) - 07/02/2024</t>
  </si>
  <si>
    <t>RONALDO SOUZA BEZERRA JUNIOR</t>
  </si>
  <si>
    <t>PALMAS - TO</t>
  </si>
  <si>
    <t xml:space="preserve">Reembolso Pedro Material p/ reforma de embarcador de Gastão Vidigal </t>
  </si>
  <si>
    <t>Ref Elaboração Planilha orçamentária - Compra de Gado "Pedrinho e Red Meat" 01 a 06/2024</t>
  </si>
  <si>
    <t xml:space="preserve">Prestação Serviço (Cleberson José) </t>
  </si>
  <si>
    <t xml:space="preserve">Diárias e despesas BOI GORDO Confinamento (Periodo 07/02 a 09/02/2024) </t>
  </si>
  <si>
    <t xml:space="preserve">Diárias e despesas BOI GORDO Confinamento (Periodo 15/01 a 31/01/2024) </t>
  </si>
  <si>
    <t>PORTEIRÃO - GO</t>
  </si>
  <si>
    <t>L.MARCANTE E CIA LTDA</t>
  </si>
  <si>
    <t>PARAISO DO TOCANTINS - TO</t>
  </si>
  <si>
    <t>VALDEMIR ANTONIO MASCHIO</t>
  </si>
  <si>
    <t>SÃO JOÃO DE IRACEMA - SP</t>
  </si>
  <si>
    <t>HENRIQUE BONILHA SILVA</t>
  </si>
  <si>
    <t>LUCÉLIA - SP</t>
  </si>
  <si>
    <t>CICERO DAMAZIO DOMINGOS</t>
  </si>
  <si>
    <t>FATIMA PAULISTA - SP</t>
  </si>
  <si>
    <t>NOBRES - MT</t>
  </si>
  <si>
    <t>FRANK DANIEL POLEGATTO</t>
  </si>
  <si>
    <t>JUNQUEIROPÓLIS - SP</t>
  </si>
  <si>
    <t>MAURILÂNDIA - GO</t>
  </si>
  <si>
    <t>NOVO MUNDO - GO</t>
  </si>
  <si>
    <t>PALMEIRA DE GOIÁS - GO</t>
  </si>
  <si>
    <t>MARIO DE FELICIO NETO</t>
  </si>
  <si>
    <t>DAREs TO (ICMS Transporte) 09/02/24</t>
  </si>
  <si>
    <t>Valor pago em 15/02/2024</t>
  </si>
  <si>
    <t>ARUANA - GO</t>
  </si>
  <si>
    <t>SANTO ANTÔNIO DO LEVERGER - MT</t>
  </si>
  <si>
    <t>MARIA DA CONCEIÇÃO MARTINS MANNO</t>
  </si>
  <si>
    <t>MARLENE CRUZ</t>
  </si>
  <si>
    <t>RAMAX IMP. E EXP. DE ALIMENTOS LTDA</t>
  </si>
  <si>
    <t>FRANCISCO CARLOS FERRES</t>
  </si>
  <si>
    <t>SANTO ANTONIO DO LEVERGER - MT</t>
  </si>
  <si>
    <t>ARTHUR CHIAROTTO PENTEADO</t>
  </si>
  <si>
    <t>PRATA - MG</t>
  </si>
  <si>
    <t>ANA PAULA SALES E CASTRO CUNHA &amp;
SILVIO DE CASTRO CUNHA NETO</t>
  </si>
  <si>
    <t>ANA PAULA FRAGA BORGES</t>
  </si>
  <si>
    <t>PERDIZES - MG</t>
  </si>
  <si>
    <t>AGUINALDO JOSÉ FREITAS LEAL</t>
  </si>
  <si>
    <t>HONORÓPOLIS - MG</t>
  </si>
  <si>
    <t>MUNDO NOVO - GO</t>
  </si>
  <si>
    <t>CHARLES LOCKS</t>
  </si>
  <si>
    <t>ADELICIO PEDRO BARB</t>
  </si>
  <si>
    <t>JEOVA CONCEIÇÃO DE QUEIROZ</t>
  </si>
  <si>
    <t>PAULO SIDNEI PERINI</t>
  </si>
  <si>
    <t>PORTO ESPERIDIÃO - MT</t>
  </si>
  <si>
    <t>BRUNO AFONSO LAURO</t>
  </si>
  <si>
    <t>Prestação Serviço Emissão NFs e DAREs Transporte - Cleberson José Fonseca</t>
  </si>
  <si>
    <t>Honorários 01/2024 - Checape Contabilidade</t>
  </si>
  <si>
    <t>INSS 01/2024 - Colaborador Cleiton Vieira - Operação Boi Gordo</t>
  </si>
  <si>
    <t>DAREs TO (NFs e ICMS Transporte) 16/02/24</t>
  </si>
  <si>
    <t>Prestação Serviço (Cleberson José) 22/02/2024</t>
  </si>
  <si>
    <t>DAREs TO (NFs e ICMS Transporte) 22/02/2024</t>
  </si>
  <si>
    <t>Rescisão Contratual de Trabalho Cleiton Alves de Santana
Faz. Anselmo (Cabreira) - Oper.Boi Gordo</t>
  </si>
  <si>
    <t>FGTS Rescisão Contratual Colaborador Cleiton Alves de Santana
Operação Boi Gordo</t>
  </si>
  <si>
    <t>Reembolso Pedrinho - Serviços realizados na moto Op.Boi Gordo</t>
  </si>
  <si>
    <t>Vetpharma - Compra de Materiais  - Gastão Vidigial SP</t>
  </si>
  <si>
    <t>Fundeagro - Crédito Produtor Online TO</t>
  </si>
  <si>
    <t xml:space="preserve">DARE - Taxa Atos relacionados ADAPEC - NF Avulsas ( 4x50 Bois) - </t>
  </si>
  <si>
    <t>DAREs TO (NFs e ICMS Transporte) 01/03/2024</t>
  </si>
  <si>
    <t>Arrendamento Estrela D'Oeste 03/2024</t>
  </si>
  <si>
    <t>Reembolso Pedrinho - Exame Demissional Funcionário CLEITON ALVES DE SANTANA - Operação Boi Gordo 28/02/2024</t>
  </si>
  <si>
    <t>Reembolso Pedrinho - Despesas Embarques Gado - Tocantins TO x JBS
Ronaldo Souza Bezerra Jr - 10/02/2024 - 100 Bois / 12/02/2024 - 200 Bois</t>
  </si>
  <si>
    <t>Honorários 02/2024 - Checape Contabilidade</t>
  </si>
  <si>
    <t>Reembolso Despesas Gastão Vidigal SP Diaristas 11 a 28/02/24</t>
  </si>
  <si>
    <t>Honorários Advocaticios Proc Pedro Roquette x Estado GO - 2/3</t>
  </si>
  <si>
    <t xml:space="preserve">Salário Funcionário Eliton - 02/2024 - Operação Boi Gordo
</t>
  </si>
  <si>
    <t>DAREs TO (NFs e ICMS Transporte) 07/03/2024</t>
  </si>
  <si>
    <t>Reembolso Pedrinho - Abastecimento moto operação Boi Gordo</t>
  </si>
  <si>
    <t>Reembolso Pedrinho - Cesta básica (Eliton Curti - Operação Boi Gordo)</t>
  </si>
  <si>
    <t>Reembolso Pedrinho - Conserto realizado na moto Op.Boi Gordo</t>
  </si>
  <si>
    <t>DAREs TO (NFs e ICMS Transporte) 14/03/2024</t>
  </si>
  <si>
    <t>Reembolso Pedrinho  Diaristas (Refeição/trator para limpeza)</t>
  </si>
  <si>
    <t>EDUARDO FAVARO TROMBONI</t>
  </si>
  <si>
    <t>PAULO SERGIO DE ARAUJO</t>
  </si>
  <si>
    <t>CAMPO NOVO DO PARECIS - MT</t>
  </si>
  <si>
    <t>Saldo final Devedor - Descontar Transações Futuras</t>
  </si>
  <si>
    <t>Saldo Devedor semana 03/02/2024</t>
  </si>
  <si>
    <t>Saldo Devedor Acumulado - Semana 10/02/2024</t>
  </si>
  <si>
    <t>Saldo Devedor Acumulado - Semana 17/02/2024</t>
  </si>
  <si>
    <t>Saldo Devedor Acumulado - Semana 02/03/2024</t>
  </si>
  <si>
    <t>Saldo Devedor Acumulado - Semana 24/02/2024</t>
  </si>
  <si>
    <t>Reembolso Pedrinho - DAREs TO (Pedrinho) - 24/01/2024</t>
  </si>
  <si>
    <t>Reembolso Pedrinho - (Desp Boi Gordo Alimentação + combustivel + cartucho)</t>
  </si>
  <si>
    <t>ANTONIO MILAN FILHO</t>
  </si>
  <si>
    <t>CELIA MARIA RIBEIRO DE FREITAS</t>
  </si>
  <si>
    <t>FECHAMENTO 30/03/2024</t>
  </si>
  <si>
    <t>FECHAMENTO 23/03/2024</t>
  </si>
  <si>
    <t>FECHAMENTO 16/03/2024</t>
  </si>
  <si>
    <t>GUIMARÃES FAGUNDES DE OLIVEIRA</t>
  </si>
  <si>
    <t>SANTA CRUZ XINGU - MT</t>
  </si>
  <si>
    <t>DIVINA DOMINGUES FRANCO DE QUEIROZ</t>
  </si>
  <si>
    <t>Data</t>
  </si>
  <si>
    <t>Despesas Viagens Gilberto - Arrendamento Área MT</t>
  </si>
  <si>
    <t>Reembolso Despesas Voagem Gilberto - MT Periodo 18/12 a 22/12</t>
  </si>
  <si>
    <t>Emiliana Andrade Santos - Honorário Abertura Insc.Estadual PRATA/MG</t>
  </si>
  <si>
    <t>Pago a maior - Despesas não relacionadas (03/01)</t>
  </si>
  <si>
    <t>Saldo final a Pagar</t>
  </si>
  <si>
    <t>Vacinas N.Sra Aparecida</t>
  </si>
  <si>
    <t>Saldo Devedor Acumulado - Semana 16/03/2024</t>
  </si>
  <si>
    <t>Saldo Devedor Acumulado - Semana 09/03/2024</t>
  </si>
  <si>
    <t>Despesa Diarista Murilo - Operação Boi Gordo</t>
  </si>
  <si>
    <t>Cléberson - Emissão DAREs/NFs TO</t>
  </si>
  <si>
    <t>Cléberson - Reembolso Pagto DAREs p/ NFs (22/03/24) - TO</t>
  </si>
  <si>
    <t>DARE´s Icms Frete - NFs TO p/ SP</t>
  </si>
  <si>
    <t>Saldo Devedor Acumulado - Semana 23/03/2024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</si>
</sst>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\ #,##0.00"/>
    <numFmt numFmtId="165" formatCode="0.0%"/>
    <numFmt numFmtId="166" formatCode="#,##0.000"/>
    <numFmt numFmtId="167" formatCode="#,##0_ ;[Red]\-#,##0\ "/>
    <numFmt numFmtId="168" formatCode="#,##0.00_ ;[Red]\-#,##0.00\ "/>
    <numFmt numFmtId="169" formatCode="_-[$R$-416]\ * #,##0.00_-;\-[$R$-416]\ * #,##0.00_-;_-[$R$-416]\ * &quot;-&quot;??_-;_-@_-"/>
    <numFmt numFmtId="170" formatCode="#,##0.00_ ;\-#,##0.00\ "/>
    <numFmt numFmtId="171" formatCode="#,##0_ ;\-#,##0\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4F9B9"/>
        <bgColor indexed="64"/>
      </patternFill>
    </fill>
    <fill>
      <patternFill patternType="solid">
        <fgColor rgb="FFFFFF99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410">
    <xf numFmtId="0" fontId="0" fillId="0" borderId="0" xfId="0"/>
    <xf numFmtId="0" fontId="1" fillId="0" borderId="0" xfId="0" applyFont="1"/>
    <xf numFmtId="14" fontId="0" fillId="0" borderId="0" xfId="0" applyNumberFormat="1"/>
    <xf numFmtId="4" fontId="0" fillId="0" borderId="0" xfId="0" applyNumberFormat="1"/>
    <xf numFmtId="9" fontId="0" fillId="0" borderId="0" xfId="0" applyNumberFormat="1"/>
    <xf numFmtId="10" fontId="0" fillId="0" borderId="0" xfId="0" applyNumberFormat="1"/>
    <xf numFmtId="8" fontId="0" fillId="0" borderId="0" xfId="0" applyNumberFormat="1"/>
    <xf numFmtId="8" fontId="1" fillId="3" borderId="0" xfId="0" applyNumberFormat="1" applyFont="1" applyFill="1"/>
    <xf numFmtId="10" fontId="1" fillId="3" borderId="0" xfId="0" applyNumberFormat="1" applyFont="1" applyFill="1"/>
    <xf numFmtId="164" fontId="0" fillId="0" borderId="0" xfId="0" applyNumberFormat="1"/>
    <xf numFmtId="164" fontId="1" fillId="3" borderId="0" xfId="0" applyNumberFormat="1" applyFont="1" applyFill="1"/>
    <xf numFmtId="8" fontId="1" fillId="0" borderId="0" xfId="0" applyNumberFormat="1" applyFont="1"/>
    <xf numFmtId="14" fontId="1" fillId="0" borderId="0" xfId="0" applyNumberFormat="1" applyFont="1"/>
    <xf numFmtId="8" fontId="1" fillId="2" borderId="0" xfId="0" applyNumberFormat="1" applyFont="1" applyFill="1"/>
    <xf numFmtId="0" fontId="1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8" fontId="4" fillId="4" borderId="2" xfId="0" applyNumberFormat="1" applyFont="1" applyFill="1" applyBorder="1"/>
    <xf numFmtId="0" fontId="4" fillId="4" borderId="2" xfId="0" applyFont="1" applyFill="1" applyBorder="1"/>
    <xf numFmtId="8" fontId="4" fillId="4" borderId="3" xfId="0" applyNumberFormat="1" applyFont="1" applyFill="1" applyBorder="1"/>
    <xf numFmtId="8" fontId="0" fillId="5" borderId="0" xfId="0" applyNumberFormat="1" applyFill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8" fontId="1" fillId="3" borderId="0" xfId="0" applyNumberFormat="1" applyFont="1" applyFill="1" applyAlignment="1">
      <alignment horizontal="center"/>
    </xf>
    <xf numFmtId="10" fontId="1" fillId="3" borderId="0" xfId="0" applyNumberFormat="1" applyFont="1" applyFill="1" applyAlignment="1">
      <alignment horizontal="center"/>
    </xf>
    <xf numFmtId="8" fontId="4" fillId="6" borderId="2" xfId="0" applyNumberFormat="1" applyFont="1" applyFill="1" applyBorder="1" applyAlignment="1">
      <alignment horizontal="center"/>
    </xf>
    <xf numFmtId="0" fontId="4" fillId="6" borderId="3" xfId="0" applyFont="1" applyFill="1" applyBorder="1" applyAlignment="1">
      <alignment horizontal="center"/>
    </xf>
    <xf numFmtId="0" fontId="4" fillId="6" borderId="2" xfId="0" applyFont="1" applyFill="1" applyBorder="1"/>
    <xf numFmtId="8" fontId="4" fillId="6" borderId="2" xfId="0" applyNumberFormat="1" applyFont="1" applyFill="1" applyBorder="1"/>
    <xf numFmtId="0" fontId="4" fillId="6" borderId="3" xfId="0" applyFont="1" applyFill="1" applyBorder="1"/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/>
    </xf>
    <xf numFmtId="14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4" fontId="0" fillId="7" borderId="0" xfId="0" applyNumberFormat="1" applyFill="1" applyAlignment="1">
      <alignment horizontal="center"/>
    </xf>
    <xf numFmtId="9" fontId="0" fillId="7" borderId="0" xfId="0" applyNumberFormat="1" applyFill="1" applyAlignment="1">
      <alignment horizontal="center"/>
    </xf>
    <xf numFmtId="10" fontId="0" fillId="7" borderId="0" xfId="0" applyNumberFormat="1" applyFill="1" applyAlignment="1">
      <alignment horizontal="center"/>
    </xf>
    <xf numFmtId="8" fontId="0" fillId="7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7" borderId="0" xfId="0" applyNumberFormat="1" applyFill="1" applyAlignment="1">
      <alignment horizontal="center"/>
    </xf>
    <xf numFmtId="0" fontId="4" fillId="6" borderId="2" xfId="0" applyFont="1" applyFill="1" applyBorder="1" applyAlignment="1">
      <alignment horizontal="center"/>
    </xf>
    <xf numFmtId="10" fontId="1" fillId="0" borderId="0" xfId="0" applyNumberFormat="1" applyFont="1" applyAlignment="1">
      <alignment horizontal="center"/>
    </xf>
    <xf numFmtId="8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1" fillId="2" borderId="0" xfId="0" applyFont="1" applyFill="1"/>
    <xf numFmtId="164" fontId="0" fillId="0" borderId="0" xfId="0" applyNumberFormat="1" applyAlignment="1">
      <alignment horizontal="center"/>
    </xf>
    <xf numFmtId="3" fontId="0" fillId="8" borderId="0" xfId="0" applyNumberFormat="1" applyFill="1" applyAlignment="1">
      <alignment horizontal="center"/>
    </xf>
    <xf numFmtId="165" fontId="0" fillId="7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vertical="center"/>
    </xf>
    <xf numFmtId="8" fontId="0" fillId="0" borderId="0" xfId="0" applyNumberFormat="1" applyAlignment="1">
      <alignment vertical="center"/>
    </xf>
    <xf numFmtId="44" fontId="0" fillId="0" borderId="0" xfId="0" applyNumberFormat="1"/>
    <xf numFmtId="44" fontId="0" fillId="5" borderId="0" xfId="0" applyNumberFormat="1" applyFill="1"/>
    <xf numFmtId="44" fontId="1" fillId="5" borderId="0" xfId="0" applyNumberFormat="1" applyFont="1" applyFill="1"/>
    <xf numFmtId="0" fontId="0" fillId="2" borderId="0" xfId="0" applyFill="1"/>
    <xf numFmtId="0" fontId="1" fillId="10" borderId="0" xfId="0" applyFont="1" applyFill="1"/>
    <xf numFmtId="8" fontId="1" fillId="10" borderId="0" xfId="0" applyNumberFormat="1" applyFont="1" applyFill="1"/>
    <xf numFmtId="0" fontId="0" fillId="0" borderId="0" xfId="0" applyAlignment="1">
      <alignment vertical="center"/>
    </xf>
    <xf numFmtId="0" fontId="0" fillId="7" borderId="0" xfId="0" applyFill="1"/>
    <xf numFmtId="8" fontId="0" fillId="2" borderId="0" xfId="0" applyNumberFormat="1" applyFill="1" applyAlignment="1">
      <alignment horizontal="center"/>
    </xf>
    <xf numFmtId="0" fontId="1" fillId="11" borderId="0" xfId="0" applyFont="1" applyFill="1" applyAlignment="1">
      <alignment horizontal="center"/>
    </xf>
    <xf numFmtId="14" fontId="0" fillId="11" borderId="0" xfId="0" applyNumberFormat="1" applyFill="1" applyAlignment="1">
      <alignment horizontal="center"/>
    </xf>
    <xf numFmtId="0" fontId="0" fillId="11" borderId="0" xfId="0" applyFill="1" applyAlignment="1">
      <alignment horizontal="center"/>
    </xf>
    <xf numFmtId="3" fontId="0" fillId="11" borderId="0" xfId="0" applyNumberFormat="1" applyFill="1" applyAlignment="1">
      <alignment horizontal="center"/>
    </xf>
    <xf numFmtId="4" fontId="0" fillId="11" borderId="0" xfId="0" applyNumberFormat="1" applyFill="1" applyAlignment="1">
      <alignment horizontal="center"/>
    </xf>
    <xf numFmtId="165" fontId="0" fillId="11" borderId="0" xfId="0" applyNumberFormat="1" applyFill="1" applyAlignment="1">
      <alignment horizontal="center"/>
    </xf>
    <xf numFmtId="10" fontId="0" fillId="11" borderId="0" xfId="0" applyNumberFormat="1" applyFill="1" applyAlignment="1">
      <alignment horizontal="center"/>
    </xf>
    <xf numFmtId="8" fontId="0" fillId="11" borderId="0" xfId="0" applyNumberFormat="1" applyFill="1" applyAlignment="1">
      <alignment horizontal="center"/>
    </xf>
    <xf numFmtId="8" fontId="1" fillId="12" borderId="0" xfId="0" applyNumberFormat="1" applyFont="1" applyFill="1"/>
    <xf numFmtId="8" fontId="0" fillId="12" borderId="0" xfId="0" applyNumberFormat="1" applyFill="1" applyAlignment="1">
      <alignment horizontal="center"/>
    </xf>
    <xf numFmtId="8" fontId="0" fillId="13" borderId="0" xfId="0" applyNumberFormat="1" applyFill="1" applyAlignment="1">
      <alignment horizontal="center"/>
    </xf>
    <xf numFmtId="8" fontId="5" fillId="12" borderId="0" xfId="0" applyNumberFormat="1" applyFont="1" applyFill="1" applyAlignment="1">
      <alignment horizontal="center"/>
    </xf>
    <xf numFmtId="166" fontId="0" fillId="0" borderId="0" xfId="0" applyNumberFormat="1" applyAlignment="1">
      <alignment horizontal="center"/>
    </xf>
    <xf numFmtId="0" fontId="0" fillId="14" borderId="0" xfId="0" applyFill="1" applyAlignment="1">
      <alignment horizontal="center"/>
    </xf>
    <xf numFmtId="8" fontId="5" fillId="13" borderId="0" xfId="0" applyNumberFormat="1" applyFont="1" applyFill="1" applyAlignment="1">
      <alignment horizontal="center"/>
    </xf>
    <xf numFmtId="8" fontId="0" fillId="15" borderId="0" xfId="0" applyNumberFormat="1" applyFill="1" applyAlignment="1">
      <alignment horizontal="center"/>
    </xf>
    <xf numFmtId="8" fontId="5" fillId="0" borderId="0" xfId="0" applyNumberFormat="1" applyFont="1" applyAlignment="1">
      <alignment horizontal="center"/>
    </xf>
    <xf numFmtId="0" fontId="0" fillId="13" borderId="0" xfId="0" applyFill="1"/>
    <xf numFmtId="8" fontId="5" fillId="7" borderId="0" xfId="0" applyNumberFormat="1" applyFont="1" applyFill="1" applyAlignment="1">
      <alignment horizontal="center"/>
    </xf>
    <xf numFmtId="2" fontId="0" fillId="0" borderId="0" xfId="0" applyNumberFormat="1"/>
    <xf numFmtId="8" fontId="1" fillId="0" borderId="0" xfId="0" applyNumberFormat="1" applyFont="1" applyAlignment="1">
      <alignment vertical="center"/>
    </xf>
    <xf numFmtId="8" fontId="4" fillId="0" borderId="0" xfId="0" applyNumberFormat="1" applyFont="1"/>
    <xf numFmtId="0" fontId="4" fillId="0" borderId="0" xfId="0" applyFont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16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4" fontId="0" fillId="16" borderId="0" xfId="0" applyNumberFormat="1" applyFill="1" applyAlignment="1">
      <alignment horizontal="center"/>
    </xf>
    <xf numFmtId="0" fontId="1" fillId="10" borderId="0" xfId="0" applyFont="1" applyFill="1" applyAlignment="1">
      <alignment horizontal="center"/>
    </xf>
    <xf numFmtId="14" fontId="0" fillId="10" borderId="0" xfId="0" applyNumberFormat="1" applyFill="1" applyAlignment="1">
      <alignment horizontal="center"/>
    </xf>
    <xf numFmtId="44" fontId="1" fillId="0" borderId="0" xfId="0" applyNumberFormat="1" applyFont="1"/>
    <xf numFmtId="0" fontId="1" fillId="8" borderId="0" xfId="0" applyFont="1" applyFill="1" applyAlignment="1">
      <alignment horizontal="center"/>
    </xf>
    <xf numFmtId="14" fontId="0" fillId="8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1" fillId="17" borderId="0" xfId="0" applyFont="1" applyFill="1" applyAlignment="1">
      <alignment horizontal="center"/>
    </xf>
    <xf numFmtId="14" fontId="0" fillId="17" borderId="0" xfId="0" applyNumberFormat="1" applyFill="1" applyAlignment="1">
      <alignment horizontal="center"/>
    </xf>
    <xf numFmtId="0" fontId="0" fillId="17" borderId="0" xfId="0" applyFill="1"/>
    <xf numFmtId="8" fontId="1" fillId="17" borderId="0" xfId="0" applyNumberFormat="1" applyFont="1" applyFill="1"/>
    <xf numFmtId="8" fontId="1" fillId="9" borderId="0" xfId="0" applyNumberFormat="1" applyFont="1" applyFill="1"/>
    <xf numFmtId="0" fontId="1" fillId="9" borderId="0" xfId="0" applyFont="1" applyFill="1"/>
    <xf numFmtId="0" fontId="6" fillId="9" borderId="0" xfId="0" applyFont="1" applyFill="1"/>
    <xf numFmtId="0" fontId="1" fillId="18" borderId="0" xfId="0" applyFont="1" applyFill="1" applyAlignment="1">
      <alignment horizontal="center"/>
    </xf>
    <xf numFmtId="14" fontId="0" fillId="18" borderId="0" xfId="0" applyNumberFormat="1" applyFill="1" applyAlignment="1">
      <alignment horizontal="center"/>
    </xf>
    <xf numFmtId="0" fontId="0" fillId="18" borderId="0" xfId="0" applyFill="1" applyAlignment="1">
      <alignment horizontal="center"/>
    </xf>
    <xf numFmtId="3" fontId="0" fillId="18" borderId="0" xfId="0" applyNumberFormat="1" applyFill="1" applyAlignment="1">
      <alignment horizontal="center"/>
    </xf>
    <xf numFmtId="4" fontId="0" fillId="18" borderId="0" xfId="0" applyNumberFormat="1" applyFill="1" applyAlignment="1">
      <alignment horizontal="center"/>
    </xf>
    <xf numFmtId="165" fontId="0" fillId="18" borderId="0" xfId="0" applyNumberFormat="1" applyFill="1" applyAlignment="1">
      <alignment horizontal="center"/>
    </xf>
    <xf numFmtId="10" fontId="0" fillId="18" borderId="0" xfId="0" applyNumberFormat="1" applyFill="1" applyAlignment="1">
      <alignment horizontal="center"/>
    </xf>
    <xf numFmtId="8" fontId="0" fillId="18" borderId="0" xfId="0" applyNumberFormat="1" applyFill="1" applyAlignment="1">
      <alignment horizontal="center"/>
    </xf>
    <xf numFmtId="0" fontId="1" fillId="19" borderId="0" xfId="0" applyFont="1" applyFill="1" applyAlignment="1">
      <alignment horizontal="center"/>
    </xf>
    <xf numFmtId="14" fontId="0" fillId="19" borderId="0" xfId="0" applyNumberFormat="1" applyFill="1" applyAlignment="1">
      <alignment horizontal="center"/>
    </xf>
    <xf numFmtId="0" fontId="0" fillId="19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44" fontId="1" fillId="0" borderId="0" xfId="0" applyNumberFormat="1" applyFont="1" applyAlignment="1">
      <alignment horizontal="center"/>
    </xf>
    <xf numFmtId="8" fontId="1" fillId="21" borderId="0" xfId="0" applyNumberFormat="1" applyFont="1" applyFill="1"/>
    <xf numFmtId="0" fontId="1" fillId="21" borderId="0" xfId="0" applyFont="1" applyFill="1"/>
    <xf numFmtId="8" fontId="1" fillId="20" borderId="0" xfId="0" applyNumberFormat="1" applyFont="1" applyFill="1"/>
    <xf numFmtId="0" fontId="1" fillId="20" borderId="0" xfId="0" applyFont="1" applyFill="1"/>
    <xf numFmtId="44" fontId="1" fillId="20" borderId="0" xfId="0" applyNumberFormat="1" applyFont="1" applyFill="1"/>
    <xf numFmtId="44" fontId="1" fillId="9" borderId="0" xfId="0" applyNumberFormat="1" applyFont="1" applyFill="1"/>
    <xf numFmtId="44" fontId="1" fillId="6" borderId="0" xfId="0" applyNumberFormat="1" applyFont="1" applyFill="1"/>
    <xf numFmtId="8" fontId="1" fillId="6" borderId="0" xfId="0" applyNumberFormat="1" applyFont="1" applyFill="1"/>
    <xf numFmtId="8" fontId="1" fillId="5" borderId="0" xfId="0" applyNumberFormat="1" applyFont="1" applyFill="1"/>
    <xf numFmtId="0" fontId="1" fillId="5" borderId="0" xfId="0" applyFont="1" applyFill="1"/>
    <xf numFmtId="44" fontId="0" fillId="0" borderId="0" xfId="0" applyNumberFormat="1" applyAlignment="1">
      <alignment horizontal="center"/>
    </xf>
    <xf numFmtId="14" fontId="0" fillId="23" borderId="0" xfId="0" applyNumberFormat="1" applyFill="1" applyAlignment="1">
      <alignment horizontal="center"/>
    </xf>
    <xf numFmtId="14" fontId="0" fillId="24" borderId="0" xfId="0" applyNumberFormat="1" applyFill="1" applyAlignment="1">
      <alignment horizontal="center"/>
    </xf>
    <xf numFmtId="44" fontId="1" fillId="21" borderId="0" xfId="0" applyNumberFormat="1" applyFont="1" applyFill="1"/>
    <xf numFmtId="44" fontId="1" fillId="2" borderId="0" xfId="0" applyNumberFormat="1" applyFont="1" applyFill="1"/>
    <xf numFmtId="8" fontId="0" fillId="25" borderId="0" xfId="0" applyNumberFormat="1" applyFill="1" applyAlignment="1">
      <alignment horizontal="center"/>
    </xf>
    <xf numFmtId="0" fontId="1" fillId="6" borderId="0" xfId="0" applyFont="1" applyFill="1"/>
    <xf numFmtId="14" fontId="0" fillId="2" borderId="0" xfId="0" applyNumberFormat="1" applyFill="1" applyAlignment="1">
      <alignment horizontal="center"/>
    </xf>
    <xf numFmtId="8" fontId="0" fillId="23" borderId="0" xfId="0" applyNumberFormat="1" applyFill="1" applyAlignment="1">
      <alignment horizontal="center"/>
    </xf>
    <xf numFmtId="44" fontId="1" fillId="26" borderId="0" xfId="0" applyNumberFormat="1" applyFont="1" applyFill="1"/>
    <xf numFmtId="0" fontId="0" fillId="26" borderId="0" xfId="0" applyFill="1"/>
    <xf numFmtId="8" fontId="0" fillId="24" borderId="0" xfId="0" applyNumberFormat="1" applyFill="1" applyAlignment="1">
      <alignment horizontal="center"/>
    </xf>
    <xf numFmtId="164" fontId="0" fillId="0" borderId="0" xfId="1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22" borderId="0" xfId="0" applyNumberFormat="1" applyFill="1" applyAlignment="1">
      <alignment horizontal="center"/>
    </xf>
    <xf numFmtId="3" fontId="0" fillId="27" borderId="0" xfId="0" applyNumberFormat="1" applyFill="1" applyAlignment="1">
      <alignment horizontal="center"/>
    </xf>
    <xf numFmtId="8" fontId="1" fillId="7" borderId="0" xfId="0" applyNumberFormat="1" applyFont="1" applyFill="1"/>
    <xf numFmtId="0" fontId="1" fillId="7" borderId="0" xfId="0" applyFont="1" applyFill="1"/>
    <xf numFmtId="0" fontId="1" fillId="28" borderId="0" xfId="0" applyFont="1" applyFill="1"/>
    <xf numFmtId="8" fontId="1" fillId="11" borderId="0" xfId="0" applyNumberFormat="1" applyFont="1" applyFill="1"/>
    <xf numFmtId="0" fontId="1" fillId="11" borderId="0" xfId="0" applyFont="1" applyFill="1"/>
    <xf numFmtId="3" fontId="0" fillId="29" borderId="0" xfId="0" applyNumberFormat="1" applyFill="1" applyAlignment="1">
      <alignment horizontal="center"/>
    </xf>
    <xf numFmtId="14" fontId="0" fillId="0" borderId="0" xfId="0" applyNumberFormat="1" applyAlignment="1">
      <alignment horizontal="left"/>
    </xf>
    <xf numFmtId="0" fontId="1" fillId="30" borderId="0" xfId="0" applyFont="1" applyFill="1" applyAlignment="1">
      <alignment horizontal="center"/>
    </xf>
    <xf numFmtId="16" fontId="0" fillId="0" borderId="0" xfId="0" applyNumberFormat="1"/>
    <xf numFmtId="3" fontId="0" fillId="17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8" fontId="10" fillId="2" borderId="0" xfId="0" applyNumberFormat="1" applyFont="1" applyFill="1" applyAlignment="1">
      <alignment horizontal="center"/>
    </xf>
    <xf numFmtId="4" fontId="0" fillId="8" borderId="0" xfId="0" applyNumberFormat="1" applyFill="1" applyAlignment="1">
      <alignment horizontal="center"/>
    </xf>
    <xf numFmtId="8" fontId="4" fillId="6" borderId="3" xfId="0" applyNumberFormat="1" applyFont="1" applyFill="1" applyBorder="1"/>
    <xf numFmtId="43" fontId="0" fillId="0" borderId="0" xfId="2" applyFont="1"/>
    <xf numFmtId="167" fontId="4" fillId="6" borderId="2" xfId="0" applyNumberFormat="1" applyFont="1" applyFill="1" applyBorder="1"/>
    <xf numFmtId="8" fontId="1" fillId="2" borderId="4" xfId="0" applyNumberFormat="1" applyFont="1" applyFill="1" applyBorder="1" applyAlignment="1">
      <alignment horizontal="center"/>
    </xf>
    <xf numFmtId="8" fontId="4" fillId="6" borderId="3" xfId="0" applyNumberFormat="1" applyFont="1" applyFill="1" applyBorder="1" applyAlignment="1">
      <alignment horizontal="center"/>
    </xf>
    <xf numFmtId="44" fontId="6" fillId="2" borderId="4" xfId="0" applyNumberFormat="1" applyFont="1" applyFill="1" applyBorder="1" applyAlignment="1">
      <alignment horizontal="center" vertical="center"/>
    </xf>
    <xf numFmtId="10" fontId="6" fillId="2" borderId="4" xfId="0" applyNumberFormat="1" applyFont="1" applyFill="1" applyBorder="1" applyAlignment="1">
      <alignment horizontal="center" vertical="center"/>
    </xf>
    <xf numFmtId="8" fontId="4" fillId="2" borderId="4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44" fontId="12" fillId="2" borderId="4" xfId="0" applyNumberFormat="1" applyFont="1" applyFill="1" applyBorder="1" applyAlignment="1">
      <alignment horizontal="center" vertical="center"/>
    </xf>
    <xf numFmtId="10" fontId="12" fillId="2" borderId="4" xfId="0" applyNumberFormat="1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0" borderId="13" xfId="0" applyFont="1" applyBorder="1" applyAlignment="1">
      <alignment horizontal="center"/>
    </xf>
    <xf numFmtId="44" fontId="0" fillId="0" borderId="14" xfId="0" applyNumberFormat="1" applyBorder="1"/>
    <xf numFmtId="44" fontId="1" fillId="0" borderId="15" xfId="0" applyNumberFormat="1" applyFont="1" applyBorder="1"/>
    <xf numFmtId="0" fontId="1" fillId="0" borderId="4" xfId="0" applyFont="1" applyBorder="1" applyAlignment="1">
      <alignment horizontal="center"/>
    </xf>
    <xf numFmtId="0" fontId="1" fillId="0" borderId="16" xfId="0" applyFont="1" applyBorder="1"/>
    <xf numFmtId="0" fontId="1" fillId="0" borderId="6" xfId="0" applyFont="1" applyBorder="1"/>
    <xf numFmtId="0" fontId="1" fillId="0" borderId="5" xfId="0" applyFont="1" applyBorder="1" applyAlignment="1">
      <alignment horizontal="center"/>
    </xf>
    <xf numFmtId="0" fontId="1" fillId="0" borderId="5" xfId="0" applyFont="1" applyBorder="1"/>
    <xf numFmtId="8" fontId="0" fillId="0" borderId="9" xfId="0" applyNumberFormat="1" applyBorder="1"/>
    <xf numFmtId="8" fontId="0" fillId="0" borderId="10" xfId="0" applyNumberFormat="1" applyBorder="1"/>
    <xf numFmtId="44" fontId="0" fillId="0" borderId="13" xfId="0" applyNumberFormat="1" applyBorder="1"/>
    <xf numFmtId="44" fontId="1" fillId="0" borderId="5" xfId="0" applyNumberFormat="1" applyFont="1" applyBorder="1"/>
    <xf numFmtId="8" fontId="1" fillId="0" borderId="16" xfId="0" applyNumberFormat="1" applyFont="1" applyBorder="1"/>
    <xf numFmtId="0" fontId="0" fillId="0" borderId="16" xfId="0" applyBorder="1"/>
    <xf numFmtId="0" fontId="0" fillId="0" borderId="6" xfId="0" applyBorder="1"/>
    <xf numFmtId="168" fontId="4" fillId="6" borderId="3" xfId="0" applyNumberFormat="1" applyFont="1" applyFill="1" applyBorder="1"/>
    <xf numFmtId="168" fontId="0" fillId="0" borderId="0" xfId="0" applyNumberFormat="1"/>
    <xf numFmtId="168" fontId="1" fillId="0" borderId="0" xfId="0" applyNumberFormat="1" applyFont="1" applyAlignment="1">
      <alignment horizontal="center"/>
    </xf>
    <xf numFmtId="0" fontId="1" fillId="0" borderId="8" xfId="0" applyFont="1" applyBorder="1" applyAlignment="1">
      <alignment horizontal="center"/>
    </xf>
    <xf numFmtId="8" fontId="1" fillId="0" borderId="6" xfId="0" applyNumberFormat="1" applyFont="1" applyBorder="1"/>
    <xf numFmtId="44" fontId="1" fillId="3" borderId="5" xfId="0" applyNumberFormat="1" applyFont="1" applyFill="1" applyBorder="1" applyAlignment="1">
      <alignment horizontal="center"/>
    </xf>
    <xf numFmtId="0" fontId="1" fillId="8" borderId="16" xfId="0" applyFont="1" applyFill="1" applyBorder="1"/>
    <xf numFmtId="0" fontId="0" fillId="8" borderId="6" xfId="0" applyFill="1" applyBorder="1"/>
    <xf numFmtId="0" fontId="1" fillId="30" borderId="0" xfId="0" applyFont="1" applyFill="1"/>
    <xf numFmtId="0" fontId="0" fillId="30" borderId="0" xfId="0" applyFill="1"/>
    <xf numFmtId="0" fontId="0" fillId="9" borderId="0" xfId="0" applyFill="1"/>
    <xf numFmtId="0" fontId="4" fillId="0" borderId="4" xfId="0" applyFont="1" applyBorder="1" applyAlignment="1">
      <alignment horizontal="center" vertical="center" wrapText="1"/>
    </xf>
    <xf numFmtId="44" fontId="0" fillId="0" borderId="15" xfId="0" applyNumberFormat="1" applyBorder="1"/>
    <xf numFmtId="44" fontId="0" fillId="0" borderId="14" xfId="0" applyNumberForma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7" xfId="0" applyFont="1" applyBorder="1"/>
    <xf numFmtId="44" fontId="0" fillId="0" borderId="9" xfId="0" applyNumberFormat="1" applyBorder="1"/>
    <xf numFmtId="44" fontId="1" fillId="0" borderId="5" xfId="0" applyNumberFormat="1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16" xfId="0" applyFont="1" applyBorder="1" applyAlignment="1">
      <alignment horizontal="left"/>
    </xf>
    <xf numFmtId="44" fontId="1" fillId="0" borderId="15" xfId="0" applyNumberFormat="1" applyFont="1" applyBorder="1" applyAlignment="1">
      <alignment horizontal="left"/>
    </xf>
    <xf numFmtId="44" fontId="0" fillId="0" borderId="4" xfId="0" applyNumberFormat="1" applyBorder="1"/>
    <xf numFmtId="44" fontId="1" fillId="0" borderId="4" xfId="0" applyNumberFormat="1" applyFont="1" applyBorder="1"/>
    <xf numFmtId="169" fontId="0" fillId="0" borderId="9" xfId="0" applyNumberFormat="1" applyBorder="1"/>
    <xf numFmtId="169" fontId="0" fillId="0" borderId="17" xfId="0" applyNumberFormat="1" applyBorder="1"/>
    <xf numFmtId="8" fontId="0" fillId="0" borderId="7" xfId="0" applyNumberFormat="1" applyBorder="1"/>
    <xf numFmtId="8" fontId="0" fillId="0" borderId="17" xfId="0" applyNumberFormat="1" applyBorder="1"/>
    <xf numFmtId="0" fontId="0" fillId="0" borderId="9" xfId="0" applyBorder="1"/>
    <xf numFmtId="44" fontId="1" fillId="8" borderId="5" xfId="0" applyNumberFormat="1" applyFont="1" applyFill="1" applyBorder="1" applyAlignment="1">
      <alignment horizontal="center"/>
    </xf>
    <xf numFmtId="44" fontId="1" fillId="8" borderId="5" xfId="0" applyNumberFormat="1" applyFont="1" applyFill="1" applyBorder="1"/>
    <xf numFmtId="44" fontId="1" fillId="0" borderId="14" xfId="0" applyNumberFormat="1" applyFont="1" applyBorder="1" applyAlignment="1">
      <alignment horizontal="center"/>
    </xf>
    <xf numFmtId="44" fontId="1" fillId="8" borderId="15" xfId="0" applyNumberFormat="1" applyFont="1" applyFill="1" applyBorder="1"/>
    <xf numFmtId="44" fontId="1" fillId="16" borderId="15" xfId="0" applyNumberFormat="1" applyFont="1" applyFill="1" applyBorder="1"/>
    <xf numFmtId="0" fontId="1" fillId="16" borderId="16" xfId="0" applyFont="1" applyFill="1" applyBorder="1"/>
    <xf numFmtId="0" fontId="0" fillId="16" borderId="16" xfId="0" applyFill="1" applyBorder="1"/>
    <xf numFmtId="0" fontId="0" fillId="16" borderId="6" xfId="0" applyFill="1" applyBorder="1"/>
    <xf numFmtId="0" fontId="1" fillId="3" borderId="16" xfId="0" applyFont="1" applyFill="1" applyBorder="1"/>
    <xf numFmtId="0" fontId="0" fillId="3" borderId="16" xfId="0" applyFill="1" applyBorder="1"/>
    <xf numFmtId="0" fontId="0" fillId="3" borderId="6" xfId="0" applyFill="1" applyBorder="1"/>
    <xf numFmtId="0" fontId="0" fillId="17" borderId="10" xfId="0" applyFill="1" applyBorder="1"/>
    <xf numFmtId="43" fontId="11" fillId="0" borderId="0" xfId="2" applyFont="1" applyAlignment="1">
      <alignment vertical="center"/>
    </xf>
    <xf numFmtId="0" fontId="14" fillId="12" borderId="4" xfId="0" applyFont="1" applyFill="1" applyBorder="1" applyAlignment="1">
      <alignment horizontal="center" vertical="center"/>
    </xf>
    <xf numFmtId="0" fontId="14" fillId="12" borderId="4" xfId="0" applyFont="1" applyFill="1" applyBorder="1" applyAlignment="1">
      <alignment horizontal="center" vertical="center" wrapText="1"/>
    </xf>
    <xf numFmtId="10" fontId="14" fillId="12" borderId="4" xfId="3" applyNumberFormat="1" applyFont="1" applyFill="1" applyBorder="1" applyAlignment="1">
      <alignment horizontal="center" vertical="center"/>
    </xf>
    <xf numFmtId="10" fontId="0" fillId="0" borderId="0" xfId="3" applyNumberFormat="1" applyFont="1"/>
    <xf numFmtId="10" fontId="0" fillId="0" borderId="4" xfId="3" applyNumberFormat="1" applyFont="1" applyBorder="1"/>
    <xf numFmtId="0" fontId="0" fillId="0" borderId="4" xfId="0" applyBorder="1"/>
    <xf numFmtId="14" fontId="0" fillId="0" borderId="4" xfId="0" applyNumberFormat="1" applyBorder="1" applyAlignment="1">
      <alignment horizontal="center"/>
    </xf>
    <xf numFmtId="8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0" fontId="10" fillId="0" borderId="4" xfId="3" applyNumberFormat="1" applyFont="1" applyBorder="1"/>
    <xf numFmtId="8" fontId="1" fillId="26" borderId="4" xfId="0" applyNumberFormat="1" applyFont="1" applyFill="1" applyBorder="1" applyAlignment="1">
      <alignment horizontal="center" vertical="center"/>
    </xf>
    <xf numFmtId="10" fontId="1" fillId="26" borderId="4" xfId="3" applyNumberFormat="1" applyFont="1" applyFill="1" applyBorder="1" applyAlignment="1">
      <alignment vertical="center"/>
    </xf>
    <xf numFmtId="0" fontId="10" fillId="0" borderId="10" xfId="0" applyFont="1" applyBorder="1"/>
    <xf numFmtId="0" fontId="10" fillId="0" borderId="0" xfId="0" applyFont="1"/>
    <xf numFmtId="44" fontId="0" fillId="0" borderId="0" xfId="1" applyFont="1"/>
    <xf numFmtId="44" fontId="1" fillId="0" borderId="0" xfId="1" applyFont="1"/>
    <xf numFmtId="44" fontId="10" fillId="0" borderId="0" xfId="1" applyFont="1"/>
    <xf numFmtId="0" fontId="6" fillId="2" borderId="0" xfId="0" applyFont="1" applyFill="1"/>
    <xf numFmtId="14" fontId="5" fillId="0" borderId="0" xfId="0" applyNumberFormat="1" applyFont="1" applyAlignment="1">
      <alignment horizontal="center"/>
    </xf>
    <xf numFmtId="170" fontId="0" fillId="0" borderId="0" xfId="0" applyNumberFormat="1" applyAlignment="1">
      <alignment horizontal="center"/>
    </xf>
    <xf numFmtId="8" fontId="0" fillId="0" borderId="0" xfId="1" applyNumberFormat="1" applyFont="1"/>
    <xf numFmtId="14" fontId="5" fillId="7" borderId="0" xfId="0" applyNumberFormat="1" applyFont="1" applyFill="1" applyAlignment="1">
      <alignment horizontal="center"/>
    </xf>
    <xf numFmtId="44" fontId="0" fillId="20" borderId="0" xfId="0" applyNumberFormat="1" applyFill="1"/>
    <xf numFmtId="0" fontId="0" fillId="20" borderId="0" xfId="0" applyFill="1"/>
    <xf numFmtId="44" fontId="0" fillId="6" borderId="0" xfId="0" applyNumberFormat="1" applyFill="1"/>
    <xf numFmtId="14" fontId="1" fillId="6" borderId="0" xfId="0" applyNumberFormat="1" applyFont="1" applyFill="1" applyAlignment="1">
      <alignment horizontal="left"/>
    </xf>
    <xf numFmtId="16" fontId="0" fillId="0" borderId="0" xfId="0" applyNumberFormat="1" applyAlignment="1">
      <alignment horizontal="center"/>
    </xf>
    <xf numFmtId="4" fontId="0" fillId="2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44" fontId="7" fillId="0" borderId="0" xfId="1" applyFont="1"/>
    <xf numFmtId="165" fontId="0" fillId="8" borderId="0" xfId="0" applyNumberFormat="1" applyFill="1" applyAlignment="1">
      <alignment horizontal="center"/>
    </xf>
    <xf numFmtId="8" fontId="0" fillId="8" borderId="0" xfId="0" applyNumberFormat="1" applyFill="1" applyAlignment="1">
      <alignment horizontal="center"/>
    </xf>
    <xf numFmtId="44" fontId="6" fillId="0" borderId="0" xfId="1" applyFont="1"/>
    <xf numFmtId="8" fontId="0" fillId="17" borderId="0" xfId="0" applyNumberFormat="1" applyFill="1" applyAlignment="1">
      <alignment horizontal="center"/>
    </xf>
    <xf numFmtId="167" fontId="4" fillId="6" borderId="2" xfId="0" applyNumberFormat="1" applyFont="1" applyFill="1" applyBorder="1" applyAlignment="1">
      <alignment horizontal="center"/>
    </xf>
    <xf numFmtId="44" fontId="1" fillId="31" borderId="0" xfId="0" applyNumberFormat="1" applyFont="1" applyFill="1"/>
    <xf numFmtId="0" fontId="1" fillId="31" borderId="0" xfId="0" applyFont="1" applyFill="1"/>
    <xf numFmtId="0" fontId="0" fillId="7" borderId="0" xfId="0" applyFill="1" applyAlignment="1">
      <alignment horizontal="left"/>
    </xf>
    <xf numFmtId="0" fontId="0" fillId="30" borderId="0" xfId="0" applyFill="1" applyAlignment="1">
      <alignment horizontal="center"/>
    </xf>
    <xf numFmtId="8" fontId="0" fillId="5" borderId="0" xfId="0" applyNumberFormat="1" applyFill="1" applyAlignment="1">
      <alignment horizontal="center"/>
    </xf>
    <xf numFmtId="8" fontId="1" fillId="7" borderId="0" xfId="0" applyNumberFormat="1" applyFont="1" applyFill="1" applyAlignment="1">
      <alignment horizontal="center"/>
    </xf>
    <xf numFmtId="168" fontId="4" fillId="6" borderId="2" xfId="0" applyNumberFormat="1" applyFont="1" applyFill="1" applyBorder="1"/>
    <xf numFmtId="44" fontId="4" fillId="6" borderId="2" xfId="1" applyFont="1" applyFill="1" applyBorder="1"/>
    <xf numFmtId="8" fontId="4" fillId="6" borderId="2" xfId="1" applyNumberFormat="1" applyFont="1" applyFill="1" applyBorder="1"/>
    <xf numFmtId="44" fontId="1" fillId="2" borderId="4" xfId="0" applyNumberFormat="1" applyFont="1" applyFill="1" applyBorder="1" applyAlignment="1">
      <alignment horizontal="center"/>
    </xf>
    <xf numFmtId="44" fontId="0" fillId="0" borderId="4" xfId="0" applyNumberFormat="1" applyBorder="1" applyAlignment="1">
      <alignment horizontal="center"/>
    </xf>
    <xf numFmtId="44" fontId="0" fillId="0" borderId="4" xfId="1" applyFont="1" applyBorder="1" applyAlignment="1">
      <alignment horizontal="center"/>
    </xf>
    <xf numFmtId="44" fontId="0" fillId="0" borderId="14" xfId="1" applyFont="1" applyBorder="1"/>
    <xf numFmtId="0" fontId="5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14" fontId="6" fillId="0" borderId="0" xfId="0" applyNumberFormat="1" applyFont="1"/>
    <xf numFmtId="0" fontId="6" fillId="0" borderId="0" xfId="0" applyFont="1"/>
    <xf numFmtId="44" fontId="6" fillId="32" borderId="0" xfId="0" applyNumberFormat="1" applyFont="1" applyFill="1"/>
    <xf numFmtId="0" fontId="6" fillId="32" borderId="0" xfId="0" applyFont="1" applyFill="1"/>
    <xf numFmtId="0" fontId="0" fillId="32" borderId="0" xfId="0" applyFill="1"/>
    <xf numFmtId="44" fontId="1" fillId="32" borderId="0" xfId="1" applyFont="1" applyFill="1"/>
    <xf numFmtId="44" fontId="1" fillId="32" borderId="0" xfId="0" applyNumberFormat="1" applyFont="1" applyFill="1"/>
    <xf numFmtId="167" fontId="1" fillId="0" borderId="0" xfId="0" applyNumberFormat="1" applyFont="1" applyAlignment="1">
      <alignment horizontal="center"/>
    </xf>
    <xf numFmtId="44" fontId="10" fillId="0" borderId="14" xfId="1" applyFont="1" applyBorder="1"/>
    <xf numFmtId="8" fontId="10" fillId="0" borderId="0" xfId="0" applyNumberFormat="1" applyFont="1"/>
    <xf numFmtId="44" fontId="5" fillId="0" borderId="14" xfId="1" applyFont="1" applyBorder="1"/>
    <xf numFmtId="8" fontId="5" fillId="0" borderId="0" xfId="0" applyNumberFormat="1" applyFont="1"/>
    <xf numFmtId="0" fontId="5" fillId="0" borderId="10" xfId="0" applyFont="1" applyBorder="1"/>
    <xf numFmtId="8" fontId="0" fillId="0" borderId="18" xfId="0" applyNumberFormat="1" applyBorder="1"/>
    <xf numFmtId="0" fontId="0" fillId="0" borderId="15" xfId="0" applyBorder="1"/>
    <xf numFmtId="8" fontId="0" fillId="0" borderId="0" xfId="0" applyNumberFormat="1" applyAlignment="1">
      <alignment wrapText="1"/>
    </xf>
    <xf numFmtId="0" fontId="10" fillId="30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14" fontId="0" fillId="0" borderId="14" xfId="0" applyNumberFormat="1" applyBorder="1"/>
    <xf numFmtId="8" fontId="4" fillId="6" borderId="2" xfId="1" applyNumberFormat="1" applyFont="1" applyFill="1" applyBorder="1" applyAlignment="1">
      <alignment horizontal="center"/>
    </xf>
    <xf numFmtId="44" fontId="4" fillId="6" borderId="2" xfId="1" applyFont="1" applyFill="1" applyBorder="1" applyAlignment="1">
      <alignment horizontal="center"/>
    </xf>
    <xf numFmtId="8" fontId="1" fillId="0" borderId="4" xfId="0" applyNumberFormat="1" applyFont="1" applyBorder="1"/>
    <xf numFmtId="0" fontId="0" fillId="4" borderId="0" xfId="0" applyFill="1" applyAlignment="1">
      <alignment horizontal="center"/>
    </xf>
    <xf numFmtId="8" fontId="0" fillId="30" borderId="0" xfId="0" applyNumberFormat="1" applyFill="1" applyAlignment="1">
      <alignment horizontal="center"/>
    </xf>
    <xf numFmtId="171" fontId="1" fillId="0" borderId="0" xfId="0" applyNumberFormat="1" applyFont="1" applyAlignment="1">
      <alignment horizontal="center"/>
    </xf>
    <xf numFmtId="171" fontId="4" fillId="6" borderId="2" xfId="0" applyNumberFormat="1" applyFont="1" applyFill="1" applyBorder="1"/>
    <xf numFmtId="171" fontId="0" fillId="0" borderId="0" xfId="0" applyNumberFormat="1"/>
    <xf numFmtId="171" fontId="0" fillId="7" borderId="0" xfId="0" applyNumberFormat="1" applyFill="1" applyAlignment="1">
      <alignment horizontal="center"/>
    </xf>
    <xf numFmtId="168" fontId="0" fillId="0" borderId="0" xfId="0" applyNumberFormat="1" applyAlignment="1">
      <alignment horizontal="center"/>
    </xf>
    <xf numFmtId="44" fontId="6" fillId="30" borderId="0" xfId="0" applyNumberFormat="1" applyFont="1" applyFill="1"/>
    <xf numFmtId="0" fontId="6" fillId="30" borderId="0" xfId="0" applyFont="1" applyFill="1"/>
    <xf numFmtId="0" fontId="0" fillId="5" borderId="0" xfId="0" applyFill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8" fontId="0" fillId="0" borderId="0" xfId="0" applyNumberFormat="1" applyAlignment="1">
      <alignment horizontal="center" vertical="center"/>
    </xf>
    <xf numFmtId="8" fontId="1" fillId="3" borderId="0" xfId="0" applyNumberFormat="1" applyFont="1" applyFill="1" applyAlignment="1">
      <alignment horizontal="center" vertical="center"/>
    </xf>
    <xf numFmtId="0" fontId="0" fillId="0" borderId="10" xfId="0" applyBorder="1" applyAlignment="1">
      <alignment vertical="center"/>
    </xf>
    <xf numFmtId="8" fontId="0" fillId="30" borderId="0" xfId="0" applyNumberFormat="1" applyFill="1" applyAlignment="1">
      <alignment horizontal="center" vertical="center"/>
    </xf>
    <xf numFmtId="1" fontId="0" fillId="0" borderId="0" xfId="0" applyNumberFormat="1" applyAlignment="1">
      <alignment horizontal="center"/>
    </xf>
    <xf numFmtId="171" fontId="10" fillId="0" borderId="0" xfId="0" applyNumberFormat="1" applyFont="1" applyAlignment="1">
      <alignment horizontal="center"/>
    </xf>
    <xf numFmtId="8" fontId="0" fillId="20" borderId="0" xfId="0" applyNumberFormat="1" applyFill="1" applyAlignment="1">
      <alignment horizontal="center"/>
    </xf>
    <xf numFmtId="8" fontId="0" fillId="0" borderId="16" xfId="0" applyNumberFormat="1" applyBorder="1"/>
    <xf numFmtId="8" fontId="0" fillId="0" borderId="5" xfId="0" applyNumberFormat="1" applyBorder="1"/>
    <xf numFmtId="8" fontId="0" fillId="0" borderId="16" xfId="0" applyNumberFormat="1" applyBorder="1" applyAlignment="1">
      <alignment wrapText="1"/>
    </xf>
    <xf numFmtId="14" fontId="0" fillId="0" borderId="4" xfId="0" applyNumberFormat="1" applyBorder="1"/>
    <xf numFmtId="8" fontId="5" fillId="0" borderId="16" xfId="0" applyNumberFormat="1" applyFont="1" applyBorder="1"/>
    <xf numFmtId="0" fontId="0" fillId="0" borderId="5" xfId="0" applyBorder="1"/>
    <xf numFmtId="8" fontId="0" fillId="0" borderId="4" xfId="0" applyNumberFormat="1" applyBorder="1"/>
    <xf numFmtId="44" fontId="1" fillId="0" borderId="4" xfId="1" applyFont="1" applyBorder="1"/>
    <xf numFmtId="8" fontId="0" fillId="0" borderId="4" xfId="0" applyNumberFormat="1" applyBorder="1" applyAlignment="1">
      <alignment wrapText="1"/>
    </xf>
    <xf numFmtId="8" fontId="5" fillId="0" borderId="4" xfId="0" applyNumberFormat="1" applyFont="1" applyBorder="1"/>
    <xf numFmtId="8" fontId="0" fillId="0" borderId="6" xfId="0" applyNumberFormat="1" applyBorder="1"/>
    <xf numFmtId="167" fontId="1" fillId="0" borderId="4" xfId="0" applyNumberFormat="1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14" fontId="0" fillId="0" borderId="13" xfId="0" applyNumberFormat="1" applyBorder="1"/>
    <xf numFmtId="8" fontId="0" fillId="0" borderId="8" xfId="0" applyNumberFormat="1" applyBorder="1"/>
    <xf numFmtId="8" fontId="5" fillId="0" borderId="9" xfId="0" applyNumberFormat="1" applyFont="1" applyBorder="1"/>
    <xf numFmtId="14" fontId="0" fillId="0" borderId="10" xfId="0" applyNumberFormat="1" applyBorder="1" applyAlignment="1">
      <alignment horizontal="center"/>
    </xf>
    <xf numFmtId="44" fontId="0" fillId="0" borderId="17" xfId="0" applyNumberFormat="1" applyBorder="1"/>
    <xf numFmtId="14" fontId="0" fillId="0" borderId="8" xfId="0" applyNumberFormat="1" applyBorder="1" applyAlignment="1">
      <alignment horizontal="center"/>
    </xf>
    <xf numFmtId="8" fontId="1" fillId="0" borderId="11" xfId="0" applyNumberFormat="1" applyFont="1" applyBorder="1"/>
    <xf numFmtId="0" fontId="0" fillId="0" borderId="0" xfId="0" applyAlignment="1" applyProtection="1">
      <alignment vertical="center"/>
      <protection locked="0"/>
    </xf>
    <xf numFmtId="44" fontId="0" fillId="0" borderId="9" xfId="0" applyNumberFormat="1" applyBorder="1" applyAlignment="1">
      <alignment vertical="center"/>
    </xf>
    <xf numFmtId="14" fontId="0" fillId="0" borderId="10" xfId="0" applyNumberFormat="1" applyBorder="1" applyAlignment="1">
      <alignment vertical="center"/>
    </xf>
    <xf numFmtId="171" fontId="5" fillId="0" borderId="0" xfId="0" applyNumberFormat="1" applyFont="1" applyAlignment="1">
      <alignment horizontal="center"/>
    </xf>
    <xf numFmtId="8" fontId="1" fillId="0" borderId="0" xfId="1" applyNumberFormat="1" applyFont="1"/>
    <xf numFmtId="171" fontId="5" fillId="0" borderId="0" xfId="0" applyNumberFormat="1" applyFont="1"/>
    <xf numFmtId="171" fontId="3" fillId="0" borderId="0" xfId="0" applyNumberFormat="1" applyFont="1" applyAlignment="1">
      <alignment horizontal="center"/>
    </xf>
    <xf numFmtId="171" fontId="5" fillId="7" borderId="0" xfId="0" applyNumberFormat="1" applyFont="1" applyFill="1" applyAlignment="1">
      <alignment horizontal="center"/>
    </xf>
    <xf numFmtId="171" fontId="16" fillId="6" borderId="2" xfId="0" applyNumberFormat="1" applyFont="1" applyFill="1" applyBorder="1"/>
    <xf numFmtId="44" fontId="6" fillId="31" borderId="0" xfId="0" applyNumberFormat="1" applyFont="1" applyFill="1"/>
    <xf numFmtId="44" fontId="1" fillId="30" borderId="0" xfId="1" applyFont="1" applyFill="1"/>
    <xf numFmtId="14" fontId="6" fillId="30" borderId="0" xfId="0" applyNumberFormat="1" applyFont="1" applyFill="1" applyAlignment="1">
      <alignment horizontal="center"/>
    </xf>
    <xf numFmtId="44" fontId="10" fillId="0" borderId="14" xfId="0" applyNumberFormat="1" applyFont="1" applyBorder="1"/>
    <xf numFmtId="44" fontId="10" fillId="0" borderId="13" xfId="0" applyNumberFormat="1" applyFont="1" applyBorder="1"/>
    <xf numFmtId="0" fontId="0" fillId="26" borderId="0" xfId="0" applyFill="1" applyAlignment="1">
      <alignment horizontal="center"/>
    </xf>
    <xf numFmtId="171" fontId="5" fillId="0" borderId="0" xfId="0" applyNumberFormat="1" applyFont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4" xfId="0" applyBorder="1"/>
    <xf numFmtId="8" fontId="1" fillId="0" borderId="0" xfId="1" applyNumberFormat="1" applyFont="1" applyAlignment="1">
      <alignment horizontal="center"/>
    </xf>
    <xf numFmtId="0" fontId="17" fillId="30" borderId="0" xfId="0" applyFont="1" applyFill="1"/>
    <xf numFmtId="44" fontId="1" fillId="0" borderId="0" xfId="1" applyFont="1" applyAlignment="1"/>
    <xf numFmtId="44" fontId="10" fillId="0" borderId="0" xfId="1" applyFont="1" applyAlignment="1"/>
    <xf numFmtId="44" fontId="6" fillId="0" borderId="0" xfId="1" applyFont="1" applyAlignment="1"/>
    <xf numFmtId="44" fontId="17" fillId="30" borderId="0" xfId="0" applyNumberFormat="1" applyFont="1" applyFill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1" fillId="9" borderId="0" xfId="0" applyFont="1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4" fillId="31" borderId="0" xfId="0" applyFont="1" applyFill="1" applyAlignment="1">
      <alignment horizontal="center" vertical="center" wrapText="1"/>
    </xf>
    <xf numFmtId="44" fontId="0" fillId="0" borderId="14" xfId="1" applyFont="1" applyBorder="1" applyAlignment="1">
      <alignment horizontal="center" vertical="center"/>
    </xf>
    <xf numFmtId="8" fontId="0" fillId="0" borderId="9" xfId="0" applyNumberFormat="1" applyBorder="1" applyAlignment="1">
      <alignment horizontal="left" wrapText="1"/>
    </xf>
    <xf numFmtId="8" fontId="0" fillId="0" borderId="10" xfId="0" applyNumberFormat="1" applyBorder="1" applyAlignment="1">
      <alignment horizontal="left" wrapText="1"/>
    </xf>
    <xf numFmtId="14" fontId="0" fillId="0" borderId="14" xfId="0" applyNumberFormat="1" applyBorder="1" applyAlignment="1">
      <alignment horizontal="left" vertical="center" wrapText="1"/>
    </xf>
    <xf numFmtId="8" fontId="0" fillId="0" borderId="14" xfId="0" applyNumberFormat="1" applyBorder="1" applyAlignment="1">
      <alignment horizontal="left" vertical="center" wrapText="1"/>
    </xf>
    <xf numFmtId="8" fontId="0" fillId="0" borderId="0" xfId="0" applyNumberFormat="1" applyAlignment="1">
      <alignment horizontal="left" wrapText="1"/>
    </xf>
    <xf numFmtId="44" fontId="0" fillId="0" borderId="9" xfId="0" applyNumberFormat="1" applyBorder="1" applyAlignment="1">
      <alignment horizontal="left" vertical="center"/>
    </xf>
    <xf numFmtId="14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5" fillId="22" borderId="5" xfId="0" applyFont="1" applyFill="1" applyBorder="1" applyAlignment="1">
      <alignment horizontal="center" vertical="center" wrapText="1"/>
    </xf>
    <xf numFmtId="0" fontId="15" fillId="22" borderId="6" xfId="0" applyFont="1" applyFill="1" applyBorder="1" applyAlignment="1">
      <alignment horizontal="center" vertical="center" wrapText="1"/>
    </xf>
    <xf numFmtId="14" fontId="11" fillId="0" borderId="0" xfId="0" applyNumberFormat="1" applyFont="1" applyAlignment="1">
      <alignment horizontal="center"/>
    </xf>
    <xf numFmtId="165" fontId="0" fillId="2" borderId="0" xfId="0" applyNumberFormat="1" applyFill="1" applyAlignment="1">
      <alignment horizontal="center"/>
    </xf>
    <xf numFmtId="10" fontId="0" fillId="2" borderId="0" xfId="0" applyNumberFormat="1" applyFill="1" applyAlignment="1">
      <alignment horizontal="center"/>
    </xf>
    <xf numFmtId="8" fontId="1" fillId="2" borderId="0" xfId="0" applyNumberFormat="1" applyFont="1" applyFill="1" applyAlignment="1">
      <alignment horizontal="center"/>
    </xf>
    <xf numFmtId="44" fontId="10" fillId="2" borderId="14" xfId="0" applyNumberFormat="1" applyFont="1" applyFill="1" applyBorder="1"/>
    <xf numFmtId="8" fontId="0" fillId="2" borderId="9" xfId="0" applyNumberFormat="1" applyFill="1" applyBorder="1"/>
    <xf numFmtId="0" fontId="10" fillId="2" borderId="10" xfId="0" applyFont="1" applyFill="1" applyBorder="1"/>
    <xf numFmtId="14" fontId="0" fillId="2" borderId="14" xfId="0" applyNumberFormat="1" applyFill="1" applyBorder="1"/>
    <xf numFmtId="44" fontId="0" fillId="2" borderId="14" xfId="0" applyNumberFormat="1" applyFill="1" applyBorder="1"/>
    <xf numFmtId="0" fontId="0" fillId="2" borderId="10" xfId="0" applyFill="1" applyBorder="1"/>
    <xf numFmtId="14" fontId="11" fillId="2" borderId="0" xfId="0" applyNumberFormat="1" applyFont="1" applyFill="1" applyAlignment="1">
      <alignment horizontal="center"/>
    </xf>
    <xf numFmtId="4" fontId="0" fillId="2" borderId="0" xfId="0" applyNumberFormat="1" applyFill="1"/>
    <xf numFmtId="0" fontId="0" fillId="2" borderId="0" xfId="0" applyFill="1" applyAlignment="1">
      <alignment horizontal="left"/>
    </xf>
    <xf numFmtId="44" fontId="0" fillId="2" borderId="0" xfId="0" applyNumberFormat="1" applyFill="1"/>
    <xf numFmtId="16" fontId="0" fillId="2" borderId="0" xfId="0" applyNumberFormat="1" applyFill="1"/>
  </cellXfs>
  <cellStyles count="4">
    <cellStyle name="Moeda" xfId="1" builtinId="4"/>
    <cellStyle name="Normal" xfId="0" builtinId="0"/>
    <cellStyle name="Porcentagem" xfId="3" builtinId="5"/>
    <cellStyle name="Vírgula" xfId="2" builtinId="3"/>
  </cellStyles>
  <dxfs count="0"/>
  <tableStyles count="0" defaultTableStyle="TableStyleMedium2" defaultPivotStyle="PivotStyleLight16"/>
  <colors>
    <mruColors>
      <color rgb="FFFFFFCC"/>
      <color rgb="FFF4F9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10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/>
  <dimension ref="A1:AL17"/>
  <sheetViews>
    <sheetView zoomScale="85" zoomScaleNormal="85" workbookViewId="0">
      <pane ySplit="3" topLeftCell="A4" activePane="bottomLeft" state="frozen"/>
      <selection activeCell="P11" sqref="P11"/>
      <selection pane="bottomLeft" activeCell="I10" sqref="I10"/>
    </sheetView>
  </sheetViews>
  <sheetFormatPr defaultRowHeight="14.5" x14ac:dyDescent="0.35"/>
  <cols>
    <col min="1" max="1" width="10.7265625" bestFit="1" customWidth="1"/>
    <col min="2" max="2" width="15" bestFit="1" customWidth="1"/>
    <col min="3" max="3" width="8.26953125" bestFit="1" customWidth="1"/>
    <col min="4" max="4" width="12.26953125" bestFit="1" customWidth="1"/>
    <col min="5" max="5" width="7.7265625" bestFit="1" customWidth="1"/>
    <col min="6" max="6" width="8.81640625" bestFit="1" customWidth="1"/>
    <col min="7" max="7" width="9" bestFit="1" customWidth="1"/>
    <col min="8" max="8" width="9.26953125" bestFit="1" customWidth="1"/>
    <col min="9" max="9" width="8" bestFit="1" customWidth="1"/>
    <col min="10" max="10" width="10.54296875" bestFit="1" customWidth="1"/>
    <col min="11" max="11" width="13" bestFit="1" customWidth="1"/>
    <col min="12" max="16" width="6.26953125" bestFit="1" customWidth="1"/>
    <col min="17" max="17" width="11.26953125" bestFit="1" customWidth="1"/>
    <col min="18" max="18" width="10.26953125" bestFit="1" customWidth="1"/>
    <col min="19" max="19" width="3.7265625" bestFit="1" customWidth="1"/>
    <col min="20" max="20" width="2.81640625" bestFit="1" customWidth="1"/>
    <col min="21" max="21" width="15.54296875" bestFit="1" customWidth="1"/>
    <col min="22" max="22" width="15.26953125" bestFit="1" customWidth="1"/>
    <col min="23" max="23" width="13.81640625" bestFit="1" customWidth="1"/>
    <col min="24" max="24" width="14.81640625" bestFit="1" customWidth="1"/>
    <col min="25" max="25" width="12.81640625" bestFit="1" customWidth="1"/>
    <col min="26" max="27" width="12.453125" bestFit="1" customWidth="1"/>
    <col min="28" max="28" width="10.54296875" bestFit="1" customWidth="1"/>
    <col min="29" max="29" width="12.453125" bestFit="1" customWidth="1"/>
    <col min="30" max="30" width="10.54296875" bestFit="1" customWidth="1"/>
    <col min="31" max="31" width="8.26953125" bestFit="1" customWidth="1"/>
    <col min="32" max="32" width="15.7265625" bestFit="1" customWidth="1"/>
    <col min="33" max="33" width="8.26953125" bestFit="1" customWidth="1"/>
    <col min="34" max="34" width="13.81640625" bestFit="1" customWidth="1"/>
    <col min="35" max="35" width="12.81640625" bestFit="1" customWidth="1"/>
    <col min="36" max="37" width="13.81640625" bestFit="1" customWidth="1"/>
    <col min="38" max="38" width="8" bestFit="1" customWidth="1"/>
  </cols>
  <sheetData>
    <row r="1" spans="1:38" ht="7.5" customHeight="1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J3" s="6"/>
    </row>
    <row r="4" spans="1:38" x14ac:dyDescent="0.35">
      <c r="A4" s="20">
        <v>44670</v>
      </c>
      <c r="B4" s="21" t="s">
        <v>55</v>
      </c>
      <c r="C4" s="21"/>
      <c r="D4" s="21"/>
      <c r="E4" s="21"/>
      <c r="F4" s="21"/>
      <c r="G4" s="21">
        <v>50</v>
      </c>
      <c r="H4" s="22">
        <v>20780</v>
      </c>
      <c r="I4" s="23">
        <v>0.5</v>
      </c>
      <c r="J4" s="24"/>
      <c r="K4" s="22"/>
      <c r="L4" s="22"/>
      <c r="M4" s="22"/>
      <c r="N4" s="22"/>
      <c r="O4" s="22"/>
      <c r="P4" s="22"/>
      <c r="Q4" s="22"/>
      <c r="R4" s="22"/>
      <c r="S4" s="22"/>
      <c r="T4" s="22"/>
      <c r="U4" s="25">
        <v>290</v>
      </c>
      <c r="V4" s="25">
        <f>H4*U4*I4/15</f>
        <v>200873.33333333334</v>
      </c>
      <c r="W4" s="25"/>
      <c r="X4" s="25"/>
      <c r="Y4" s="25">
        <f>G4*10</f>
        <v>500</v>
      </c>
      <c r="Z4" s="25">
        <v>2843.33</v>
      </c>
      <c r="AA4" s="25">
        <v>1850</v>
      </c>
      <c r="AB4" s="25"/>
      <c r="AC4" s="25">
        <f>G4*30</f>
        <v>1500</v>
      </c>
      <c r="AD4" s="25">
        <f>G4*3.83</f>
        <v>191.5</v>
      </c>
      <c r="AE4" s="25"/>
      <c r="AF4" s="25">
        <f>V4+Y4+Z4+AA4+AB4+AC4+AD4</f>
        <v>207758.16333333333</v>
      </c>
      <c r="AG4" s="25">
        <f>(H4*W4*J4/15)-AE4</f>
        <v>0</v>
      </c>
      <c r="AH4" s="26">
        <f>AG4-AF4</f>
        <v>-207758.16333333333</v>
      </c>
      <c r="AJ4" s="6"/>
    </row>
    <row r="5" spans="1:38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6">
        <f>AH4/G4</f>
        <v>-4155.1632666666665</v>
      </c>
      <c r="AJ5" s="6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 t="str">
        <f>IFERROR(AH4/AG4,"")</f>
        <v/>
      </c>
    </row>
    <row r="9" spans="1:38" ht="29" x14ac:dyDescent="0.35">
      <c r="A9" s="34" t="s">
        <v>1</v>
      </c>
      <c r="B9" s="34" t="s">
        <v>2</v>
      </c>
      <c r="C9" s="34" t="s">
        <v>110</v>
      </c>
      <c r="D9" s="34" t="s">
        <v>66</v>
      </c>
      <c r="E9" s="34" t="s">
        <v>32</v>
      </c>
      <c r="F9" s="34" t="s">
        <v>137</v>
      </c>
      <c r="G9" s="34" t="s">
        <v>33</v>
      </c>
      <c r="H9" s="34" t="s">
        <v>4</v>
      </c>
      <c r="I9" s="34" t="s">
        <v>5</v>
      </c>
      <c r="J9" s="34" t="s">
        <v>6</v>
      </c>
      <c r="K9" s="34" t="s">
        <v>7</v>
      </c>
      <c r="L9" s="34" t="s">
        <v>279</v>
      </c>
      <c r="M9" s="34" t="s">
        <v>280</v>
      </c>
      <c r="N9" s="34" t="s">
        <v>281</v>
      </c>
      <c r="O9" s="34" t="s">
        <v>282</v>
      </c>
      <c r="P9" s="34" t="s">
        <v>283</v>
      </c>
      <c r="Q9" s="34" t="s">
        <v>284</v>
      </c>
      <c r="R9" s="34" t="s">
        <v>904</v>
      </c>
      <c r="S9" s="34" t="s">
        <v>285</v>
      </c>
      <c r="T9" s="34" t="s">
        <v>289</v>
      </c>
      <c r="U9" s="34" t="s">
        <v>8</v>
      </c>
      <c r="V9" s="34" t="s">
        <v>9</v>
      </c>
      <c r="W9" s="34" t="s">
        <v>10</v>
      </c>
      <c r="X9" s="34" t="s">
        <v>100</v>
      </c>
      <c r="Y9" s="34" t="s">
        <v>29</v>
      </c>
      <c r="Z9" s="34" t="s">
        <v>12</v>
      </c>
      <c r="AA9" s="35" t="s">
        <v>65</v>
      </c>
      <c r="AB9" s="34" t="s">
        <v>13</v>
      </c>
      <c r="AC9" s="34" t="s">
        <v>20</v>
      </c>
      <c r="AD9" s="34" t="s">
        <v>21</v>
      </c>
      <c r="AE9" s="34" t="s">
        <v>14</v>
      </c>
      <c r="AF9" s="34" t="s">
        <v>15</v>
      </c>
      <c r="AG9" s="34" t="s">
        <v>16</v>
      </c>
      <c r="AH9" s="36" t="s">
        <v>17</v>
      </c>
    </row>
    <row r="10" spans="1:38" x14ac:dyDescent="0.35">
      <c r="A10" s="20">
        <v>44670</v>
      </c>
      <c r="B10" s="21" t="s">
        <v>56</v>
      </c>
      <c r="C10" s="21"/>
      <c r="D10" s="21"/>
      <c r="E10" s="21"/>
      <c r="F10" s="21"/>
      <c r="G10" s="21">
        <v>70</v>
      </c>
      <c r="H10" s="22">
        <v>30140</v>
      </c>
      <c r="I10" s="23">
        <v>0.5</v>
      </c>
      <c r="J10" s="24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5">
        <v>290</v>
      </c>
      <c r="V10" s="25">
        <f>H10*U10*I10/15</f>
        <v>291353.33333333331</v>
      </c>
      <c r="W10" s="25"/>
      <c r="X10" s="25"/>
      <c r="Y10" s="25">
        <f>G10*10</f>
        <v>700</v>
      </c>
      <c r="Z10" s="25">
        <v>3980.66</v>
      </c>
      <c r="AA10" s="25">
        <v>2150</v>
      </c>
      <c r="AB10" s="25"/>
      <c r="AC10" s="25">
        <f>G10*30</f>
        <v>2100</v>
      </c>
      <c r="AD10" s="25">
        <f>G10*3.83</f>
        <v>268.10000000000002</v>
      </c>
      <c r="AE10" s="25"/>
      <c r="AF10" s="25">
        <f>V10+Y10+Z10+AA10+AB10+AC10+AD10</f>
        <v>300552.09333333327</v>
      </c>
      <c r="AG10" s="25">
        <f>(H10*W10*J10/15)-AE10</f>
        <v>0</v>
      </c>
      <c r="AH10" s="26">
        <f>AG10-AF10</f>
        <v>-300552.09333333327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6">
        <f>AH10/G10</f>
        <v>-4293.6013333333321</v>
      </c>
      <c r="AJ11" s="6"/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 t="str">
        <f>IFERROR(AH10/AG10,"")</f>
        <v/>
      </c>
      <c r="AJ12" s="6"/>
    </row>
    <row r="14" spans="1:38" x14ac:dyDescent="0.35">
      <c r="AJ14">
        <f>G4+G10</f>
        <v>120</v>
      </c>
    </row>
    <row r="15" spans="1:38" ht="15" thickBot="1" x14ac:dyDescent="0.4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7"/>
      <c r="AJ15" s="11">
        <f>AH4+AH10</f>
        <v>-508310.2566666666</v>
      </c>
      <c r="AK15" s="11">
        <f>AJ15*30%</f>
        <v>-152493.07699999996</v>
      </c>
      <c r="AL15" t="s">
        <v>71</v>
      </c>
    </row>
    <row r="16" spans="1:38" ht="16" thickBot="1" x14ac:dyDescent="0.4">
      <c r="A16" s="377" t="s">
        <v>62</v>
      </c>
      <c r="B16" s="378"/>
      <c r="C16" s="378"/>
      <c r="D16" s="378"/>
      <c r="E16" s="378"/>
      <c r="F16" s="378"/>
      <c r="G16" s="378"/>
      <c r="H16" s="378"/>
      <c r="I16" s="378"/>
      <c r="J16" s="378"/>
      <c r="K16" s="378"/>
      <c r="L16" s="46"/>
      <c r="M16" s="46"/>
      <c r="N16" s="46"/>
      <c r="O16" s="46"/>
      <c r="P16" s="46"/>
      <c r="Q16" s="46"/>
      <c r="R16" s="46"/>
      <c r="S16" s="46"/>
      <c r="T16" s="46"/>
      <c r="U16" s="30"/>
      <c r="V16" s="31">
        <f>V4+V10</f>
        <v>492226.66666666663</v>
      </c>
      <c r="W16" s="30"/>
      <c r="X16" s="30"/>
      <c r="Y16" s="31">
        <f t="shared" ref="Y16:AG16" si="0">Y4+Y10</f>
        <v>1200</v>
      </c>
      <c r="Z16" s="31">
        <f t="shared" si="0"/>
        <v>6823.99</v>
      </c>
      <c r="AA16" s="31">
        <f t="shared" si="0"/>
        <v>4000</v>
      </c>
      <c r="AB16" s="31">
        <f t="shared" si="0"/>
        <v>0</v>
      </c>
      <c r="AC16" s="31">
        <f t="shared" si="0"/>
        <v>3600</v>
      </c>
      <c r="AD16" s="31">
        <f t="shared" si="0"/>
        <v>459.6</v>
      </c>
      <c r="AE16" s="31">
        <f t="shared" si="0"/>
        <v>0</v>
      </c>
      <c r="AF16" s="31">
        <f t="shared" si="0"/>
        <v>508310.2566666666</v>
      </c>
      <c r="AG16" s="31">
        <f t="shared" si="0"/>
        <v>0</v>
      </c>
      <c r="AH16" s="32"/>
      <c r="AJ16" s="11">
        <f>AJ15/AJ14</f>
        <v>-4235.9188055555551</v>
      </c>
      <c r="AK16" s="1"/>
    </row>
    <row r="17" spans="1:34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4"/>
    </row>
  </sheetData>
  <mergeCells count="2">
    <mergeCell ref="U2:AC2"/>
    <mergeCell ref="A16:K1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"/>
  <dimension ref="A1:AK26"/>
  <sheetViews>
    <sheetView topLeftCell="D1" zoomScale="85" zoomScaleNormal="85" workbookViewId="0">
      <pane ySplit="3" topLeftCell="A4" activePane="bottomLeft" state="frozen"/>
      <selection activeCell="A24" sqref="A24:U24"/>
      <selection pane="bottomLeft" activeCell="W3" sqref="W3"/>
    </sheetView>
  </sheetViews>
  <sheetFormatPr defaultRowHeight="14.5" x14ac:dyDescent="0.35"/>
  <cols>
    <col min="1" max="1" width="10.81640625" bestFit="1" customWidth="1"/>
    <col min="2" max="2" width="23" bestFit="1" customWidth="1"/>
    <col min="3" max="3" width="16.7265625" customWidth="1"/>
    <col min="4" max="4" width="12.1796875" bestFit="1" customWidth="1"/>
    <col min="5" max="5" width="13.54296875" bestFit="1" customWidth="1"/>
    <col min="6" max="6" width="13.54296875" customWidth="1"/>
    <col min="7" max="7" width="10.1796875" bestFit="1" customWidth="1"/>
    <col min="8" max="8" width="10.26953125" bestFit="1" customWidth="1"/>
    <col min="9" max="9" width="8.26953125" bestFit="1" customWidth="1"/>
    <col min="10" max="10" width="10.54296875" bestFit="1" customWidth="1"/>
    <col min="11" max="11" width="12.81640625" bestFit="1" customWidth="1"/>
    <col min="12" max="16" width="6.26953125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bestFit="1" customWidth="1"/>
    <col min="22" max="22" width="17" bestFit="1" customWidth="1"/>
    <col min="23" max="23" width="13.81640625" bestFit="1" customWidth="1"/>
    <col min="24" max="24" width="15.54296875" customWidth="1"/>
    <col min="25" max="25" width="13.81640625" customWidth="1"/>
    <col min="26" max="26" width="15.1796875" bestFit="1" customWidth="1"/>
    <col min="27" max="29" width="13.81640625" bestFit="1" customWidth="1"/>
    <col min="30" max="30" width="12.54296875" bestFit="1" customWidth="1"/>
    <col min="31" max="31" width="13.81640625" bestFit="1" customWidth="1"/>
    <col min="32" max="33" width="17" bestFit="1" customWidth="1"/>
    <col min="34" max="34" width="13.7265625" bestFit="1" customWidth="1"/>
    <col min="35" max="35" width="12.81640625" bestFit="1" customWidth="1"/>
    <col min="36" max="36" width="14.54296875" bestFit="1" customWidth="1"/>
    <col min="37" max="37" width="12.81640625" bestFit="1" customWidth="1"/>
    <col min="38" max="38" width="15.54296875" bestFit="1" customWidth="1"/>
  </cols>
  <sheetData>
    <row r="1" spans="1:35" ht="7.5" customHeight="1" thickBot="1" x14ac:dyDescent="0.4"/>
    <row r="2" spans="1:35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5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5" x14ac:dyDescent="0.35">
      <c r="A4" s="2">
        <v>44645</v>
      </c>
      <c r="B4" t="s">
        <v>24</v>
      </c>
      <c r="G4">
        <v>60</v>
      </c>
      <c r="H4" s="3">
        <v>21366</v>
      </c>
      <c r="I4" s="4">
        <v>0.5</v>
      </c>
      <c r="J4" s="5">
        <f>K4/H4</f>
        <v>0.50348684826359635</v>
      </c>
      <c r="K4" s="3">
        <v>10757.5</v>
      </c>
      <c r="L4" s="3"/>
      <c r="M4" s="3"/>
      <c r="N4" s="3"/>
      <c r="O4" s="3"/>
      <c r="P4" s="3"/>
      <c r="Q4" s="3"/>
      <c r="R4" s="3"/>
      <c r="S4" s="3"/>
      <c r="T4" s="3"/>
      <c r="U4" s="6">
        <v>290</v>
      </c>
      <c r="V4" s="6">
        <f>H4*I4*U4/15</f>
        <v>206538</v>
      </c>
      <c r="W4" s="6">
        <v>353.26</v>
      </c>
      <c r="X4" s="6"/>
      <c r="Y4" s="19">
        <v>1200</v>
      </c>
      <c r="Z4" s="6">
        <v>9378.6</v>
      </c>
      <c r="AB4" s="19">
        <v>1740</v>
      </c>
      <c r="AC4" s="6">
        <v>2100</v>
      </c>
      <c r="AD4" s="6">
        <f>G4*3.83</f>
        <v>229.8</v>
      </c>
      <c r="AE4" s="6">
        <v>506.69</v>
      </c>
      <c r="AF4" s="6">
        <f>V4+Z4+AB4+Y4+AC4+AD4</f>
        <v>221186.4</v>
      </c>
      <c r="AG4" s="6">
        <f>IFERROR((H4*J4*W4/15)-AE4,"")</f>
        <v>252839.60666666666</v>
      </c>
      <c r="AH4" s="7">
        <f>AG4-AF4</f>
        <v>31653.206666666665</v>
      </c>
    </row>
    <row r="5" spans="1:35" x14ac:dyDescent="0.35">
      <c r="AH5" s="7">
        <f>AH4/G4</f>
        <v>527.55344444444438</v>
      </c>
    </row>
    <row r="6" spans="1:35" x14ac:dyDescent="0.35">
      <c r="AH6" s="8">
        <f>IFERROR(AH4/AG4,"")</f>
        <v>0.1251908555149627</v>
      </c>
    </row>
    <row r="9" spans="1:35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</v>
      </c>
      <c r="F9" s="14" t="s">
        <v>137</v>
      </c>
      <c r="G9" s="14" t="s">
        <v>139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11</v>
      </c>
      <c r="Z9" s="14" t="s">
        <v>12</v>
      </c>
      <c r="AA9" s="14" t="s">
        <v>11</v>
      </c>
      <c r="AB9" s="14" t="s">
        <v>13</v>
      </c>
      <c r="AC9" s="14" t="s">
        <v>20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5" x14ac:dyDescent="0.35">
      <c r="A10" s="2">
        <v>44648</v>
      </c>
      <c r="B10" t="s">
        <v>18</v>
      </c>
      <c r="G10">
        <v>132</v>
      </c>
      <c r="H10" s="3">
        <v>57351</v>
      </c>
      <c r="I10" s="4">
        <v>0.5</v>
      </c>
      <c r="J10" s="5">
        <f>K10/H10</f>
        <v>0.50545762061690291</v>
      </c>
      <c r="K10" s="3">
        <v>28988.5</v>
      </c>
      <c r="L10" s="3"/>
      <c r="M10" s="3"/>
      <c r="N10" s="3"/>
      <c r="O10" s="3"/>
      <c r="P10" s="3"/>
      <c r="Q10" s="3"/>
      <c r="R10" s="3"/>
      <c r="S10" s="3"/>
      <c r="T10" s="3"/>
      <c r="U10" s="6">
        <v>305</v>
      </c>
      <c r="V10" s="6">
        <f>H10*I10*U10/15</f>
        <v>583068.5</v>
      </c>
      <c r="W10">
        <v>358.27</v>
      </c>
      <c r="Y10" s="19">
        <v>1165</v>
      </c>
      <c r="Z10" s="6">
        <v>12096</v>
      </c>
      <c r="AB10" s="6">
        <v>4026</v>
      </c>
      <c r="AC10" s="6">
        <v>4620</v>
      </c>
      <c r="AD10" s="6">
        <f>G10*3.83</f>
        <v>505.56</v>
      </c>
      <c r="AE10" s="9">
        <v>1385.24</v>
      </c>
      <c r="AF10" s="6">
        <f>V10+Y10+Z10+AB10+AC10+AD10</f>
        <v>605481.06000000006</v>
      </c>
      <c r="AG10" s="6">
        <f>IFERROR((H10*J10*W10/15)-AE10,"")</f>
        <v>690995.41966666665</v>
      </c>
      <c r="AH10" s="10">
        <f>AG10-AF10</f>
        <v>85514.359666666598</v>
      </c>
    </row>
    <row r="11" spans="1:35" x14ac:dyDescent="0.35">
      <c r="AH11" s="10">
        <f>AH10/G10</f>
        <v>647.83605808080756</v>
      </c>
    </row>
    <row r="12" spans="1:35" x14ac:dyDescent="0.35">
      <c r="AH12" s="8">
        <f>IFERROR(AH10/AG10,"")</f>
        <v>0.12375532056047256</v>
      </c>
    </row>
    <row r="15" spans="1:35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</v>
      </c>
      <c r="F15" s="14" t="s">
        <v>137</v>
      </c>
      <c r="G15" s="14" t="s">
        <v>140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11</v>
      </c>
      <c r="Z15" s="14" t="s">
        <v>12</v>
      </c>
      <c r="AA15" s="14" t="s">
        <v>11</v>
      </c>
      <c r="AB15" s="14" t="s">
        <v>13</v>
      </c>
      <c r="AC15" s="14" t="s">
        <v>20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">
        <f>G4+G10+F16</f>
        <v>230</v>
      </c>
    </row>
    <row r="16" spans="1:35" x14ac:dyDescent="0.35">
      <c r="A16" s="2">
        <v>44648</v>
      </c>
      <c r="B16" t="s">
        <v>18</v>
      </c>
      <c r="F16">
        <v>38</v>
      </c>
      <c r="H16" s="3">
        <v>25401</v>
      </c>
      <c r="I16" s="4">
        <v>0.53</v>
      </c>
      <c r="J16" s="5">
        <f>K16/H16</f>
        <v>0.53440809416952084</v>
      </c>
      <c r="K16" s="3">
        <v>13574.5</v>
      </c>
      <c r="L16" s="3"/>
      <c r="M16" s="3"/>
      <c r="N16" s="3"/>
      <c r="O16" s="3"/>
      <c r="P16" s="3"/>
      <c r="Q16" s="3"/>
      <c r="R16" s="3"/>
      <c r="S16" s="3"/>
      <c r="T16" s="3"/>
      <c r="U16" s="6">
        <v>317</v>
      </c>
      <c r="V16" s="6">
        <f>H16*I16*U16/15</f>
        <v>284508.13399999996</v>
      </c>
      <c r="W16">
        <v>355.43</v>
      </c>
      <c r="Y16" s="19">
        <v>335</v>
      </c>
      <c r="Z16" s="6">
        <v>4104</v>
      </c>
      <c r="AB16" s="6">
        <v>1197</v>
      </c>
      <c r="AC16" s="6"/>
      <c r="AD16" s="6">
        <f>F16*3.83</f>
        <v>145.54</v>
      </c>
      <c r="AE16" s="9">
        <v>643.29999999999995</v>
      </c>
      <c r="AF16" s="6">
        <f>V16+Y16+Z16+AB16+AC16+AD16</f>
        <v>290289.67399999994</v>
      </c>
      <c r="AG16" s="6">
        <f>IFERROR((H16*J16*W16/15)-AE16,"")</f>
        <v>321009.00233333331</v>
      </c>
      <c r="AH16" s="10">
        <f>AG16-AF16</f>
        <v>30719.328333333367</v>
      </c>
      <c r="AI16" s="11">
        <f>AH4+AH10+AH16</f>
        <v>147886.89466666663</v>
      </c>
    </row>
    <row r="17" spans="1:37" x14ac:dyDescent="0.35">
      <c r="AH17" s="10">
        <f>AH16/F16</f>
        <v>808.40337719298338</v>
      </c>
      <c r="AI17" s="11">
        <f>AI16/AI15</f>
        <v>642.98649855072449</v>
      </c>
    </row>
    <row r="18" spans="1:37" x14ac:dyDescent="0.35">
      <c r="AH18" s="8">
        <f>IFERROR(AH16/AG16,"")</f>
        <v>9.5696158394444814E-2</v>
      </c>
    </row>
    <row r="21" spans="1:37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</v>
      </c>
      <c r="F21" s="14" t="s">
        <v>137</v>
      </c>
      <c r="G21" s="14" t="s">
        <v>140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19</v>
      </c>
      <c r="Z21" s="14" t="s">
        <v>12</v>
      </c>
      <c r="AA21" s="14" t="s">
        <v>11</v>
      </c>
      <c r="AB21" s="14" t="s">
        <v>13</v>
      </c>
      <c r="AC21" s="14" t="s">
        <v>20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">
        <f>AI15+F22</f>
        <v>430</v>
      </c>
      <c r="AJ21" s="1" t="s">
        <v>22</v>
      </c>
    </row>
    <row r="22" spans="1:37" x14ac:dyDescent="0.35">
      <c r="A22" s="2">
        <v>44649</v>
      </c>
      <c r="B22" t="s">
        <v>23</v>
      </c>
      <c r="F22">
        <v>200</v>
      </c>
      <c r="H22" s="3">
        <v>112940</v>
      </c>
      <c r="I22" s="4">
        <v>0.53</v>
      </c>
      <c r="J22" s="5">
        <f>K22/H22</f>
        <v>0.50633964937134757</v>
      </c>
      <c r="K22" s="3">
        <v>57186</v>
      </c>
      <c r="L22" s="3"/>
      <c r="M22" s="3"/>
      <c r="N22" s="3"/>
      <c r="O22" s="3"/>
      <c r="P22" s="3"/>
      <c r="Q22" s="3"/>
      <c r="R22" s="3"/>
      <c r="S22" s="3"/>
      <c r="T22" s="3"/>
      <c r="U22" s="6">
        <v>315</v>
      </c>
      <c r="V22" s="6">
        <f>H22*U22*I22/15</f>
        <v>1257022.2</v>
      </c>
      <c r="W22" s="6">
        <v>360.38</v>
      </c>
      <c r="X22" s="6"/>
      <c r="Y22" s="6">
        <v>20000</v>
      </c>
      <c r="Z22" s="6">
        <v>15840</v>
      </c>
      <c r="AB22" s="6">
        <v>6300</v>
      </c>
      <c r="AC22" s="6"/>
      <c r="AD22" s="6">
        <f>F22*3.83</f>
        <v>766</v>
      </c>
      <c r="AE22" s="6">
        <v>2747.81</v>
      </c>
      <c r="AF22" s="6">
        <f>V22+Y22+Z22+AB22+AC22+AD22</f>
        <v>1299928.2</v>
      </c>
      <c r="AG22" s="6">
        <f>IFERROR((H22*J22*W22/15)-AE22,"")</f>
        <v>1371164.9019999998</v>
      </c>
      <c r="AH22" s="7">
        <f>AG22-AF22</f>
        <v>71236.701999999816</v>
      </c>
      <c r="AI22" s="11">
        <f>AI16+AH22</f>
        <v>219123.59666666645</v>
      </c>
      <c r="AJ22" s="13">
        <f>AI22*30%</f>
        <v>65737.078999999925</v>
      </c>
      <c r="AK22" s="6" t="s">
        <v>72</v>
      </c>
    </row>
    <row r="23" spans="1:37" ht="15" thickBot="1" x14ac:dyDescent="0.4">
      <c r="AH23" s="7">
        <f>AH22/F22</f>
        <v>356.1835099999991</v>
      </c>
      <c r="AI23" s="11">
        <f>AI22/AI21</f>
        <v>509.58975968992195</v>
      </c>
      <c r="AJ23" s="12">
        <v>44655</v>
      </c>
      <c r="AK23" s="6"/>
    </row>
    <row r="24" spans="1:37" ht="16" thickBot="1" x14ac:dyDescent="0.4">
      <c r="A24" s="379" t="s">
        <v>25</v>
      </c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16">
        <f>V4+V10+V16+V22</f>
        <v>2331136.8339999998</v>
      </c>
      <c r="W24" s="17"/>
      <c r="X24" s="17"/>
      <c r="Y24" s="16">
        <f>Y4+Y10+Y16+Y22</f>
        <v>22700</v>
      </c>
      <c r="Z24" s="16">
        <f>Z4+Z10+Z16+Z22</f>
        <v>41418.6</v>
      </c>
      <c r="AA24" s="16"/>
      <c r="AB24" s="16">
        <f t="shared" ref="AB24:AG24" si="0">AB4+AB10+AB16+AB22</f>
        <v>13263</v>
      </c>
      <c r="AC24" s="16">
        <f t="shared" si="0"/>
        <v>6720</v>
      </c>
      <c r="AD24" s="16">
        <f t="shared" si="0"/>
        <v>1646.9</v>
      </c>
      <c r="AE24" s="16">
        <f t="shared" si="0"/>
        <v>5283.04</v>
      </c>
      <c r="AF24" s="16">
        <f t="shared" si="0"/>
        <v>2416885.3339999998</v>
      </c>
      <c r="AG24" s="18">
        <f t="shared" si="0"/>
        <v>2636008.9306666665</v>
      </c>
      <c r="AH24" s="8">
        <f>IFERROR(AH22/AG22,"")</f>
        <v>5.1953417051510721E-2</v>
      </c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4"/>
    </row>
  </sheetData>
  <mergeCells count="2">
    <mergeCell ref="U2:AC2"/>
    <mergeCell ref="A24:U2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/>
  <dimension ref="A1:AL74"/>
  <sheetViews>
    <sheetView zoomScale="85" zoomScaleNormal="85" workbookViewId="0">
      <pane ySplit="3" topLeftCell="A4" activePane="bottomLeft" state="frozen"/>
      <selection activeCell="A24" sqref="A24:U24"/>
      <selection pane="bottomLeft" activeCell="F17" sqref="F17"/>
    </sheetView>
  </sheetViews>
  <sheetFormatPr defaultRowHeight="14.5" x14ac:dyDescent="0.35"/>
  <cols>
    <col min="1" max="1" width="10.81640625" bestFit="1" customWidth="1"/>
    <col min="2" max="2" width="23" bestFit="1" customWidth="1"/>
    <col min="3" max="3" width="16.26953125" customWidth="1"/>
    <col min="4" max="4" width="12.1796875" bestFit="1" customWidth="1"/>
    <col min="5" max="5" width="13.54296875" bestFit="1" customWidth="1"/>
    <col min="6" max="6" width="13.54296875" customWidth="1"/>
    <col min="7" max="7" width="10.1796875" bestFit="1" customWidth="1"/>
    <col min="8" max="8" width="10.26953125" bestFit="1" customWidth="1"/>
    <col min="9" max="9" width="8.26953125" bestFit="1" customWidth="1"/>
    <col min="10" max="10" width="10.54296875" bestFit="1" customWidth="1"/>
    <col min="11" max="11" width="12.81640625" bestFit="1" customWidth="1"/>
    <col min="12" max="16" width="6.26953125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bestFit="1" customWidth="1"/>
    <col min="22" max="22" width="17" bestFit="1" customWidth="1"/>
    <col min="23" max="23" width="13.81640625" bestFit="1" customWidth="1"/>
    <col min="24" max="24" width="17.1796875" customWidth="1"/>
    <col min="25" max="25" width="13.81640625" customWidth="1"/>
    <col min="26" max="26" width="15.1796875" bestFit="1" customWidth="1"/>
    <col min="27" max="29" width="13.81640625" bestFit="1" customWidth="1"/>
    <col min="30" max="30" width="12.54296875" bestFit="1" customWidth="1"/>
    <col min="31" max="31" width="13.81640625" bestFit="1" customWidth="1"/>
    <col min="32" max="33" width="17" bestFit="1" customWidth="1"/>
    <col min="34" max="34" width="13.7265625" bestFit="1" customWidth="1"/>
    <col min="35" max="35" width="12.81640625" bestFit="1" customWidth="1"/>
    <col min="36" max="36" width="14.54296875" bestFit="1" customWidth="1"/>
    <col min="37" max="37" width="12.81640625" bestFit="1" customWidth="1"/>
    <col min="38" max="38" width="15.54296875" bestFit="1" customWidth="1"/>
  </cols>
  <sheetData>
    <row r="1" spans="1:38" ht="7.5" customHeight="1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44655</v>
      </c>
      <c r="B4" s="21" t="s">
        <v>26</v>
      </c>
      <c r="C4" s="21"/>
      <c r="D4" s="21"/>
      <c r="E4" s="21"/>
      <c r="F4" s="21"/>
      <c r="G4" s="21">
        <v>60</v>
      </c>
      <c r="H4" s="22">
        <v>22710</v>
      </c>
      <c r="I4" s="23">
        <v>0.5</v>
      </c>
      <c r="J4" s="24">
        <f>K4/H4</f>
        <v>0.52069572875385295</v>
      </c>
      <c r="K4" s="22">
        <v>11825</v>
      </c>
      <c r="L4" s="22"/>
      <c r="M4" s="22"/>
      <c r="N4" s="22"/>
      <c r="O4" s="22"/>
      <c r="P4" s="22"/>
      <c r="Q4" s="22"/>
      <c r="R4" s="22"/>
      <c r="S4" s="22"/>
      <c r="T4" s="22"/>
      <c r="U4" s="25">
        <v>310</v>
      </c>
      <c r="V4" s="25">
        <f>H4*U4*I4/15</f>
        <v>234670</v>
      </c>
      <c r="W4" s="25">
        <v>338.44</v>
      </c>
      <c r="X4" s="25"/>
      <c r="Y4" s="25">
        <f>G4*10</f>
        <v>600</v>
      </c>
      <c r="Z4" s="25">
        <v>6912.8</v>
      </c>
      <c r="AA4" s="25">
        <v>0</v>
      </c>
      <c r="AB4" s="25">
        <v>1860</v>
      </c>
      <c r="AC4" s="25">
        <v>1800</v>
      </c>
      <c r="AD4" s="25">
        <f>G4*3.83</f>
        <v>229.8</v>
      </c>
      <c r="AE4" s="25">
        <v>533.6</v>
      </c>
      <c r="AF4" s="25">
        <f>V4+Y4+Z4+AA4+AB4+AC4+AD4</f>
        <v>246072.59999999998</v>
      </c>
      <c r="AG4" s="25">
        <f>IFERROR((H4*W4*J4/15)-AE4,"")</f>
        <v>266269.93333333341</v>
      </c>
      <c r="AH4" s="26">
        <f>AG4-AF4</f>
        <v>20197.33333333343</v>
      </c>
      <c r="AL4" s="6"/>
    </row>
    <row r="5" spans="1:38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6">
        <f>AH4/G4</f>
        <v>336.62222222222385</v>
      </c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7.585285007770344E-2</v>
      </c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29</v>
      </c>
      <c r="Z9" s="14" t="s">
        <v>12</v>
      </c>
      <c r="AA9" s="14" t="s">
        <v>11</v>
      </c>
      <c r="AB9" s="14" t="s">
        <v>13</v>
      </c>
      <c r="AC9" s="14" t="s">
        <v>20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8" x14ac:dyDescent="0.35">
      <c r="A10" s="20">
        <v>44655</v>
      </c>
      <c r="B10" s="21" t="s">
        <v>27</v>
      </c>
      <c r="C10" s="21"/>
      <c r="D10" s="21"/>
      <c r="E10" s="21"/>
      <c r="F10" s="21"/>
      <c r="G10" s="21">
        <v>220</v>
      </c>
      <c r="H10" s="22">
        <v>85960</v>
      </c>
      <c r="I10" s="23">
        <v>0.5</v>
      </c>
      <c r="J10" s="24">
        <f>K10/H10</f>
        <v>0.52908329455560721</v>
      </c>
      <c r="K10" s="22">
        <v>45480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310</v>
      </c>
      <c r="V10" s="25">
        <f>H10*U10*I10/15</f>
        <v>888253.33333333337</v>
      </c>
      <c r="W10" s="25">
        <v>342.24</v>
      </c>
      <c r="X10" s="25"/>
      <c r="Y10" s="25">
        <f>G10*10</f>
        <v>2200</v>
      </c>
      <c r="Z10" s="25">
        <v>23555.200000000001</v>
      </c>
      <c r="AA10" s="25">
        <v>2200</v>
      </c>
      <c r="AB10" s="25">
        <v>6820</v>
      </c>
      <c r="AC10" s="25">
        <v>6600</v>
      </c>
      <c r="AD10" s="25">
        <f>G10*3.83</f>
        <v>842.6</v>
      </c>
      <c r="AE10" s="25">
        <v>2075.35</v>
      </c>
      <c r="AF10" s="25">
        <f>V10+Y10+Z10+AA10+AB10+AC10+AD10</f>
        <v>930471.1333333333</v>
      </c>
      <c r="AG10" s="25">
        <f>IFERROR((H10*W10*J10/15)-AE10,"")</f>
        <v>1035596.33</v>
      </c>
      <c r="AH10" s="26">
        <f>AG10-AF10</f>
        <v>105125.19666666666</v>
      </c>
      <c r="AJ10" s="6"/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6">
        <f>AH10/G10</f>
        <v>477.84180303030297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0.10151175088334531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29</v>
      </c>
      <c r="Z15" s="14" t="s">
        <v>12</v>
      </c>
      <c r="AA15" s="14" t="s">
        <v>11</v>
      </c>
      <c r="AB15" s="14" t="s">
        <v>13</v>
      </c>
      <c r="AC15" s="14" t="s">
        <v>20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20">
        <v>44655</v>
      </c>
      <c r="B16" s="21" t="s">
        <v>28</v>
      </c>
      <c r="C16" s="21"/>
      <c r="D16" s="21"/>
      <c r="E16" s="21"/>
      <c r="F16" s="21"/>
      <c r="G16" s="21">
        <v>55</v>
      </c>
      <c r="H16" s="22">
        <v>20360</v>
      </c>
      <c r="I16" s="23">
        <v>0.5</v>
      </c>
      <c r="J16" s="24">
        <f>K16/H16</f>
        <v>0.49133104125736737</v>
      </c>
      <c r="K16" s="22">
        <v>10003.5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305</v>
      </c>
      <c r="V16" s="25">
        <f>H16*U16*I16/15</f>
        <v>206993.33333333334</v>
      </c>
      <c r="W16" s="25">
        <v>338.61</v>
      </c>
      <c r="X16" s="25"/>
      <c r="Y16" s="25">
        <f>G16*10</f>
        <v>550</v>
      </c>
      <c r="Z16" s="25">
        <v>5187</v>
      </c>
      <c r="AA16" s="25">
        <v>0</v>
      </c>
      <c r="AB16" s="25">
        <v>1677.5</v>
      </c>
      <c r="AC16" s="25">
        <v>1650</v>
      </c>
      <c r="AD16" s="25">
        <f>G16*3.83</f>
        <v>210.65</v>
      </c>
      <c r="AE16" s="25">
        <v>451.64</v>
      </c>
      <c r="AF16" s="25">
        <f>V16+Y16+Z16+AA16+AB16+AC16+AD16</f>
        <v>216268.48333333334</v>
      </c>
      <c r="AG16" s="25">
        <f>IFERROR((H16*W16*J16/15)-AE16,"")</f>
        <v>225367.36900000001</v>
      </c>
      <c r="AH16" s="26">
        <f>AG16-AF16</f>
        <v>9098.8856666666688</v>
      </c>
    </row>
    <row r="17" spans="1:34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6">
        <f>AH16/G16</f>
        <v>165.43428484848488</v>
      </c>
    </row>
    <row r="18" spans="1:34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4.0373571857541937E-2</v>
      </c>
    </row>
    <row r="19" spans="1:34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</row>
    <row r="20" spans="1:34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</row>
    <row r="21" spans="1:34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29</v>
      </c>
      <c r="Z21" s="14" t="s">
        <v>12</v>
      </c>
      <c r="AA21" s="14" t="s">
        <v>11</v>
      </c>
      <c r="AB21" s="14" t="s">
        <v>13</v>
      </c>
      <c r="AC21" s="14" t="s">
        <v>20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54" t="s">
        <v>17</v>
      </c>
    </row>
    <row r="22" spans="1:34" x14ac:dyDescent="0.35">
      <c r="A22" s="38">
        <v>44656</v>
      </c>
      <c r="B22" s="39" t="s">
        <v>30</v>
      </c>
      <c r="C22" s="39"/>
      <c r="D22" s="39"/>
      <c r="E22" s="39"/>
      <c r="F22" s="39">
        <v>50</v>
      </c>
      <c r="G22" s="64"/>
      <c r="H22" s="40">
        <v>29768</v>
      </c>
      <c r="I22" s="41">
        <v>0.53</v>
      </c>
      <c r="J22" s="42">
        <f>K22/H22</f>
        <v>0.5458882020962107</v>
      </c>
      <c r="K22" s="40">
        <v>16250</v>
      </c>
      <c r="L22" s="40"/>
      <c r="M22" s="40"/>
      <c r="N22" s="40"/>
      <c r="O22" s="40"/>
      <c r="P22" s="40"/>
      <c r="Q22" s="40"/>
      <c r="R22" s="40"/>
      <c r="S22" s="40"/>
      <c r="T22" s="40"/>
      <c r="U22" s="43">
        <v>330</v>
      </c>
      <c r="V22" s="43">
        <f>H22*U22*I22/15</f>
        <v>347094.88</v>
      </c>
      <c r="W22" s="43">
        <v>350.44</v>
      </c>
      <c r="X22" s="43"/>
      <c r="Y22" s="43">
        <v>0</v>
      </c>
      <c r="Z22" s="43"/>
      <c r="AA22" s="43">
        <v>0</v>
      </c>
      <c r="AB22" s="43">
        <v>1650</v>
      </c>
      <c r="AC22" s="43">
        <v>0</v>
      </c>
      <c r="AD22" s="43">
        <f>F22*3.83</f>
        <v>191.5</v>
      </c>
      <c r="AE22" s="43">
        <v>759.29</v>
      </c>
      <c r="AF22" s="43">
        <f>V22+Y22+Z22+AA22+AB22+AC22+AD22</f>
        <v>348936.38</v>
      </c>
      <c r="AG22" s="43">
        <f>IFERROR((H22*W22*J22/15)-AE22,"")</f>
        <v>378884.04333333333</v>
      </c>
      <c r="AH22" s="26">
        <f>AG22-AF22</f>
        <v>29947.66333333333</v>
      </c>
    </row>
    <row r="23" spans="1:34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6">
        <f>AH22/F22</f>
        <v>598.95326666666665</v>
      </c>
    </row>
    <row r="24" spans="1:34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7.9041764519457672E-2</v>
      </c>
    </row>
    <row r="25" spans="1:34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</row>
    <row r="26" spans="1:34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</row>
    <row r="27" spans="1:34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 t="s">
        <v>32</v>
      </c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29</v>
      </c>
      <c r="Z27" s="14" t="s">
        <v>12</v>
      </c>
      <c r="AA27" s="14" t="s">
        <v>11</v>
      </c>
      <c r="AB27" s="14" t="s">
        <v>13</v>
      </c>
      <c r="AC27" s="14" t="s">
        <v>19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4" x14ac:dyDescent="0.35">
      <c r="A28" s="20">
        <v>44656</v>
      </c>
      <c r="B28" s="21" t="s">
        <v>31</v>
      </c>
      <c r="C28" s="21"/>
      <c r="D28" s="21"/>
      <c r="E28" s="21">
        <v>6</v>
      </c>
      <c r="F28" s="21"/>
      <c r="G28" s="21">
        <v>84</v>
      </c>
      <c r="H28" s="22">
        <v>34412.32</v>
      </c>
      <c r="I28" s="23">
        <v>0.5</v>
      </c>
      <c r="J28" s="24">
        <f>K28/H28</f>
        <v>0.4970312957684922</v>
      </c>
      <c r="K28" s="22">
        <v>17104</v>
      </c>
      <c r="L28" s="22"/>
      <c r="M28" s="22"/>
      <c r="N28" s="22"/>
      <c r="O28" s="22"/>
      <c r="P28" s="22"/>
      <c r="Q28" s="22"/>
      <c r="R28" s="22"/>
      <c r="S28" s="22"/>
      <c r="T28" s="22"/>
      <c r="U28" s="25">
        <v>280</v>
      </c>
      <c r="V28" s="25">
        <f>H28*U28*I28/15</f>
        <v>321181.65333333332</v>
      </c>
      <c r="W28" s="25">
        <v>338.07</v>
      </c>
      <c r="X28" s="25"/>
      <c r="Y28" s="25">
        <f>G28*30</f>
        <v>2520</v>
      </c>
      <c r="Z28" s="25">
        <v>6941.66</v>
      </c>
      <c r="AA28" s="25">
        <v>0</v>
      </c>
      <c r="AB28" s="25">
        <v>2380</v>
      </c>
      <c r="AC28" s="25">
        <f>G28*100</f>
        <v>8400</v>
      </c>
      <c r="AD28" s="25">
        <f>G28*3.83</f>
        <v>321.72000000000003</v>
      </c>
      <c r="AE28" s="25">
        <v>766.22</v>
      </c>
      <c r="AF28" s="25">
        <f>V28+Y28+Z28+AA28+AB28+AC28+AD28</f>
        <v>341745.03333333327</v>
      </c>
      <c r="AG28" s="25">
        <f>IFERROR((H28*W28*J28/15)-AE28,"")</f>
        <v>384723.73199999996</v>
      </c>
      <c r="AH28" s="26">
        <f>AG28-AF28</f>
        <v>42978.698666666693</v>
      </c>
    </row>
    <row r="29" spans="1:34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6">
        <f>AH28/G28</f>
        <v>511.65117460317492</v>
      </c>
    </row>
    <row r="30" spans="1:34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0.11171314658245907</v>
      </c>
    </row>
    <row r="31" spans="1:34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</row>
    <row r="32" spans="1:34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</row>
    <row r="33" spans="1:35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32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29</v>
      </c>
      <c r="Z33" s="14" t="s">
        <v>12</v>
      </c>
      <c r="AA33" s="14" t="s">
        <v>11</v>
      </c>
      <c r="AB33" s="14" t="s">
        <v>13</v>
      </c>
      <c r="AC33" s="14" t="s">
        <v>19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35" x14ac:dyDescent="0.35">
      <c r="A34" s="20">
        <v>44656</v>
      </c>
      <c r="B34" s="21" t="s">
        <v>31</v>
      </c>
      <c r="C34" s="21"/>
      <c r="D34" s="21"/>
      <c r="E34" s="21">
        <v>4</v>
      </c>
      <c r="F34" s="21"/>
      <c r="G34" s="21">
        <v>96</v>
      </c>
      <c r="H34" s="22">
        <v>37857.17</v>
      </c>
      <c r="I34" s="23">
        <v>0.5</v>
      </c>
      <c r="J34" s="24">
        <f>K34/H34</f>
        <v>0.50075058436750552</v>
      </c>
      <c r="K34" s="22">
        <v>18957</v>
      </c>
      <c r="L34" s="22"/>
      <c r="M34" s="22"/>
      <c r="N34" s="22"/>
      <c r="O34" s="22"/>
      <c r="P34" s="22"/>
      <c r="Q34" s="22"/>
      <c r="R34" s="22"/>
      <c r="S34" s="22"/>
      <c r="T34" s="22"/>
      <c r="U34" s="25">
        <v>290</v>
      </c>
      <c r="V34" s="25">
        <f>H34*U34*I34/15</f>
        <v>365952.64333333331</v>
      </c>
      <c r="W34" s="25">
        <v>344.57</v>
      </c>
      <c r="X34" s="25"/>
      <c r="Y34" s="25">
        <f>G34*30</f>
        <v>2880</v>
      </c>
      <c r="Z34" s="25">
        <v>7758.33</v>
      </c>
      <c r="AA34" s="25">
        <v>0</v>
      </c>
      <c r="AB34" s="25">
        <v>2755</v>
      </c>
      <c r="AC34" s="25">
        <f>G34*100</f>
        <v>9600</v>
      </c>
      <c r="AD34" s="25">
        <f>G34*3.83</f>
        <v>367.68</v>
      </c>
      <c r="AE34" s="25">
        <v>875.69</v>
      </c>
      <c r="AF34" s="25">
        <f>V34+Y34+Z34+AA34+AB34+AC34+AD34</f>
        <v>389313.65333333332</v>
      </c>
      <c r="AG34" s="25">
        <f>IFERROR((H34*W34*J34/15)-AE34,"")</f>
        <v>434591.87599999993</v>
      </c>
      <c r="AH34" s="26">
        <f>AG34-AF34</f>
        <v>45278.22266666661</v>
      </c>
      <c r="AI34" s="6"/>
    </row>
    <row r="35" spans="1:35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6">
        <f>AH34/G34</f>
        <v>471.64815277777717</v>
      </c>
    </row>
    <row r="36" spans="1:35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0.10418561682148568</v>
      </c>
    </row>
    <row r="37" spans="1:35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 t="s">
        <v>42</v>
      </c>
      <c r="AG37" s="21"/>
      <c r="AH37" s="21"/>
    </row>
    <row r="38" spans="1:35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</row>
    <row r="39" spans="1:35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 t="s">
        <v>32</v>
      </c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29</v>
      </c>
      <c r="Z39" s="14" t="s">
        <v>12</v>
      </c>
      <c r="AA39" s="14" t="s">
        <v>11</v>
      </c>
      <c r="AB39" s="14" t="s">
        <v>13</v>
      </c>
      <c r="AC39" s="14" t="s">
        <v>20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</row>
    <row r="40" spans="1:35" x14ac:dyDescent="0.35">
      <c r="A40" s="20">
        <v>44657</v>
      </c>
      <c r="B40" s="21" t="s">
        <v>34</v>
      </c>
      <c r="C40" s="21"/>
      <c r="D40" s="21"/>
      <c r="E40" s="21"/>
      <c r="F40" s="21">
        <v>54</v>
      </c>
      <c r="H40" s="22">
        <v>26980</v>
      </c>
      <c r="I40" s="23">
        <v>0.52</v>
      </c>
      <c r="J40" s="24">
        <f>K40/H40</f>
        <v>0.5283914010378058</v>
      </c>
      <c r="K40" s="22">
        <v>14256</v>
      </c>
      <c r="L40" s="22"/>
      <c r="M40" s="22"/>
      <c r="N40" s="22"/>
      <c r="O40" s="22"/>
      <c r="P40" s="22"/>
      <c r="Q40" s="22"/>
      <c r="R40" s="22"/>
      <c r="S40" s="22"/>
      <c r="T40" s="22"/>
      <c r="U40" s="25">
        <v>315</v>
      </c>
      <c r="V40" s="25">
        <f>H40*U40*I40/15</f>
        <v>294621.59999999998</v>
      </c>
      <c r="W40" s="25">
        <v>348.9</v>
      </c>
      <c r="X40" s="25"/>
      <c r="Y40" s="25"/>
      <c r="Z40" s="25">
        <v>5440</v>
      </c>
      <c r="AA40" s="25">
        <v>0</v>
      </c>
      <c r="AB40" s="25">
        <v>1701</v>
      </c>
      <c r="AC40" s="25">
        <v>0</v>
      </c>
      <c r="AD40" s="25">
        <f>F40*3.83</f>
        <v>206.82</v>
      </c>
      <c r="AE40" s="25">
        <v>663.2</v>
      </c>
      <c r="AF40" s="25">
        <f>V40+Y40+Z40+AA40+AB40+AC40+AD40</f>
        <v>301969.42</v>
      </c>
      <c r="AG40" s="25">
        <f>(H40*W40*J40/15)-AE40</f>
        <v>330931.36</v>
      </c>
      <c r="AH40" s="26">
        <f>AG40-AF40</f>
        <v>28961.940000000002</v>
      </c>
    </row>
    <row r="41" spans="1:35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6">
        <f>AH40/F40</f>
        <v>536.3322222222223</v>
      </c>
    </row>
    <row r="42" spans="1:35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8.7516456584833799E-2</v>
      </c>
    </row>
    <row r="43" spans="1:35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</row>
    <row r="44" spans="1:35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</row>
    <row r="45" spans="1:35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 t="s">
        <v>32</v>
      </c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29</v>
      </c>
      <c r="Z45" s="14" t="s">
        <v>12</v>
      </c>
      <c r="AA45" s="14" t="s">
        <v>11</v>
      </c>
      <c r="AB45" s="14" t="s">
        <v>13</v>
      </c>
      <c r="AC45" s="14" t="s">
        <v>20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</row>
    <row r="46" spans="1:35" x14ac:dyDescent="0.35">
      <c r="A46" s="20">
        <v>44657</v>
      </c>
      <c r="B46" s="21" t="s">
        <v>35</v>
      </c>
      <c r="C46" s="21"/>
      <c r="D46" s="21"/>
      <c r="E46" s="21"/>
      <c r="F46" s="21"/>
      <c r="G46" s="21">
        <v>20</v>
      </c>
      <c r="H46" s="22">
        <v>7969</v>
      </c>
      <c r="I46" s="23">
        <v>0.5</v>
      </c>
      <c r="J46" s="24">
        <f>K46/H46</f>
        <v>0.52531057849165519</v>
      </c>
      <c r="K46" s="22">
        <v>4186.2</v>
      </c>
      <c r="L46" s="22"/>
      <c r="M46" s="22"/>
      <c r="N46" s="22"/>
      <c r="O46" s="22"/>
      <c r="P46" s="22"/>
      <c r="Q46" s="22"/>
      <c r="R46" s="22"/>
      <c r="S46" s="22"/>
      <c r="T46" s="22"/>
      <c r="U46" s="25">
        <v>305</v>
      </c>
      <c r="V46" s="25">
        <f>H46*U46*I46/15</f>
        <v>81018.166666666672</v>
      </c>
      <c r="W46" s="25">
        <v>342.8</v>
      </c>
      <c r="X46" s="25"/>
      <c r="Y46" s="25">
        <f>G46*30</f>
        <v>600</v>
      </c>
      <c r="Z46" s="25">
        <v>2192.3000000000002</v>
      </c>
      <c r="AA46" s="25">
        <v>200</v>
      </c>
      <c r="AB46" s="25">
        <v>610</v>
      </c>
      <c r="AC46" s="25">
        <v>600</v>
      </c>
      <c r="AD46" s="25">
        <f>G46*3.83</f>
        <v>76.599999999999994</v>
      </c>
      <c r="AE46" s="25">
        <v>161.16</v>
      </c>
      <c r="AF46" s="25">
        <f>V46+Y46+Z46+AA46+AB46+AC46+AD46</f>
        <v>85297.06666666668</v>
      </c>
      <c r="AG46" s="25">
        <f>IFERROR((H46*W46*J46/15)-AE46,"")</f>
        <v>95507.464000000007</v>
      </c>
      <c r="AH46" s="26">
        <f>AG46-AF46</f>
        <v>10210.397333333327</v>
      </c>
    </row>
    <row r="47" spans="1:35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6">
        <f>AH46/G46</f>
        <v>510.51986666666636</v>
      </c>
    </row>
    <row r="48" spans="1:35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0.10690679980083365</v>
      </c>
    </row>
    <row r="49" spans="1:38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</row>
    <row r="50" spans="1:38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</row>
    <row r="51" spans="1:38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 t="s">
        <v>32</v>
      </c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29</v>
      </c>
      <c r="Z51" s="14" t="s">
        <v>12</v>
      </c>
      <c r="AA51" s="14" t="s">
        <v>11</v>
      </c>
      <c r="AB51" s="14" t="s">
        <v>13</v>
      </c>
      <c r="AC51" s="14" t="s">
        <v>20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</row>
    <row r="52" spans="1:38" x14ac:dyDescent="0.35">
      <c r="A52" s="20">
        <v>44657</v>
      </c>
      <c r="B52" s="21" t="s">
        <v>36</v>
      </c>
      <c r="C52" s="21"/>
      <c r="D52" s="21"/>
      <c r="E52" s="21"/>
      <c r="F52" s="21"/>
      <c r="G52" s="21">
        <v>110</v>
      </c>
      <c r="H52" s="22">
        <v>45280</v>
      </c>
      <c r="I52" s="23">
        <v>0.5</v>
      </c>
      <c r="J52" s="24">
        <f>K52/H52</f>
        <v>0.50804549469964666</v>
      </c>
      <c r="K52" s="22">
        <v>23004.3</v>
      </c>
      <c r="L52" s="22"/>
      <c r="M52" s="22"/>
      <c r="N52" s="22"/>
      <c r="O52" s="22"/>
      <c r="P52" s="22"/>
      <c r="Q52" s="22"/>
      <c r="R52" s="22"/>
      <c r="S52" s="22"/>
      <c r="T52" s="22"/>
      <c r="U52" s="25">
        <v>305</v>
      </c>
      <c r="V52" s="25">
        <f>H52*U52*I52/15</f>
        <v>460346.66666666669</v>
      </c>
      <c r="W52" s="25">
        <v>342.8</v>
      </c>
      <c r="X52" s="25"/>
      <c r="Y52" s="25">
        <f>G52*30</f>
        <v>3300</v>
      </c>
      <c r="Z52" s="25">
        <v>13153.84</v>
      </c>
      <c r="AA52" s="25">
        <v>1100</v>
      </c>
      <c r="AB52" s="25">
        <v>3355</v>
      </c>
      <c r="AC52" s="25">
        <v>3300</v>
      </c>
      <c r="AD52" s="25">
        <f>G52*3.83</f>
        <v>421.3</v>
      </c>
      <c r="AE52" s="25">
        <v>1051.43</v>
      </c>
      <c r="AF52" s="25">
        <f>V52+Y52+Z52+AA52+AB52+AC52+AD52</f>
        <v>484976.8066666667</v>
      </c>
      <c r="AG52" s="25">
        <f>IFERROR((H52*W52*J52/15)-AE52,"")</f>
        <v>524673.50599999994</v>
      </c>
      <c r="AH52" s="26">
        <f>AG52-AF52</f>
        <v>39696.699333333236</v>
      </c>
    </row>
    <row r="53" spans="1:38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6">
        <f>AH52/G52</f>
        <v>360.87908484848396</v>
      </c>
    </row>
    <row r="54" spans="1:38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7.5659812968206633E-2</v>
      </c>
    </row>
    <row r="55" spans="1:38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</row>
    <row r="56" spans="1:38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</row>
    <row r="57" spans="1:38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 t="s">
        <v>38</v>
      </c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19</v>
      </c>
      <c r="Z57" s="14" t="s">
        <v>12</v>
      </c>
      <c r="AA57" s="14" t="s">
        <v>11</v>
      </c>
      <c r="AB57" s="14" t="s">
        <v>13</v>
      </c>
      <c r="AC57" s="14" t="s">
        <v>20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</row>
    <row r="58" spans="1:38" x14ac:dyDescent="0.35">
      <c r="A58" s="20">
        <v>44657</v>
      </c>
      <c r="B58" s="21" t="s">
        <v>37</v>
      </c>
      <c r="C58" s="21"/>
      <c r="D58" s="21"/>
      <c r="E58" s="21" t="s">
        <v>39</v>
      </c>
      <c r="F58" s="21">
        <v>154</v>
      </c>
      <c r="H58" s="22">
        <v>86977</v>
      </c>
      <c r="I58" s="23">
        <v>0.54</v>
      </c>
      <c r="J58" s="24">
        <f>K58/H58</f>
        <v>0.56177702151143405</v>
      </c>
      <c r="K58" s="22">
        <v>48861.68</v>
      </c>
      <c r="L58" s="22"/>
      <c r="M58" s="22"/>
      <c r="N58" s="22"/>
      <c r="O58" s="22"/>
      <c r="P58" s="22"/>
      <c r="Q58" s="22"/>
      <c r="R58" s="22"/>
      <c r="S58" s="22"/>
      <c r="T58" s="22"/>
      <c r="U58" s="25">
        <v>315</v>
      </c>
      <c r="V58" s="25">
        <f>H58*U58*I58/15</f>
        <v>986319.18</v>
      </c>
      <c r="W58" s="25">
        <v>347.66</v>
      </c>
      <c r="X58" s="25"/>
      <c r="Y58" s="25">
        <f>F58*100</f>
        <v>15400</v>
      </c>
      <c r="Z58" s="25">
        <v>16342.85</v>
      </c>
      <c r="AA58" s="25">
        <v>0</v>
      </c>
      <c r="AB58" s="25">
        <v>4851</v>
      </c>
      <c r="AC58" s="25">
        <v>0</v>
      </c>
      <c r="AD58" s="25">
        <f>F58*3.83</f>
        <v>589.82000000000005</v>
      </c>
      <c r="AE58" s="25">
        <v>2264.9299999999998</v>
      </c>
      <c r="AF58" s="25">
        <f>V58+Y58+Z58+AA58+AB58+AC58+AD58</f>
        <v>1023502.85</v>
      </c>
      <c r="AG58" s="25">
        <f>IFERROR((H58*W58*J58/15)-AE58,"")</f>
        <v>1130218.5145866671</v>
      </c>
      <c r="AH58" s="26">
        <f>AG58-AF58</f>
        <v>106715.66458666709</v>
      </c>
    </row>
    <row r="59" spans="1:38" x14ac:dyDescent="0.35">
      <c r="A59" s="21"/>
      <c r="B59" s="21"/>
      <c r="C59" s="21"/>
      <c r="D59" s="21"/>
      <c r="E59" s="21"/>
      <c r="F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6">
        <f>AH58/F58</f>
        <v>692.9588609523837</v>
      </c>
      <c r="AJ59" s="1">
        <f>G4+G10+G16+F22+G28+G34+F40+G46+G52+F58+F64+F69</f>
        <v>1210</v>
      </c>
    </row>
    <row r="60" spans="1:38" x14ac:dyDescent="0.35">
      <c r="A60" s="21"/>
      <c r="B60" s="21"/>
      <c r="C60" s="21"/>
      <c r="D60" s="21"/>
      <c r="E60" s="21"/>
      <c r="F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9.4420382615740581E-2</v>
      </c>
      <c r="AJ60" s="11">
        <f>AH4+AH10+AH16+AH22+AH28+AH34+AH40+AH46+AH52+AH58+AH64</f>
        <v>528741.1732266671</v>
      </c>
    </row>
    <row r="61" spans="1:38" x14ac:dyDescent="0.35">
      <c r="A61" s="21"/>
      <c r="B61" s="21"/>
      <c r="C61" s="21"/>
      <c r="D61" s="21"/>
      <c r="E61" s="21"/>
      <c r="F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J61" s="11">
        <f>AJ60/AJ59</f>
        <v>436.97617622038604</v>
      </c>
    </row>
    <row r="62" spans="1:38" x14ac:dyDescent="0.35">
      <c r="A62" s="21"/>
      <c r="B62" s="21"/>
      <c r="C62" s="21"/>
      <c r="D62" s="21"/>
      <c r="E62" s="21"/>
      <c r="F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</row>
    <row r="63" spans="1:38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19</v>
      </c>
      <c r="Z63" s="14" t="s">
        <v>12</v>
      </c>
      <c r="AA63" s="14" t="s">
        <v>11</v>
      </c>
      <c r="AB63" s="14" t="s">
        <v>13</v>
      </c>
      <c r="AC63" s="14" t="s">
        <v>20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J63" s="1">
        <f>G4+G10+G16+F22+G28+G34+F40+G46+G52+F58+F64+F69</f>
        <v>1210</v>
      </c>
      <c r="AK63" s="1" t="s">
        <v>22</v>
      </c>
    </row>
    <row r="64" spans="1:38" x14ac:dyDescent="0.35">
      <c r="A64" s="20">
        <v>44657</v>
      </c>
      <c r="B64" s="21" t="s">
        <v>37</v>
      </c>
      <c r="C64" s="21"/>
      <c r="D64" s="21"/>
      <c r="E64" s="21" t="s">
        <v>40</v>
      </c>
      <c r="F64" s="21">
        <v>91</v>
      </c>
      <c r="H64" s="22">
        <v>49897</v>
      </c>
      <c r="I64" s="23">
        <v>0.53</v>
      </c>
      <c r="J64" s="24">
        <f>K64/H64</f>
        <v>0.57864821532356658</v>
      </c>
      <c r="K64" s="22">
        <v>28872.81</v>
      </c>
      <c r="L64" s="22"/>
      <c r="M64" s="22"/>
      <c r="N64" s="22"/>
      <c r="O64" s="22"/>
      <c r="P64" s="22"/>
      <c r="Q64" s="22"/>
      <c r="R64" s="22"/>
      <c r="S64" s="22"/>
      <c r="T64" s="22"/>
      <c r="U64" s="25">
        <v>315</v>
      </c>
      <c r="V64" s="25">
        <f>H64*U64*I64/15</f>
        <v>555353.61</v>
      </c>
      <c r="W64" s="25">
        <v>347.66</v>
      </c>
      <c r="X64" s="25"/>
      <c r="Y64" s="25">
        <f>F64*100</f>
        <v>9100</v>
      </c>
      <c r="Z64" s="25">
        <v>9657.14</v>
      </c>
      <c r="AA64" s="25">
        <v>0</v>
      </c>
      <c r="AB64" s="25">
        <v>2866.5</v>
      </c>
      <c r="AC64" s="25">
        <v>0</v>
      </c>
      <c r="AD64" s="25">
        <f>F64*3.83</f>
        <v>348.53000000000003</v>
      </c>
      <c r="AE64" s="25">
        <v>1338.49</v>
      </c>
      <c r="AF64" s="25">
        <f>V64+Y64+Z64+AA64+AB64+AC64+AD64</f>
        <v>577325.78</v>
      </c>
      <c r="AG64" s="25">
        <f>IFERROR((H64*W64*J64/15)-AE64,"")</f>
        <v>667856.25164000003</v>
      </c>
      <c r="AH64" s="26">
        <f>AG64-AF64</f>
        <v>90530.471640000003</v>
      </c>
      <c r="AJ64" s="11">
        <f>AJ60+AH69</f>
        <v>703768.29589333385</v>
      </c>
      <c r="AK64" s="13">
        <f>AJ64*30%</f>
        <v>211130.48876800016</v>
      </c>
      <c r="AL64" t="s">
        <v>72</v>
      </c>
    </row>
    <row r="65" spans="1:37" x14ac:dyDescent="0.35">
      <c r="A65" s="21"/>
      <c r="B65" s="21"/>
      <c r="C65" s="21"/>
      <c r="D65" s="21"/>
      <c r="E65" s="21"/>
      <c r="F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6">
        <f>AH64/F64</f>
        <v>994.84034769230777</v>
      </c>
      <c r="AJ65" s="11">
        <f>AJ64/AJ63</f>
        <v>581.62669082093703</v>
      </c>
      <c r="AK65" s="12">
        <v>44659</v>
      </c>
    </row>
    <row r="66" spans="1:37" x14ac:dyDescent="0.35">
      <c r="A66" s="21"/>
      <c r="B66" s="21"/>
      <c r="C66" s="21"/>
      <c r="D66" s="21"/>
      <c r="E66" s="21"/>
      <c r="F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0.1355538282642286</v>
      </c>
    </row>
    <row r="67" spans="1:37" x14ac:dyDescent="0.35">
      <c r="A67" s="21"/>
      <c r="B67" s="21"/>
      <c r="C67" s="21"/>
      <c r="D67" s="21"/>
      <c r="E67" s="21"/>
      <c r="F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</row>
    <row r="68" spans="1:37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44</v>
      </c>
      <c r="Z68" s="14" t="s">
        <v>12</v>
      </c>
      <c r="AA68" s="14" t="s">
        <v>11</v>
      </c>
      <c r="AB68" s="14" t="s">
        <v>13</v>
      </c>
      <c r="AC68" s="14" t="s">
        <v>20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</row>
    <row r="69" spans="1:37" x14ac:dyDescent="0.35">
      <c r="A69" s="20">
        <v>44659</v>
      </c>
      <c r="B69" s="21" t="s">
        <v>43</v>
      </c>
      <c r="C69" s="21"/>
      <c r="D69" s="21"/>
      <c r="E69" s="21" t="s">
        <v>47</v>
      </c>
      <c r="F69" s="21">
        <v>216</v>
      </c>
      <c r="H69" s="22">
        <v>115810</v>
      </c>
      <c r="I69" s="23">
        <v>0.5</v>
      </c>
      <c r="J69" s="24">
        <f>K69/H69</f>
        <v>0.52311544771608665</v>
      </c>
      <c r="K69" s="22">
        <v>60582</v>
      </c>
      <c r="L69" s="22"/>
      <c r="M69" s="22"/>
      <c r="N69" s="22"/>
      <c r="O69" s="22"/>
      <c r="P69" s="22"/>
      <c r="Q69" s="22"/>
      <c r="R69" s="22"/>
      <c r="S69" s="22"/>
      <c r="T69" s="22"/>
      <c r="U69" s="25">
        <v>295</v>
      </c>
      <c r="V69" s="25">
        <f>H69*U69*I69/15</f>
        <v>1138798.3333333333</v>
      </c>
      <c r="W69" s="25">
        <v>349.67</v>
      </c>
      <c r="X69" s="25"/>
      <c r="Y69" s="25">
        <v>22775.97</v>
      </c>
      <c r="Z69" s="25">
        <v>71994</v>
      </c>
      <c r="AA69" s="25">
        <v>0</v>
      </c>
      <c r="AB69" s="25"/>
      <c r="AC69" s="25">
        <v>0</v>
      </c>
      <c r="AD69" s="25">
        <f>F69*3.83</f>
        <v>827.28</v>
      </c>
      <c r="AE69" s="25">
        <v>2824.49</v>
      </c>
      <c r="AF69" s="25">
        <f>V69+Y69+Z69+AA69+AB69+AC69+AD69</f>
        <v>1234395.5833333333</v>
      </c>
      <c r="AG69" s="25">
        <f>IFERROR((H69*W69*J69/15)-AE69,"")</f>
        <v>1409422.706</v>
      </c>
      <c r="AH69" s="26">
        <f>AG69-AF69</f>
        <v>175027.12266666675</v>
      </c>
    </row>
    <row r="70" spans="1:3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6">
        <f>AH69/F69</f>
        <v>810.31075308642016</v>
      </c>
    </row>
    <row r="71" spans="1:3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0.12418355538162215</v>
      </c>
    </row>
    <row r="72" spans="1:37" ht="15" thickBot="1" x14ac:dyDescent="0.4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</row>
    <row r="73" spans="1:37" ht="16" thickBot="1" x14ac:dyDescent="0.4">
      <c r="A73" s="377" t="s">
        <v>41</v>
      </c>
      <c r="B73" s="378"/>
      <c r="C73" s="378"/>
      <c r="D73" s="378"/>
      <c r="E73" s="378"/>
      <c r="F73" s="378"/>
      <c r="G73" s="378"/>
      <c r="H73" s="378"/>
      <c r="I73" s="378"/>
      <c r="J73" s="378"/>
      <c r="K73" s="378"/>
      <c r="L73" s="378"/>
      <c r="M73" s="378"/>
      <c r="N73" s="378"/>
      <c r="O73" s="378"/>
      <c r="P73" s="378"/>
      <c r="Q73" s="378"/>
      <c r="R73" s="378"/>
      <c r="S73" s="378"/>
      <c r="T73" s="378"/>
      <c r="U73" s="378"/>
      <c r="V73" s="28">
        <f>V64+V58+V52+V46+V40+V34+V28+V22+V16+V10+V4+V69</f>
        <v>5880603.4000000004</v>
      </c>
      <c r="W73" s="46"/>
      <c r="X73" s="46"/>
      <c r="Y73" s="28">
        <f>Y4+Y10+Y16+Y22+Y28+Y34+Y40+Y46+Y52+Y58+Y64+Y69</f>
        <v>59925.97</v>
      </c>
      <c r="Z73" s="28">
        <f t="shared" ref="Z73:AG73" si="0">Z64+Z58+Z52+Z46+Z40+Z34+Z28+Z22+Z16+Z10+Z4+Z69</f>
        <v>169135.12</v>
      </c>
      <c r="AA73" s="28">
        <f t="shared" si="0"/>
        <v>3500</v>
      </c>
      <c r="AB73" s="28">
        <f t="shared" si="0"/>
        <v>30526</v>
      </c>
      <c r="AC73" s="28">
        <f t="shared" si="0"/>
        <v>31950</v>
      </c>
      <c r="AD73" s="28">
        <f t="shared" si="0"/>
        <v>4634.3</v>
      </c>
      <c r="AE73" s="28">
        <f t="shared" si="0"/>
        <v>13765.49</v>
      </c>
      <c r="AF73" s="28">
        <f t="shared" si="0"/>
        <v>6180274.7899999991</v>
      </c>
      <c r="AG73" s="28">
        <f t="shared" si="0"/>
        <v>6884043.0858933339</v>
      </c>
      <c r="AH73" s="29"/>
    </row>
    <row r="74" spans="1:3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47"/>
    </row>
  </sheetData>
  <mergeCells count="2">
    <mergeCell ref="U2:AC2"/>
    <mergeCell ref="A73:U7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"/>
  <dimension ref="A1:AN34"/>
  <sheetViews>
    <sheetView zoomScale="85" zoomScaleNormal="85" workbookViewId="0">
      <pane ySplit="3" topLeftCell="A4" activePane="bottomLeft" state="frozen"/>
      <selection activeCell="A24" sqref="A24:U24"/>
      <selection pane="bottomLeft" activeCell="A24" sqref="A24:U24"/>
    </sheetView>
  </sheetViews>
  <sheetFormatPr defaultRowHeight="14.5" x14ac:dyDescent="0.35"/>
  <cols>
    <col min="1" max="1" width="10.81640625" bestFit="1" customWidth="1"/>
    <col min="2" max="2" width="19.81640625" bestFit="1" customWidth="1"/>
    <col min="3" max="3" width="8.453125" bestFit="1" customWidth="1"/>
    <col min="4" max="4" width="12.1796875" bestFit="1" customWidth="1"/>
    <col min="5" max="5" width="12" bestFit="1" customWidth="1"/>
    <col min="6" max="6" width="12" customWidth="1"/>
    <col min="7" max="7" width="9.1796875" bestFit="1" customWidth="1"/>
    <col min="8" max="8" width="9.26953125" bestFit="1" customWidth="1"/>
    <col min="9" max="9" width="8.26953125" bestFit="1" customWidth="1"/>
    <col min="10" max="10" width="10.54296875" bestFit="1" customWidth="1"/>
    <col min="11" max="11" width="12.81640625" bestFit="1" customWidth="1"/>
    <col min="12" max="16" width="6.26953125" bestFit="1" customWidth="1"/>
    <col min="17" max="18" width="11.26953125" bestFit="1" customWidth="1"/>
    <col min="19" max="19" width="3.7265625" bestFit="1" customWidth="1"/>
    <col min="20" max="20" width="2.81640625" bestFit="1" customWidth="1"/>
    <col min="21" max="21" width="15.54296875" bestFit="1" customWidth="1"/>
    <col min="22" max="22" width="17" bestFit="1" customWidth="1"/>
    <col min="23" max="23" width="13.81640625" bestFit="1" customWidth="1"/>
    <col min="24" max="24" width="15" bestFit="1" customWidth="1"/>
    <col min="25" max="25" width="12.81640625" bestFit="1" customWidth="1"/>
    <col min="26" max="26" width="13.81640625" bestFit="1" customWidth="1"/>
    <col min="27" max="27" width="9.26953125" bestFit="1" customWidth="1"/>
    <col min="28" max="31" width="12.54296875" bestFit="1" customWidth="1"/>
    <col min="32" max="33" width="17" bestFit="1" customWidth="1"/>
    <col min="34" max="34" width="11.81640625" bestFit="1" customWidth="1"/>
    <col min="35" max="36" width="12.81640625" bestFit="1" customWidth="1"/>
    <col min="37" max="37" width="12" bestFit="1" customWidth="1"/>
    <col min="38" max="38" width="6.1796875" bestFit="1" customWidth="1"/>
  </cols>
  <sheetData>
    <row r="1" spans="1:36" ht="7.5" customHeight="1" thickBot="1" x14ac:dyDescent="0.4"/>
    <row r="2" spans="1:36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6" x14ac:dyDescent="0.35">
      <c r="A3" s="37" t="s">
        <v>1</v>
      </c>
      <c r="B3" s="37" t="s">
        <v>2</v>
      </c>
      <c r="C3" s="37" t="s">
        <v>110</v>
      </c>
      <c r="D3" s="37" t="s">
        <v>66</v>
      </c>
      <c r="E3" s="37" t="s">
        <v>32</v>
      </c>
      <c r="F3" s="37" t="s">
        <v>137</v>
      </c>
      <c r="G3" s="37" t="s">
        <v>138</v>
      </c>
      <c r="H3" s="37" t="s">
        <v>4</v>
      </c>
      <c r="I3" s="37" t="s">
        <v>5</v>
      </c>
      <c r="J3" s="37" t="s">
        <v>6</v>
      </c>
      <c r="K3" s="37" t="s">
        <v>7</v>
      </c>
      <c r="L3" s="37" t="s">
        <v>279</v>
      </c>
      <c r="M3" s="37" t="s">
        <v>280</v>
      </c>
      <c r="N3" s="37" t="s">
        <v>281</v>
      </c>
      <c r="O3" s="37" t="s">
        <v>282</v>
      </c>
      <c r="P3" s="37" t="s">
        <v>283</v>
      </c>
      <c r="Q3" s="37" t="s">
        <v>284</v>
      </c>
      <c r="R3" s="37" t="s">
        <v>904</v>
      </c>
      <c r="S3" s="37" t="s">
        <v>285</v>
      </c>
      <c r="T3" s="37" t="s">
        <v>289</v>
      </c>
      <c r="U3" s="37" t="s">
        <v>8</v>
      </c>
      <c r="V3" s="37" t="s">
        <v>9</v>
      </c>
      <c r="W3" s="37" t="s">
        <v>10</v>
      </c>
      <c r="X3" s="37" t="s">
        <v>100</v>
      </c>
      <c r="Y3" s="37" t="s">
        <v>106</v>
      </c>
      <c r="Z3" s="37" t="s">
        <v>12</v>
      </c>
      <c r="AA3" s="37" t="s">
        <v>258</v>
      </c>
      <c r="AB3" s="37" t="s">
        <v>13</v>
      </c>
      <c r="AC3" s="37" t="s">
        <v>74</v>
      </c>
      <c r="AD3" s="37" t="s">
        <v>21</v>
      </c>
      <c r="AE3" s="37" t="s">
        <v>14</v>
      </c>
      <c r="AF3" s="37" t="s">
        <v>15</v>
      </c>
      <c r="AG3" s="37" t="s">
        <v>16</v>
      </c>
      <c r="AH3" s="15" t="s">
        <v>17</v>
      </c>
      <c r="AJ3" s="1"/>
    </row>
    <row r="4" spans="1:36" x14ac:dyDescent="0.35">
      <c r="A4" s="38">
        <v>44662</v>
      </c>
      <c r="B4" s="39" t="s">
        <v>45</v>
      </c>
      <c r="C4" s="39"/>
      <c r="D4" s="39"/>
      <c r="E4" s="39" t="s">
        <v>47</v>
      </c>
      <c r="F4" s="39"/>
      <c r="G4" s="39">
        <v>50</v>
      </c>
      <c r="H4" s="40">
        <v>27440</v>
      </c>
      <c r="I4" s="41">
        <v>0.53</v>
      </c>
      <c r="J4" s="42">
        <f>K4/H4</f>
        <v>0.53298104956268222</v>
      </c>
      <c r="K4" s="40">
        <v>14625</v>
      </c>
      <c r="L4" s="40"/>
      <c r="M4" s="40"/>
      <c r="N4" s="40"/>
      <c r="O4" s="40"/>
      <c r="P4" s="40"/>
      <c r="Q4" s="40"/>
      <c r="R4" s="40"/>
      <c r="S4" s="40"/>
      <c r="T4" s="40"/>
      <c r="U4" s="43">
        <v>315</v>
      </c>
      <c r="V4" s="43">
        <f>H4*U4*I4/15</f>
        <v>305407.2</v>
      </c>
      <c r="W4" s="43">
        <v>349.57</v>
      </c>
      <c r="X4" s="43"/>
      <c r="Y4" s="43"/>
      <c r="Z4" s="43">
        <v>4958</v>
      </c>
      <c r="AA4" s="43">
        <v>0</v>
      </c>
      <c r="AB4" s="43">
        <v>1575</v>
      </c>
      <c r="AC4" s="43">
        <v>0</v>
      </c>
      <c r="AD4" s="43">
        <f>G4*3.83</f>
        <v>191.5</v>
      </c>
      <c r="AE4" s="43">
        <v>681.66</v>
      </c>
      <c r="AF4" s="43">
        <f>V4+Y4+Z4+AA4+AB4+AC4+AD4</f>
        <v>312131.7</v>
      </c>
      <c r="AG4" s="43">
        <f>IFERROR((H4*W4*J4/15)-AE4,"")</f>
        <v>340149.08999999997</v>
      </c>
      <c r="AH4" s="26">
        <f>AG4-AF4</f>
        <v>28017.389999999956</v>
      </c>
      <c r="AJ4" s="11"/>
    </row>
    <row r="5" spans="1:36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6">
        <f>AH4/G4</f>
        <v>560.3477999999991</v>
      </c>
      <c r="AJ5" s="6"/>
    </row>
    <row r="6" spans="1:36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8.2367969880501393E-2</v>
      </c>
    </row>
    <row r="9" spans="1:36" x14ac:dyDescent="0.35">
      <c r="A9" s="37" t="s">
        <v>1</v>
      </c>
      <c r="B9" s="37" t="s">
        <v>2</v>
      </c>
      <c r="C9" s="37" t="s">
        <v>110</v>
      </c>
      <c r="D9" s="37" t="s">
        <v>66</v>
      </c>
      <c r="E9" s="37" t="s">
        <v>32</v>
      </c>
      <c r="F9" s="37" t="s">
        <v>137</v>
      </c>
      <c r="G9" s="37" t="s">
        <v>138</v>
      </c>
      <c r="H9" s="37" t="s">
        <v>4</v>
      </c>
      <c r="I9" s="37" t="s">
        <v>5</v>
      </c>
      <c r="J9" s="37" t="s">
        <v>6</v>
      </c>
      <c r="K9" s="37" t="s">
        <v>7</v>
      </c>
      <c r="L9" s="37" t="s">
        <v>279</v>
      </c>
      <c r="M9" s="37" t="s">
        <v>280</v>
      </c>
      <c r="N9" s="37" t="s">
        <v>281</v>
      </c>
      <c r="O9" s="37" t="s">
        <v>282</v>
      </c>
      <c r="P9" s="37" t="s">
        <v>283</v>
      </c>
      <c r="Q9" s="37" t="s">
        <v>284</v>
      </c>
      <c r="R9" s="37" t="s">
        <v>904</v>
      </c>
      <c r="S9" s="37" t="s">
        <v>285</v>
      </c>
      <c r="T9" s="37" t="s">
        <v>289</v>
      </c>
      <c r="U9" s="37" t="s">
        <v>8</v>
      </c>
      <c r="V9" s="37" t="s">
        <v>9</v>
      </c>
      <c r="W9" s="37" t="s">
        <v>10</v>
      </c>
      <c r="X9" s="37" t="s">
        <v>100</v>
      </c>
      <c r="Y9" s="37" t="s">
        <v>29</v>
      </c>
      <c r="Z9" s="37" t="s">
        <v>12</v>
      </c>
      <c r="AA9" s="37" t="s">
        <v>11</v>
      </c>
      <c r="AB9" s="37" t="s">
        <v>13</v>
      </c>
      <c r="AC9" s="37" t="s">
        <v>20</v>
      </c>
      <c r="AD9" s="37" t="s">
        <v>21</v>
      </c>
      <c r="AE9" s="37" t="s">
        <v>14</v>
      </c>
      <c r="AF9" s="37" t="s">
        <v>15</v>
      </c>
      <c r="AG9" s="37" t="s">
        <v>16</v>
      </c>
      <c r="AH9" s="15" t="s">
        <v>17</v>
      </c>
    </row>
    <row r="10" spans="1:36" x14ac:dyDescent="0.35">
      <c r="A10" s="38">
        <v>44662</v>
      </c>
      <c r="B10" s="39" t="s">
        <v>46</v>
      </c>
      <c r="C10" s="39"/>
      <c r="D10" s="39"/>
      <c r="E10" s="39"/>
      <c r="F10" s="39"/>
      <c r="G10" s="39">
        <v>47</v>
      </c>
      <c r="H10" s="40">
        <v>18100</v>
      </c>
      <c r="I10" s="41">
        <v>0.5</v>
      </c>
      <c r="J10" s="42">
        <f>K10/H10</f>
        <v>0.53361878453038669</v>
      </c>
      <c r="K10" s="40">
        <v>9658.5</v>
      </c>
      <c r="L10" s="40"/>
      <c r="M10" s="40"/>
      <c r="N10" s="40"/>
      <c r="O10" s="40"/>
      <c r="P10" s="40"/>
      <c r="Q10" s="40"/>
      <c r="R10" s="40"/>
      <c r="S10" s="40"/>
      <c r="T10" s="40"/>
      <c r="U10" s="43">
        <v>305</v>
      </c>
      <c r="V10" s="43">
        <f>H10*U10*I10/15</f>
        <v>184016.66666666666</v>
      </c>
      <c r="W10" s="43">
        <v>342.95</v>
      </c>
      <c r="X10" s="43"/>
      <c r="Y10" s="43">
        <f>G10*10</f>
        <v>470</v>
      </c>
      <c r="Z10" s="43">
        <v>3456.77</v>
      </c>
      <c r="AA10" s="43"/>
      <c r="AB10" s="43">
        <v>1433.5</v>
      </c>
      <c r="AC10" s="43">
        <f>G10*30</f>
        <v>1410</v>
      </c>
      <c r="AD10" s="43">
        <f>G10*3.83</f>
        <v>180.01</v>
      </c>
      <c r="AE10" s="43">
        <v>435.2</v>
      </c>
      <c r="AF10" s="43">
        <f>V10+Y10+Z10+AA10+AB10+AC10+AD10</f>
        <v>190966.94666666666</v>
      </c>
      <c r="AG10" s="43">
        <f>IFERROR((H10*W10*J10/15)-AE10,"")</f>
        <v>220390.30499999996</v>
      </c>
      <c r="AH10" s="26">
        <f>AG10-AF10</f>
        <v>29423.358333333308</v>
      </c>
      <c r="AJ10" s="11"/>
    </row>
    <row r="11" spans="1:36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6">
        <f>AH10/G10</f>
        <v>626.02890070921933</v>
      </c>
      <c r="AJ11" s="11"/>
    </row>
    <row r="12" spans="1:36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0.13350568362493673</v>
      </c>
      <c r="AJ12" s="11"/>
    </row>
    <row r="15" spans="1:36" x14ac:dyDescent="0.35">
      <c r="A15" s="37" t="s">
        <v>1</v>
      </c>
      <c r="B15" s="37" t="s">
        <v>2</v>
      </c>
      <c r="C15" s="37" t="s">
        <v>110</v>
      </c>
      <c r="D15" s="37" t="s">
        <v>66</v>
      </c>
      <c r="E15" s="37" t="s">
        <v>32</v>
      </c>
      <c r="F15" s="37" t="s">
        <v>137</v>
      </c>
      <c r="G15" s="37" t="s">
        <v>138</v>
      </c>
      <c r="H15" s="37" t="s">
        <v>4</v>
      </c>
      <c r="I15" s="37" t="s">
        <v>5</v>
      </c>
      <c r="J15" s="37" t="s">
        <v>6</v>
      </c>
      <c r="K15" s="37" t="s">
        <v>7</v>
      </c>
      <c r="L15" s="37" t="s">
        <v>279</v>
      </c>
      <c r="M15" s="37" t="s">
        <v>280</v>
      </c>
      <c r="N15" s="37" t="s">
        <v>281</v>
      </c>
      <c r="O15" s="37" t="s">
        <v>282</v>
      </c>
      <c r="P15" s="37" t="s">
        <v>283</v>
      </c>
      <c r="Q15" s="37" t="s">
        <v>284</v>
      </c>
      <c r="R15" s="37" t="s">
        <v>904</v>
      </c>
      <c r="S15" s="37" t="s">
        <v>285</v>
      </c>
      <c r="T15" s="37" t="s">
        <v>289</v>
      </c>
      <c r="U15" s="37" t="s">
        <v>8</v>
      </c>
      <c r="V15" s="37" t="s">
        <v>9</v>
      </c>
      <c r="W15" s="37" t="s">
        <v>10</v>
      </c>
      <c r="X15" s="37" t="s">
        <v>100</v>
      </c>
      <c r="Y15" s="37" t="s">
        <v>29</v>
      </c>
      <c r="Z15" s="37" t="s">
        <v>12</v>
      </c>
      <c r="AA15" s="37" t="s">
        <v>11</v>
      </c>
      <c r="AB15" s="37" t="s">
        <v>13</v>
      </c>
      <c r="AC15" s="37" t="s">
        <v>20</v>
      </c>
      <c r="AD15" s="37" t="s">
        <v>21</v>
      </c>
      <c r="AE15" s="37" t="s">
        <v>14</v>
      </c>
      <c r="AF15" s="37" t="s">
        <v>15</v>
      </c>
      <c r="AG15" s="37" t="s">
        <v>16</v>
      </c>
      <c r="AH15" s="15" t="s">
        <v>17</v>
      </c>
      <c r="AJ15" s="1"/>
    </row>
    <row r="16" spans="1:36" x14ac:dyDescent="0.35">
      <c r="A16" s="38">
        <v>44662</v>
      </c>
      <c r="B16" s="39" t="s">
        <v>48</v>
      </c>
      <c r="C16" s="39"/>
      <c r="D16" s="39"/>
      <c r="E16" s="39"/>
      <c r="F16" s="39"/>
      <c r="G16" s="39">
        <v>15</v>
      </c>
      <c r="H16" s="40">
        <v>6710</v>
      </c>
      <c r="I16" s="41">
        <v>0.5</v>
      </c>
      <c r="J16" s="42">
        <f>K16/H16</f>
        <v>0.45190014903129655</v>
      </c>
      <c r="K16" s="40">
        <v>3032.25</v>
      </c>
      <c r="L16" s="40"/>
      <c r="M16" s="40"/>
      <c r="N16" s="40"/>
      <c r="O16" s="40"/>
      <c r="P16" s="40"/>
      <c r="Q16" s="40"/>
      <c r="R16" s="40"/>
      <c r="S16" s="40"/>
      <c r="T16" s="40"/>
      <c r="U16" s="43">
        <v>305</v>
      </c>
      <c r="V16" s="43">
        <f>H16*U16*I16/15</f>
        <v>68218.333333333328</v>
      </c>
      <c r="W16" s="43">
        <v>342.95</v>
      </c>
      <c r="X16" s="43"/>
      <c r="Y16" s="43">
        <f>G16*10</f>
        <v>150</v>
      </c>
      <c r="Z16" s="43">
        <v>1103.22</v>
      </c>
      <c r="AA16" s="43"/>
      <c r="AB16" s="43">
        <v>457.5</v>
      </c>
      <c r="AC16" s="43">
        <f>G16*30</f>
        <v>450</v>
      </c>
      <c r="AD16" s="43">
        <f>G16*3.83</f>
        <v>57.45</v>
      </c>
      <c r="AE16" s="43">
        <v>138.88999999999999</v>
      </c>
      <c r="AF16" s="43">
        <f>V16+Y16+Z16+AA16+AB16+AC16+AD16</f>
        <v>70436.503333333327</v>
      </c>
      <c r="AG16" s="43">
        <f>IFERROR((H16*W16*J16/15)-AE16,"")</f>
        <v>69188.452499999999</v>
      </c>
      <c r="AH16" s="26">
        <f>AG16-AF16</f>
        <v>-1248.0508333333273</v>
      </c>
      <c r="AJ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6">
        <f>AH16/G16</f>
        <v>-83.203388888888483</v>
      </c>
      <c r="AJ17" s="11"/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-1.8038426763965089E-2</v>
      </c>
    </row>
    <row r="21" spans="1:40" x14ac:dyDescent="0.35">
      <c r="A21" s="37" t="s">
        <v>1</v>
      </c>
      <c r="B21" s="37" t="s">
        <v>2</v>
      </c>
      <c r="C21" s="37" t="s">
        <v>110</v>
      </c>
      <c r="D21" s="37" t="s">
        <v>66</v>
      </c>
      <c r="E21" s="37" t="s">
        <v>32</v>
      </c>
      <c r="F21" s="37" t="s">
        <v>137</v>
      </c>
      <c r="G21" s="37" t="s">
        <v>138</v>
      </c>
      <c r="H21" s="37" t="s">
        <v>4</v>
      </c>
      <c r="I21" s="37" t="s">
        <v>5</v>
      </c>
      <c r="J21" s="37" t="s">
        <v>6</v>
      </c>
      <c r="K21" s="37" t="s">
        <v>7</v>
      </c>
      <c r="L21" s="37" t="s">
        <v>279</v>
      </c>
      <c r="M21" s="37" t="s">
        <v>280</v>
      </c>
      <c r="N21" s="37" t="s">
        <v>281</v>
      </c>
      <c r="O21" s="37" t="s">
        <v>282</v>
      </c>
      <c r="P21" s="37" t="s">
        <v>283</v>
      </c>
      <c r="Q21" s="37" t="s">
        <v>284</v>
      </c>
      <c r="R21" s="37" t="s">
        <v>904</v>
      </c>
      <c r="S21" s="37" t="s">
        <v>285</v>
      </c>
      <c r="T21" s="37" t="s">
        <v>289</v>
      </c>
      <c r="U21" s="37" t="s">
        <v>8</v>
      </c>
      <c r="V21" s="37" t="s">
        <v>9</v>
      </c>
      <c r="W21" s="37" t="s">
        <v>10</v>
      </c>
      <c r="X21" s="37" t="s">
        <v>100</v>
      </c>
      <c r="Y21" s="37" t="s">
        <v>29</v>
      </c>
      <c r="Z21" s="37" t="s">
        <v>12</v>
      </c>
      <c r="AA21" s="37" t="s">
        <v>11</v>
      </c>
      <c r="AB21" s="37" t="s">
        <v>13</v>
      </c>
      <c r="AC21" s="37" t="s">
        <v>20</v>
      </c>
      <c r="AD21" s="37" t="s">
        <v>21</v>
      </c>
      <c r="AE21" s="37" t="s">
        <v>14</v>
      </c>
      <c r="AF21" s="37" t="s">
        <v>15</v>
      </c>
      <c r="AG21" s="37" t="s">
        <v>16</v>
      </c>
      <c r="AH21" s="15" t="s">
        <v>17</v>
      </c>
    </row>
    <row r="22" spans="1:40" x14ac:dyDescent="0.35">
      <c r="A22" s="38">
        <v>44663</v>
      </c>
      <c r="B22" s="39" t="s">
        <v>49</v>
      </c>
      <c r="C22" s="39"/>
      <c r="D22" s="39"/>
      <c r="E22" s="39"/>
      <c r="F22" s="39"/>
      <c r="G22" s="39">
        <v>130</v>
      </c>
      <c r="H22" s="40">
        <v>51760</v>
      </c>
      <c r="I22" s="41">
        <v>0.5</v>
      </c>
      <c r="J22" s="42">
        <f>K22/H22</f>
        <v>0.52187982998454407</v>
      </c>
      <c r="K22" s="40">
        <v>27012.5</v>
      </c>
      <c r="L22" s="40"/>
      <c r="M22" s="40"/>
      <c r="N22" s="40"/>
      <c r="O22" s="40"/>
      <c r="P22" s="40"/>
      <c r="Q22" s="40"/>
      <c r="R22" s="40"/>
      <c r="S22" s="40"/>
      <c r="T22" s="40"/>
      <c r="U22" s="43">
        <v>300</v>
      </c>
      <c r="V22" s="43">
        <f>H22*U22*I22/15</f>
        <v>517600</v>
      </c>
      <c r="W22" s="43">
        <v>349.1</v>
      </c>
      <c r="X22" s="43"/>
      <c r="Y22" s="43">
        <f>G22*10</f>
        <v>1300</v>
      </c>
      <c r="Z22" s="43">
        <v>11456</v>
      </c>
      <c r="AA22" s="43"/>
      <c r="AB22" s="43">
        <v>3900</v>
      </c>
      <c r="AC22" s="43">
        <f>G22*30</f>
        <v>3900</v>
      </c>
      <c r="AD22" s="43">
        <f>G22*3.83</f>
        <v>497.90000000000003</v>
      </c>
      <c r="AE22" s="43">
        <v>1257.3399999999999</v>
      </c>
      <c r="AF22" s="43">
        <f>V22+Y22+Z22+AA22+AB22+AC22+AD22</f>
        <v>538653.9</v>
      </c>
      <c r="AG22" s="43">
        <f>IFERROR((H22*W22*J22/15)-AE22,"")</f>
        <v>627413.57666666666</v>
      </c>
      <c r="AH22" s="26">
        <f>AG22-AF22</f>
        <v>88759.676666666637</v>
      </c>
      <c r="AJ22" s="6"/>
    </row>
    <row r="23" spans="1:4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6">
        <f>AH22/G22</f>
        <v>682.76674358974333</v>
      </c>
      <c r="AJ23" s="6"/>
    </row>
    <row r="24" spans="1:40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0.1414691679740667</v>
      </c>
    </row>
    <row r="27" spans="1:40" x14ac:dyDescent="0.35">
      <c r="A27" s="37" t="s">
        <v>1</v>
      </c>
      <c r="B27" s="37" t="s">
        <v>2</v>
      </c>
      <c r="C27" s="37" t="s">
        <v>110</v>
      </c>
      <c r="D27" s="37" t="s">
        <v>66</v>
      </c>
      <c r="E27" s="37" t="s">
        <v>38</v>
      </c>
      <c r="F27" s="37" t="s">
        <v>137</v>
      </c>
      <c r="G27" s="37" t="s">
        <v>138</v>
      </c>
      <c r="H27" s="37" t="s">
        <v>4</v>
      </c>
      <c r="I27" s="37" t="s">
        <v>5</v>
      </c>
      <c r="J27" s="37" t="s">
        <v>6</v>
      </c>
      <c r="K27" s="37" t="s">
        <v>7</v>
      </c>
      <c r="L27" s="37" t="s">
        <v>279</v>
      </c>
      <c r="M27" s="37" t="s">
        <v>280</v>
      </c>
      <c r="N27" s="37" t="s">
        <v>281</v>
      </c>
      <c r="O27" s="37" t="s">
        <v>282</v>
      </c>
      <c r="P27" s="37" t="s">
        <v>283</v>
      </c>
      <c r="Q27" s="37" t="s">
        <v>284</v>
      </c>
      <c r="R27" s="37" t="s">
        <v>904</v>
      </c>
      <c r="S27" s="37" t="s">
        <v>285</v>
      </c>
      <c r="T27" s="37" t="s">
        <v>289</v>
      </c>
      <c r="U27" s="37" t="s">
        <v>8</v>
      </c>
      <c r="V27" s="37" t="s">
        <v>9</v>
      </c>
      <c r="W27" s="37" t="s">
        <v>10</v>
      </c>
      <c r="X27" s="37" t="s">
        <v>100</v>
      </c>
      <c r="Y27" s="37" t="s">
        <v>44</v>
      </c>
      <c r="Z27" s="37" t="s">
        <v>12</v>
      </c>
      <c r="AA27" s="37" t="s">
        <v>11</v>
      </c>
      <c r="AB27" s="37" t="s">
        <v>13</v>
      </c>
      <c r="AC27" s="37" t="s">
        <v>20</v>
      </c>
      <c r="AD27" s="37" t="s">
        <v>21</v>
      </c>
      <c r="AE27" s="37" t="s">
        <v>14</v>
      </c>
      <c r="AF27" s="37" t="s">
        <v>15</v>
      </c>
      <c r="AG27" s="37" t="s">
        <v>16</v>
      </c>
      <c r="AH27" s="15" t="s">
        <v>17</v>
      </c>
    </row>
    <row r="28" spans="1:40" x14ac:dyDescent="0.35">
      <c r="A28" s="38">
        <v>44663</v>
      </c>
      <c r="B28" s="39" t="s">
        <v>50</v>
      </c>
      <c r="C28" s="39"/>
      <c r="D28" s="39"/>
      <c r="E28" s="39"/>
      <c r="F28" s="39">
        <v>50</v>
      </c>
      <c r="G28" s="64"/>
      <c r="H28" s="40">
        <v>25952</v>
      </c>
      <c r="I28" s="53">
        <v>0.53500000000000003</v>
      </c>
      <c r="J28" s="42">
        <f>K28/H28</f>
        <v>0.52841784833538841</v>
      </c>
      <c r="K28" s="40">
        <v>13713.5</v>
      </c>
      <c r="L28" s="40"/>
      <c r="M28" s="40"/>
      <c r="N28" s="40"/>
      <c r="O28" s="40"/>
      <c r="P28" s="40"/>
      <c r="Q28" s="40"/>
      <c r="R28" s="40"/>
      <c r="S28" s="40"/>
      <c r="T28" s="40"/>
      <c r="U28" s="43">
        <v>305</v>
      </c>
      <c r="V28" s="43">
        <f>H28*U28*I28/15</f>
        <v>282314.50666666671</v>
      </c>
      <c r="W28" s="43">
        <v>354.17</v>
      </c>
      <c r="X28" s="43"/>
      <c r="Y28" s="43"/>
      <c r="Z28" s="43">
        <v>4428</v>
      </c>
      <c r="AA28" s="43">
        <v>0</v>
      </c>
      <c r="AB28" s="43">
        <v>1525</v>
      </c>
      <c r="AC28" s="43"/>
      <c r="AD28" s="43">
        <f>F28*3.83</f>
        <v>191.5</v>
      </c>
      <c r="AE28" s="43">
        <v>647.6</v>
      </c>
      <c r="AF28" s="43">
        <f>V28+Y28+Z28+AA28+AB28+AC28+AD28</f>
        <v>288459.00666666671</v>
      </c>
      <c r="AG28" s="43">
        <f>IFERROR((H28*W28*J28/15)-AE28,"")</f>
        <v>323146.41966666671</v>
      </c>
      <c r="AH28" s="26">
        <f>AG28-AF28</f>
        <v>34687.413</v>
      </c>
      <c r="AJ28" s="6"/>
    </row>
    <row r="29" spans="1:40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6">
        <f>AH28/F28</f>
        <v>693.74825999999996</v>
      </c>
      <c r="AJ29" s="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0.10734271181398482</v>
      </c>
    </row>
    <row r="31" spans="1:40" ht="15" thickBot="1" x14ac:dyDescent="0.4">
      <c r="AJ31" s="1">
        <f>G4+G10+G16+G22+F28</f>
        <v>292</v>
      </c>
      <c r="AK31" s="1" t="s">
        <v>22</v>
      </c>
      <c r="AM31" s="1"/>
      <c r="AN31" s="1"/>
    </row>
    <row r="32" spans="1:40" ht="16" thickBot="1" x14ac:dyDescent="0.4">
      <c r="A32" s="377" t="s">
        <v>51</v>
      </c>
      <c r="B32" s="378"/>
      <c r="C32" s="378"/>
      <c r="D32" s="378"/>
      <c r="E32" s="378"/>
      <c r="F32" s="378"/>
      <c r="G32" s="378"/>
      <c r="H32" s="378"/>
      <c r="I32" s="378"/>
      <c r="J32" s="378"/>
      <c r="K32" s="378"/>
      <c r="L32" s="46"/>
      <c r="M32" s="46"/>
      <c r="N32" s="46"/>
      <c r="O32" s="46"/>
      <c r="P32" s="46"/>
      <c r="Q32" s="46"/>
      <c r="R32" s="46"/>
      <c r="S32" s="46"/>
      <c r="T32" s="46"/>
      <c r="U32" s="30"/>
      <c r="V32" s="31">
        <f>V4+V10+V16+V22+V28</f>
        <v>1357556.706666667</v>
      </c>
      <c r="W32" s="30"/>
      <c r="X32" s="30"/>
      <c r="Y32" s="31">
        <f t="shared" ref="Y32:AG32" si="0">Y4+Y10+Y16+Y22+Y28</f>
        <v>1920</v>
      </c>
      <c r="Z32" s="31">
        <f t="shared" si="0"/>
        <v>25401.989999999998</v>
      </c>
      <c r="AA32" s="31">
        <f t="shared" si="0"/>
        <v>0</v>
      </c>
      <c r="AB32" s="31">
        <f t="shared" si="0"/>
        <v>8891</v>
      </c>
      <c r="AC32" s="31">
        <f t="shared" si="0"/>
        <v>5760</v>
      </c>
      <c r="AD32" s="31">
        <f t="shared" si="0"/>
        <v>1118.3600000000001</v>
      </c>
      <c r="AE32" s="31">
        <f t="shared" si="0"/>
        <v>3160.69</v>
      </c>
      <c r="AF32" s="31">
        <f t="shared" si="0"/>
        <v>1400648.0566666666</v>
      </c>
      <c r="AG32" s="31">
        <f t="shared" si="0"/>
        <v>1580287.8438333333</v>
      </c>
      <c r="AH32" s="32"/>
      <c r="AJ32" s="11">
        <f>AH4+AH10+AH16+AH22+AH28</f>
        <v>179639.78716666659</v>
      </c>
      <c r="AK32" s="13">
        <f>AJ32*30%</f>
        <v>53891.936149999972</v>
      </c>
      <c r="AL32" t="s">
        <v>72</v>
      </c>
      <c r="AM32" s="11"/>
      <c r="AN32" s="11"/>
    </row>
    <row r="33" spans="1:36" x14ac:dyDescent="0.3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48"/>
      <c r="AJ33" s="11">
        <f>AJ32/AJ31</f>
        <v>615.20475057077601</v>
      </c>
    </row>
    <row r="34" spans="1:36" x14ac:dyDescent="0.3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47"/>
    </row>
  </sheetData>
  <mergeCells count="2">
    <mergeCell ref="U2:AC2"/>
    <mergeCell ref="A32:K3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5"/>
  <dimension ref="A1:AL81"/>
  <sheetViews>
    <sheetView zoomScale="80" zoomScaleNormal="80" workbookViewId="0">
      <pane ySplit="3" topLeftCell="A61" activePane="bottomLeft" state="frozen"/>
      <selection activeCell="A24" sqref="A24:U24"/>
      <selection pane="bottomLeft" activeCell="F3" sqref="F3"/>
    </sheetView>
  </sheetViews>
  <sheetFormatPr defaultRowHeight="14.5" x14ac:dyDescent="0.35"/>
  <cols>
    <col min="1" max="1" width="11.54296875" bestFit="1" customWidth="1"/>
    <col min="2" max="2" width="23" bestFit="1" customWidth="1"/>
    <col min="3" max="3" width="16.26953125" customWidth="1"/>
    <col min="4" max="4" width="12.1796875" bestFit="1" customWidth="1"/>
    <col min="5" max="5" width="13.54296875" bestFit="1" customWidth="1"/>
    <col min="6" max="6" width="13.54296875" customWidth="1"/>
    <col min="7" max="7" width="10.1796875" bestFit="1" customWidth="1"/>
    <col min="8" max="8" width="10.26953125" bestFit="1" customWidth="1"/>
    <col min="9" max="9" width="8.26953125" bestFit="1" customWidth="1"/>
    <col min="10" max="10" width="10.54296875" bestFit="1" customWidth="1"/>
    <col min="11" max="11" width="12.81640625" bestFit="1" customWidth="1"/>
    <col min="12" max="16" width="6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bestFit="1" customWidth="1"/>
    <col min="22" max="22" width="17" bestFit="1" customWidth="1"/>
    <col min="23" max="23" width="13.81640625" bestFit="1" customWidth="1"/>
    <col min="24" max="25" width="13.81640625" customWidth="1"/>
    <col min="26" max="26" width="15.1796875" bestFit="1" customWidth="1"/>
    <col min="27" max="29" width="13.81640625" bestFit="1" customWidth="1"/>
    <col min="30" max="30" width="12.54296875" bestFit="1" customWidth="1"/>
    <col min="31" max="31" width="13.81640625" bestFit="1" customWidth="1"/>
    <col min="32" max="33" width="17" bestFit="1" customWidth="1"/>
    <col min="34" max="34" width="13.7265625" bestFit="1" customWidth="1"/>
    <col min="35" max="35" width="12.81640625" bestFit="1" customWidth="1"/>
    <col min="36" max="36" width="14.54296875" bestFit="1" customWidth="1"/>
    <col min="37" max="37" width="13.7265625" bestFit="1" customWidth="1"/>
    <col min="38" max="38" width="15.54296875" bestFit="1" customWidth="1"/>
  </cols>
  <sheetData>
    <row r="1" spans="1:36" ht="7.5" customHeight="1" thickBot="1" x14ac:dyDescent="0.4"/>
    <row r="2" spans="1:36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6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J3" s="6"/>
    </row>
    <row r="4" spans="1:36" x14ac:dyDescent="0.35">
      <c r="A4" s="20">
        <v>44669</v>
      </c>
      <c r="B4" s="21" t="s">
        <v>52</v>
      </c>
      <c r="C4" s="21"/>
      <c r="D4" s="21"/>
      <c r="E4" s="21"/>
      <c r="F4" s="21"/>
      <c r="G4" s="21">
        <v>60</v>
      </c>
      <c r="H4" s="22">
        <v>23260</v>
      </c>
      <c r="I4" s="23">
        <v>0.5</v>
      </c>
      <c r="J4" s="24">
        <f>K4/H4</f>
        <v>0.48860705073086846</v>
      </c>
      <c r="K4" s="22">
        <v>11365</v>
      </c>
      <c r="L4" s="22"/>
      <c r="M4" s="22"/>
      <c r="N4" s="22"/>
      <c r="O4" s="22"/>
      <c r="P4" s="22"/>
      <c r="Q4" s="22"/>
      <c r="R4" s="22"/>
      <c r="S4" s="22"/>
      <c r="T4" s="22"/>
      <c r="U4" s="25">
        <v>295</v>
      </c>
      <c r="V4" s="25">
        <f>H4*U4*I4/15</f>
        <v>228723.33333333334</v>
      </c>
      <c r="W4" s="25">
        <v>339.1</v>
      </c>
      <c r="X4" s="25"/>
      <c r="Y4" s="25">
        <f>G4*10</f>
        <v>600</v>
      </c>
      <c r="Z4" s="25">
        <v>4358</v>
      </c>
      <c r="AA4" s="25"/>
      <c r="AB4" s="25">
        <v>1770</v>
      </c>
      <c r="AC4" s="25">
        <f>G4*30</f>
        <v>1800</v>
      </c>
      <c r="AD4" s="25">
        <f>G4*3.83</f>
        <v>229.8</v>
      </c>
      <c r="AE4" s="25">
        <v>513.86</v>
      </c>
      <c r="AF4" s="25">
        <f>V4+Y4+Z4+AA4+AB4+AC4+AD4</f>
        <v>237481.13333333333</v>
      </c>
      <c r="AG4" s="25">
        <f>IFERROR((H4*W4*J4/15)-AE4,"")</f>
        <v>256410.90666666671</v>
      </c>
      <c r="AH4" s="26">
        <f>AG4-AF4</f>
        <v>18929.773333333374</v>
      </c>
    </row>
    <row r="5" spans="1:36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6">
        <f>AH4/G4</f>
        <v>315.49622222222291</v>
      </c>
      <c r="AJ5" s="6"/>
    </row>
    <row r="6" spans="1:36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7.3825928777444774E-2</v>
      </c>
      <c r="AJ6" s="6"/>
    </row>
    <row r="10" spans="1:36" x14ac:dyDescent="0.35">
      <c r="A10" s="37" t="s">
        <v>1</v>
      </c>
      <c r="B10" s="37" t="s">
        <v>2</v>
      </c>
      <c r="C10" s="37" t="s">
        <v>110</v>
      </c>
      <c r="D10" s="37" t="s">
        <v>66</v>
      </c>
      <c r="E10" s="37" t="s">
        <v>32</v>
      </c>
      <c r="F10" s="37" t="s">
        <v>137</v>
      </c>
      <c r="G10" s="37" t="s">
        <v>138</v>
      </c>
      <c r="H10" s="37" t="s">
        <v>4</v>
      </c>
      <c r="I10" s="37" t="s">
        <v>5</v>
      </c>
      <c r="J10" s="37" t="s">
        <v>6</v>
      </c>
      <c r="K10" s="37" t="s">
        <v>7</v>
      </c>
      <c r="L10" s="37" t="s">
        <v>279</v>
      </c>
      <c r="M10" s="37" t="s">
        <v>280</v>
      </c>
      <c r="N10" s="37" t="s">
        <v>281</v>
      </c>
      <c r="O10" s="37" t="s">
        <v>282</v>
      </c>
      <c r="P10" s="37" t="s">
        <v>283</v>
      </c>
      <c r="Q10" s="37" t="s">
        <v>284</v>
      </c>
      <c r="R10" s="37" t="s">
        <v>904</v>
      </c>
      <c r="S10" s="37" t="s">
        <v>285</v>
      </c>
      <c r="T10" s="37" t="s">
        <v>289</v>
      </c>
      <c r="U10" s="37" t="s">
        <v>8</v>
      </c>
      <c r="V10" s="37" t="s">
        <v>9</v>
      </c>
      <c r="W10" s="37" t="s">
        <v>10</v>
      </c>
      <c r="X10" s="37" t="s">
        <v>100</v>
      </c>
      <c r="Y10" s="37" t="s">
        <v>106</v>
      </c>
      <c r="Z10" s="37" t="s">
        <v>12</v>
      </c>
      <c r="AA10" s="37" t="s">
        <v>11</v>
      </c>
      <c r="AB10" s="37" t="s">
        <v>13</v>
      </c>
      <c r="AC10" s="37" t="s">
        <v>20</v>
      </c>
      <c r="AD10" s="37" t="s">
        <v>21</v>
      </c>
      <c r="AE10" s="37" t="s">
        <v>14</v>
      </c>
      <c r="AF10" s="37" t="s">
        <v>15</v>
      </c>
      <c r="AG10" s="37" t="s">
        <v>16</v>
      </c>
      <c r="AH10" s="15" t="s">
        <v>17</v>
      </c>
    </row>
    <row r="11" spans="1:36" x14ac:dyDescent="0.35">
      <c r="A11" s="38">
        <v>44669</v>
      </c>
      <c r="B11" s="39" t="s">
        <v>53</v>
      </c>
      <c r="C11" s="39"/>
      <c r="D11" s="39"/>
      <c r="E11" s="39"/>
      <c r="F11" s="39"/>
      <c r="G11" s="39">
        <v>130</v>
      </c>
      <c r="H11" s="40">
        <v>46430</v>
      </c>
      <c r="I11" s="41">
        <v>0.5</v>
      </c>
      <c r="J11" s="42">
        <f>K11/H11</f>
        <v>0.58178979108335127</v>
      </c>
      <c r="K11" s="40">
        <v>27012.5</v>
      </c>
      <c r="L11" s="40"/>
      <c r="M11" s="40"/>
      <c r="N11" s="40"/>
      <c r="O11" s="40"/>
      <c r="P11" s="40"/>
      <c r="Q11" s="40"/>
      <c r="R11" s="40"/>
      <c r="S11" s="40"/>
      <c r="T11" s="40"/>
      <c r="U11" s="43">
        <v>290</v>
      </c>
      <c r="V11" s="43">
        <f>H11*U11*I11/15</f>
        <v>448823.33333333331</v>
      </c>
      <c r="W11" s="43">
        <v>349.1</v>
      </c>
      <c r="X11" s="43"/>
      <c r="Y11" s="43">
        <f>G11*10</f>
        <v>1300</v>
      </c>
      <c r="Z11" s="43">
        <v>17897.599999999999</v>
      </c>
      <c r="AA11" s="43">
        <v>1300</v>
      </c>
      <c r="AB11" s="43">
        <v>3770</v>
      </c>
      <c r="AC11" s="43">
        <f>G11*30</f>
        <v>3900</v>
      </c>
      <c r="AD11" s="43">
        <f>G11*3.83</f>
        <v>497.90000000000003</v>
      </c>
      <c r="AE11" s="43">
        <v>1257.3399999999999</v>
      </c>
      <c r="AF11" s="43">
        <f>V11+Y11+Z11+AA11+AB11+AC11+AD11</f>
        <v>477488.83333333331</v>
      </c>
      <c r="AG11" s="43">
        <f>IFERROR((H11*W11*J11/15)-AE11,"")</f>
        <v>627413.57666666666</v>
      </c>
      <c r="AH11" s="26">
        <f>AG11-AF11</f>
        <v>149924.74333333335</v>
      </c>
      <c r="AJ11" s="6"/>
    </row>
    <row r="12" spans="1:36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6">
        <f>AH11/G11</f>
        <v>1153.2672564102566</v>
      </c>
      <c r="AJ12" s="6"/>
    </row>
    <row r="13" spans="1:36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7">
        <f>IFERROR(AH11/AG11,"")</f>
        <v>0.23895680442532982</v>
      </c>
    </row>
    <row r="16" spans="1:36" x14ac:dyDescent="0.35">
      <c r="A16" s="37" t="s">
        <v>1</v>
      </c>
      <c r="B16" s="37" t="s">
        <v>2</v>
      </c>
      <c r="C16" s="37" t="s">
        <v>110</v>
      </c>
      <c r="D16" s="37" t="s">
        <v>66</v>
      </c>
      <c r="E16" s="37" t="s">
        <v>38</v>
      </c>
      <c r="F16" s="37" t="s">
        <v>137</v>
      </c>
      <c r="G16" s="37" t="s">
        <v>138</v>
      </c>
      <c r="H16" s="37" t="s">
        <v>4</v>
      </c>
      <c r="I16" s="37" t="s">
        <v>5</v>
      </c>
      <c r="J16" s="37" t="s">
        <v>6</v>
      </c>
      <c r="K16" s="37" t="s">
        <v>7</v>
      </c>
      <c r="L16" s="37" t="s">
        <v>279</v>
      </c>
      <c r="M16" s="37" t="s">
        <v>280</v>
      </c>
      <c r="N16" s="37" t="s">
        <v>281</v>
      </c>
      <c r="O16" s="37" t="s">
        <v>282</v>
      </c>
      <c r="P16" s="37" t="s">
        <v>283</v>
      </c>
      <c r="Q16" s="37" t="s">
        <v>284</v>
      </c>
      <c r="R16" s="37" t="s">
        <v>904</v>
      </c>
      <c r="S16" s="37" t="s">
        <v>285</v>
      </c>
      <c r="T16" s="37" t="s">
        <v>289</v>
      </c>
      <c r="U16" s="37" t="s">
        <v>8</v>
      </c>
      <c r="V16" s="37" t="s">
        <v>9</v>
      </c>
      <c r="W16" s="37" t="s">
        <v>10</v>
      </c>
      <c r="X16" s="37" t="s">
        <v>100</v>
      </c>
      <c r="Y16" s="37" t="s">
        <v>106</v>
      </c>
      <c r="Z16" s="37" t="s">
        <v>12</v>
      </c>
      <c r="AA16" s="37" t="s">
        <v>11</v>
      </c>
      <c r="AB16" s="37" t="s">
        <v>13</v>
      </c>
      <c r="AC16" s="37" t="s">
        <v>20</v>
      </c>
      <c r="AD16" s="37" t="s">
        <v>21</v>
      </c>
      <c r="AE16" s="37" t="s">
        <v>14</v>
      </c>
      <c r="AF16" s="37" t="s">
        <v>15</v>
      </c>
      <c r="AG16" s="37" t="s">
        <v>16</v>
      </c>
      <c r="AH16" s="15" t="s">
        <v>17</v>
      </c>
    </row>
    <row r="17" spans="1:36" x14ac:dyDescent="0.35">
      <c r="A17" s="38">
        <v>44669</v>
      </c>
      <c r="B17" s="39" t="s">
        <v>54</v>
      </c>
      <c r="C17" s="39"/>
      <c r="D17" s="39"/>
      <c r="E17" s="39"/>
      <c r="F17" s="39">
        <v>100</v>
      </c>
      <c r="G17" s="64"/>
      <c r="H17" s="40">
        <v>60746</v>
      </c>
      <c r="I17" s="53">
        <v>0.52</v>
      </c>
      <c r="J17" s="42">
        <f>K17/H17</f>
        <v>0.52493662134132291</v>
      </c>
      <c r="K17" s="40">
        <v>31887.8</v>
      </c>
      <c r="L17" s="40"/>
      <c r="M17" s="40"/>
      <c r="N17" s="40"/>
      <c r="O17" s="40"/>
      <c r="P17" s="40"/>
      <c r="Q17" s="40"/>
      <c r="R17" s="40"/>
      <c r="S17" s="40"/>
      <c r="T17" s="40"/>
      <c r="U17" s="43">
        <v>295</v>
      </c>
      <c r="V17" s="43">
        <f>H17*U17*I17/15</f>
        <v>621229.09333333338</v>
      </c>
      <c r="W17" s="43">
        <v>323.95</v>
      </c>
      <c r="X17" s="43"/>
      <c r="Y17" s="43"/>
      <c r="Z17" s="43">
        <v>19121.599999999999</v>
      </c>
      <c r="AA17" s="43">
        <v>0</v>
      </c>
      <c r="AB17" s="43">
        <v>2380</v>
      </c>
      <c r="AC17" s="43"/>
      <c r="AD17" s="43">
        <f>F17*3.83</f>
        <v>383</v>
      </c>
      <c r="AE17" s="43">
        <v>1377</v>
      </c>
      <c r="AF17" s="43">
        <f>V17+Y17+Z17+AA17+AB17+AC17+AD17</f>
        <v>643113.69333333336</v>
      </c>
      <c r="AG17" s="43">
        <f>IFERROR((H17*W17*J17/15)-AE17,"")</f>
        <v>687293.18733333342</v>
      </c>
      <c r="AH17" s="26">
        <f>AG17-AF17</f>
        <v>44179.494000000064</v>
      </c>
    </row>
    <row r="18" spans="1:36" x14ac:dyDescent="0.35">
      <c r="A18" s="21"/>
      <c r="B18" s="21"/>
      <c r="C18" s="21"/>
      <c r="D18" s="21"/>
      <c r="E18" s="21"/>
      <c r="F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6">
        <f>AH17/F17</f>
        <v>441.79494000000062</v>
      </c>
      <c r="AJ18" s="6"/>
    </row>
    <row r="19" spans="1:36" x14ac:dyDescent="0.35">
      <c r="A19" s="21"/>
      <c r="B19" s="21"/>
      <c r="C19" s="21"/>
      <c r="D19" s="21"/>
      <c r="E19" s="21"/>
      <c r="F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7">
        <f>IFERROR(AH17/AG17,"")</f>
        <v>6.4280418916146262E-2</v>
      </c>
      <c r="AJ19" s="6"/>
    </row>
    <row r="22" spans="1:36" x14ac:dyDescent="0.35">
      <c r="A22" s="37" t="s">
        <v>1</v>
      </c>
      <c r="B22" s="37" t="s">
        <v>2</v>
      </c>
      <c r="C22" s="37" t="s">
        <v>110</v>
      </c>
      <c r="D22" s="37" t="s">
        <v>66</v>
      </c>
      <c r="E22" s="37" t="s">
        <v>38</v>
      </c>
      <c r="F22" s="37" t="s">
        <v>137</v>
      </c>
      <c r="G22" s="37" t="s">
        <v>138</v>
      </c>
      <c r="H22" s="37" t="s">
        <v>4</v>
      </c>
      <c r="I22" s="37" t="s">
        <v>5</v>
      </c>
      <c r="J22" s="37" t="s">
        <v>6</v>
      </c>
      <c r="K22" s="37" t="s">
        <v>7</v>
      </c>
      <c r="L22" s="37" t="s">
        <v>279</v>
      </c>
      <c r="M22" s="37" t="s">
        <v>280</v>
      </c>
      <c r="N22" s="37" t="s">
        <v>281</v>
      </c>
      <c r="O22" s="37" t="s">
        <v>282</v>
      </c>
      <c r="P22" s="37" t="s">
        <v>283</v>
      </c>
      <c r="Q22" s="37" t="s">
        <v>284</v>
      </c>
      <c r="R22" s="37" t="s">
        <v>904</v>
      </c>
      <c r="S22" s="37" t="s">
        <v>285</v>
      </c>
      <c r="T22" s="37" t="s">
        <v>289</v>
      </c>
      <c r="U22" s="37" t="s">
        <v>8</v>
      </c>
      <c r="V22" s="37" t="s">
        <v>9</v>
      </c>
      <c r="W22" s="37" t="s">
        <v>10</v>
      </c>
      <c r="X22" s="37" t="s">
        <v>100</v>
      </c>
      <c r="Y22" s="37" t="s">
        <v>106</v>
      </c>
      <c r="Z22" s="37" t="s">
        <v>12</v>
      </c>
      <c r="AA22" s="37" t="s">
        <v>11</v>
      </c>
      <c r="AB22" s="37" t="s">
        <v>13</v>
      </c>
      <c r="AC22" s="37" t="s">
        <v>20</v>
      </c>
      <c r="AD22" s="37" t="s">
        <v>21</v>
      </c>
      <c r="AE22" s="37" t="s">
        <v>14</v>
      </c>
      <c r="AF22" s="37" t="s">
        <v>15</v>
      </c>
      <c r="AG22" s="37" t="s">
        <v>16</v>
      </c>
      <c r="AH22" s="15" t="s">
        <v>17</v>
      </c>
    </row>
    <row r="23" spans="1:36" x14ac:dyDescent="0.35">
      <c r="A23" s="38">
        <v>44669</v>
      </c>
      <c r="B23" s="39" t="s">
        <v>54</v>
      </c>
      <c r="C23" s="39"/>
      <c r="D23" s="39"/>
      <c r="E23" s="39"/>
      <c r="F23" s="39">
        <v>150</v>
      </c>
      <c r="G23" s="64"/>
      <c r="H23" s="40">
        <v>91119</v>
      </c>
      <c r="I23" s="53">
        <v>0.52</v>
      </c>
      <c r="J23" s="42">
        <f>K23/H23</f>
        <v>0.52500246929839001</v>
      </c>
      <c r="K23" s="40">
        <v>47837.7</v>
      </c>
      <c r="L23" s="40"/>
      <c r="M23" s="40"/>
      <c r="N23" s="40"/>
      <c r="O23" s="40"/>
      <c r="P23" s="40"/>
      <c r="Q23" s="40"/>
      <c r="R23" s="40"/>
      <c r="S23" s="40"/>
      <c r="T23" s="40"/>
      <c r="U23" s="43">
        <v>310</v>
      </c>
      <c r="V23" s="43">
        <f>H23*U23*I23/15</f>
        <v>979225.52</v>
      </c>
      <c r="W23" s="43">
        <v>323.95</v>
      </c>
      <c r="X23" s="43"/>
      <c r="Y23" s="43"/>
      <c r="Z23" s="43">
        <v>28682.400000000001</v>
      </c>
      <c r="AA23" s="43">
        <v>0</v>
      </c>
      <c r="AB23" s="43">
        <v>3570</v>
      </c>
      <c r="AC23" s="43"/>
      <c r="AD23" s="43">
        <f>F23*3.83</f>
        <v>574.5</v>
      </c>
      <c r="AE23" s="43">
        <v>2065.98</v>
      </c>
      <c r="AF23" s="43">
        <f>V23+Y23+Z23+AA23+AB23+AC23+AD23</f>
        <v>1012052.42</v>
      </c>
      <c r="AG23" s="43">
        <f>IFERROR((H23*W23*J23/15)-AE23,"")</f>
        <v>1031068.8810000001</v>
      </c>
      <c r="AH23" s="26">
        <f>AG23-AF23</f>
        <v>19016.46100000001</v>
      </c>
    </row>
    <row r="24" spans="1:36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6">
        <f>AH23/F23</f>
        <v>126.77640666666673</v>
      </c>
      <c r="AJ24" s="6"/>
    </row>
    <row r="25" spans="1:36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7">
        <f>IFERROR(AH23/AG23,"")</f>
        <v>1.8443443838161971E-2</v>
      </c>
      <c r="AJ25" s="6"/>
    </row>
    <row r="28" spans="1:36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32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11</v>
      </c>
      <c r="AB28" s="14" t="s">
        <v>13</v>
      </c>
      <c r="AC28" s="14" t="s">
        <v>20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</row>
    <row r="29" spans="1:36" x14ac:dyDescent="0.35">
      <c r="A29" s="20">
        <v>44670</v>
      </c>
      <c r="B29" s="21" t="s">
        <v>26</v>
      </c>
      <c r="C29" s="21"/>
      <c r="D29" s="21"/>
      <c r="E29" s="21"/>
      <c r="F29" s="21"/>
      <c r="G29" s="21">
        <v>60</v>
      </c>
      <c r="H29" s="22">
        <v>23620</v>
      </c>
      <c r="I29" s="23">
        <v>0.5</v>
      </c>
      <c r="J29" s="24">
        <f>K29/H29</f>
        <v>0.51606689246401349</v>
      </c>
      <c r="K29" s="22">
        <v>12189.5</v>
      </c>
      <c r="L29" s="22"/>
      <c r="M29" s="22"/>
      <c r="N29" s="22"/>
      <c r="O29" s="22"/>
      <c r="P29" s="22"/>
      <c r="Q29" s="22"/>
      <c r="R29" s="22"/>
      <c r="S29" s="22"/>
      <c r="T29" s="22"/>
      <c r="U29" s="25">
        <v>295</v>
      </c>
      <c r="V29" s="25">
        <f>H29*U29*I29/15</f>
        <v>232263.33333333334</v>
      </c>
      <c r="W29" s="25">
        <v>318.3</v>
      </c>
      <c r="X29" s="25"/>
      <c r="Y29" s="25">
        <f>G29*10</f>
        <v>600</v>
      </c>
      <c r="Z29" s="25">
        <v>6912.8</v>
      </c>
      <c r="AA29" s="25"/>
      <c r="AB29" s="25">
        <v>1770</v>
      </c>
      <c r="AC29" s="25">
        <f>G29*30</f>
        <v>1800</v>
      </c>
      <c r="AD29" s="25">
        <f>G29*3.83</f>
        <v>229.8</v>
      </c>
      <c r="AE29" s="25">
        <v>517.32000000000005</v>
      </c>
      <c r="AF29" s="25">
        <f>V29+Y29+Z29+AA29+AB29+AC29+AD29</f>
        <v>243575.93333333332</v>
      </c>
      <c r="AG29" s="25">
        <f>IFERROR((H29*W29*J29/15)-AE29,"")</f>
        <v>258143.86999999997</v>
      </c>
      <c r="AH29" s="26">
        <f>AG29-AF29</f>
        <v>14567.936666666646</v>
      </c>
    </row>
    <row r="30" spans="1:36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6">
        <f>AH29/G29</f>
        <v>242.79894444444412</v>
      </c>
      <c r="AJ30" s="6"/>
    </row>
    <row r="31" spans="1:36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5.6433401523989894E-2</v>
      </c>
      <c r="AJ31" s="6"/>
    </row>
    <row r="34" spans="1:36" x14ac:dyDescent="0.35">
      <c r="A34" s="14" t="s">
        <v>1</v>
      </c>
      <c r="B34" s="14" t="s">
        <v>2</v>
      </c>
      <c r="C34" s="14" t="s">
        <v>110</v>
      </c>
      <c r="D34" s="14" t="s">
        <v>66</v>
      </c>
      <c r="E34" s="14" t="s">
        <v>38</v>
      </c>
      <c r="F34" s="14" t="s">
        <v>137</v>
      </c>
      <c r="G34" s="14" t="s">
        <v>138</v>
      </c>
      <c r="H34" s="14" t="s">
        <v>4</v>
      </c>
      <c r="I34" s="14" t="s">
        <v>5</v>
      </c>
      <c r="J34" s="14" t="s">
        <v>6</v>
      </c>
      <c r="K34" s="14" t="s">
        <v>7</v>
      </c>
      <c r="L34" s="14" t="s">
        <v>279</v>
      </c>
      <c r="M34" s="14" t="s">
        <v>280</v>
      </c>
      <c r="N34" s="14" t="s">
        <v>281</v>
      </c>
      <c r="O34" s="14" t="s">
        <v>282</v>
      </c>
      <c r="P34" s="14" t="s">
        <v>283</v>
      </c>
      <c r="Q34" s="14" t="s">
        <v>284</v>
      </c>
      <c r="R34" s="14" t="s">
        <v>904</v>
      </c>
      <c r="S34" s="14" t="s">
        <v>285</v>
      </c>
      <c r="T34" s="14" t="s">
        <v>289</v>
      </c>
      <c r="U34" s="14" t="s">
        <v>8</v>
      </c>
      <c r="V34" s="14" t="s">
        <v>9</v>
      </c>
      <c r="W34" s="14" t="s">
        <v>10</v>
      </c>
      <c r="X34" s="14" t="s">
        <v>100</v>
      </c>
      <c r="Y34" s="14" t="s">
        <v>106</v>
      </c>
      <c r="Z34" s="14" t="s">
        <v>12</v>
      </c>
      <c r="AA34" s="14" t="s">
        <v>11</v>
      </c>
      <c r="AB34" s="14" t="s">
        <v>13</v>
      </c>
      <c r="AC34" s="14" t="s">
        <v>20</v>
      </c>
      <c r="AD34" s="14" t="s">
        <v>21</v>
      </c>
      <c r="AE34" s="14" t="s">
        <v>14</v>
      </c>
      <c r="AF34" s="14" t="s">
        <v>15</v>
      </c>
      <c r="AG34" s="14" t="s">
        <v>16</v>
      </c>
      <c r="AH34" s="15" t="s">
        <v>17</v>
      </c>
    </row>
    <row r="35" spans="1:36" x14ac:dyDescent="0.35">
      <c r="A35" s="20">
        <v>44670</v>
      </c>
      <c r="B35" s="21" t="s">
        <v>57</v>
      </c>
      <c r="C35" s="21"/>
      <c r="D35" s="21"/>
      <c r="E35" s="21"/>
      <c r="F35" s="21">
        <v>104</v>
      </c>
      <c r="H35" s="22">
        <v>60659</v>
      </c>
      <c r="I35" s="33">
        <v>0.53</v>
      </c>
      <c r="J35" s="24">
        <f>K35/H35</f>
        <v>0.51950246459717442</v>
      </c>
      <c r="K35" s="22">
        <v>31512.5</v>
      </c>
      <c r="L35" s="22"/>
      <c r="M35" s="22"/>
      <c r="N35" s="22"/>
      <c r="O35" s="22"/>
      <c r="P35" s="22"/>
      <c r="Q35" s="22"/>
      <c r="R35" s="22"/>
      <c r="S35" s="22"/>
      <c r="T35" s="22"/>
      <c r="U35" s="25">
        <v>305</v>
      </c>
      <c r="V35" s="25">
        <f>H35*U35*I35/15</f>
        <v>653701.82333333336</v>
      </c>
      <c r="W35" s="25">
        <v>324.10000000000002</v>
      </c>
      <c r="X35" s="25"/>
      <c r="Y35" s="25"/>
      <c r="Z35" s="25">
        <v>9929.6</v>
      </c>
      <c r="AA35" s="25">
        <v>0</v>
      </c>
      <c r="AB35" s="25">
        <v>3712</v>
      </c>
      <c r="AC35" s="25"/>
      <c r="AD35" s="25">
        <f>F35*3.83</f>
        <v>398.32</v>
      </c>
      <c r="AE35" s="25">
        <v>1361.76</v>
      </c>
      <c r="AF35" s="25">
        <f>V35+Y35+Z35+AA35+AB35+AC35+AD35</f>
        <v>667741.74333333329</v>
      </c>
      <c r="AG35" s="25">
        <f>IFERROR((H35*W35*J35/15)-AE35,"")</f>
        <v>679518.32333333348</v>
      </c>
      <c r="AH35" s="26">
        <f>AG35-AF35</f>
        <v>11776.580000000191</v>
      </c>
    </row>
    <row r="36" spans="1:36" x14ac:dyDescent="0.35">
      <c r="A36" s="21"/>
      <c r="B36" s="21"/>
      <c r="C36" s="21"/>
      <c r="D36" s="21"/>
      <c r="E36" s="21"/>
      <c r="F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6">
        <f>AH35/F35</f>
        <v>113.23634615384799</v>
      </c>
      <c r="AJ36" s="6"/>
    </row>
    <row r="37" spans="1:36" x14ac:dyDescent="0.35">
      <c r="A37" s="21"/>
      <c r="B37" s="21"/>
      <c r="C37" s="21"/>
      <c r="D37" s="21"/>
      <c r="E37" s="21"/>
      <c r="F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7">
        <f>IFERROR(AH35/AG35,"")</f>
        <v>1.733077622135476E-2</v>
      </c>
      <c r="AJ37" s="6"/>
    </row>
    <row r="40" spans="1:36" x14ac:dyDescent="0.35">
      <c r="A40" s="14" t="s">
        <v>1</v>
      </c>
      <c r="B40" s="14" t="s">
        <v>2</v>
      </c>
      <c r="C40" s="14" t="s">
        <v>110</v>
      </c>
      <c r="D40" s="14" t="s">
        <v>66</v>
      </c>
      <c r="E40" s="14" t="s">
        <v>38</v>
      </c>
      <c r="F40" s="14" t="s">
        <v>137</v>
      </c>
      <c r="G40" s="14" t="s">
        <v>138</v>
      </c>
      <c r="H40" s="14" t="s">
        <v>4</v>
      </c>
      <c r="I40" s="14" t="s">
        <v>5</v>
      </c>
      <c r="J40" s="14" t="s">
        <v>6</v>
      </c>
      <c r="K40" s="14" t="s">
        <v>7</v>
      </c>
      <c r="L40" s="14" t="s">
        <v>279</v>
      </c>
      <c r="M40" s="14" t="s">
        <v>280</v>
      </c>
      <c r="N40" s="14" t="s">
        <v>281</v>
      </c>
      <c r="O40" s="14" t="s">
        <v>282</v>
      </c>
      <c r="P40" s="14" t="s">
        <v>283</v>
      </c>
      <c r="Q40" s="14" t="s">
        <v>284</v>
      </c>
      <c r="R40" s="14" t="s">
        <v>904</v>
      </c>
      <c r="S40" s="14" t="s">
        <v>285</v>
      </c>
      <c r="T40" s="14" t="s">
        <v>289</v>
      </c>
      <c r="U40" s="14" t="s">
        <v>8</v>
      </c>
      <c r="V40" s="14" t="s">
        <v>9</v>
      </c>
      <c r="W40" s="14" t="s">
        <v>10</v>
      </c>
      <c r="X40" s="14" t="s">
        <v>100</v>
      </c>
      <c r="Y40" s="14" t="s">
        <v>106</v>
      </c>
      <c r="Z40" s="14" t="s">
        <v>12</v>
      </c>
      <c r="AA40" s="14" t="s">
        <v>11</v>
      </c>
      <c r="AB40" s="14" t="s">
        <v>13</v>
      </c>
      <c r="AC40" s="14" t="s">
        <v>20</v>
      </c>
      <c r="AD40" s="14" t="s">
        <v>21</v>
      </c>
      <c r="AE40" s="14" t="s">
        <v>14</v>
      </c>
      <c r="AF40" s="14" t="s">
        <v>15</v>
      </c>
      <c r="AG40" s="14" t="s">
        <v>16</v>
      </c>
      <c r="AH40" s="15" t="s">
        <v>17</v>
      </c>
    </row>
    <row r="41" spans="1:36" x14ac:dyDescent="0.35">
      <c r="A41" s="20">
        <v>44670</v>
      </c>
      <c r="B41" s="21" t="s">
        <v>58</v>
      </c>
      <c r="C41" s="21"/>
      <c r="D41" s="21"/>
      <c r="E41" s="21"/>
      <c r="F41" s="21">
        <v>49</v>
      </c>
      <c r="H41" s="22">
        <v>28680</v>
      </c>
      <c r="I41" s="33">
        <v>0.52</v>
      </c>
      <c r="J41" s="24">
        <f>K41/H41</f>
        <v>0.54100453277545324</v>
      </c>
      <c r="K41" s="22">
        <v>15516.01</v>
      </c>
      <c r="L41" s="22"/>
      <c r="M41" s="22"/>
      <c r="N41" s="22"/>
      <c r="O41" s="22"/>
      <c r="P41" s="22"/>
      <c r="Q41" s="22"/>
      <c r="R41" s="22"/>
      <c r="S41" s="22"/>
      <c r="T41" s="22"/>
      <c r="U41" s="25">
        <v>310</v>
      </c>
      <c r="V41" s="25">
        <f>H41*U41*I41/15</f>
        <v>308214.40000000002</v>
      </c>
      <c r="W41" s="25">
        <v>342.64</v>
      </c>
      <c r="X41" s="25"/>
      <c r="Y41" s="25"/>
      <c r="Z41" s="25">
        <v>11054</v>
      </c>
      <c r="AA41" s="25">
        <v>0</v>
      </c>
      <c r="AB41" s="25">
        <v>1166.2</v>
      </c>
      <c r="AC41" s="25"/>
      <c r="AD41" s="25">
        <f>F41*3.83</f>
        <v>187.67000000000002</v>
      </c>
      <c r="AE41" s="25">
        <v>708.85</v>
      </c>
      <c r="AF41" s="25">
        <f>V41+Y41+Z41+AA41+AB41+AC41+AD41</f>
        <v>320622.27</v>
      </c>
      <c r="AG41" s="25">
        <f>IFERROR((H41*W41*J41/15)-AE41,"")</f>
        <v>353718.19442666665</v>
      </c>
      <c r="AH41" s="26">
        <f>AG41-AF41</f>
        <v>33095.924426666636</v>
      </c>
      <c r="AJ41" s="6"/>
    </row>
    <row r="42" spans="1:36" x14ac:dyDescent="0.35">
      <c r="A42" s="21"/>
      <c r="B42" s="21"/>
      <c r="C42" s="21"/>
      <c r="D42" s="21"/>
      <c r="E42" s="21"/>
      <c r="F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 t="s">
        <v>63</v>
      </c>
      <c r="AF42" s="21"/>
      <c r="AG42" s="21"/>
      <c r="AH42" s="26">
        <f>AH41/F41</f>
        <v>675.42702911564561</v>
      </c>
      <c r="AJ42" s="6"/>
    </row>
    <row r="43" spans="1:36" x14ac:dyDescent="0.35">
      <c r="A43" s="21"/>
      <c r="B43" s="21"/>
      <c r="C43" s="21"/>
      <c r="D43" s="21"/>
      <c r="E43" s="21"/>
      <c r="F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7">
        <f>IFERROR(AH41/AG41,"")</f>
        <v>9.3565796015415675E-2</v>
      </c>
    </row>
    <row r="46" spans="1:36" x14ac:dyDescent="0.35">
      <c r="A46" s="14" t="s">
        <v>1</v>
      </c>
      <c r="B46" s="14" t="s">
        <v>2</v>
      </c>
      <c r="C46" s="14" t="s">
        <v>110</v>
      </c>
      <c r="D46" s="14" t="s">
        <v>66</v>
      </c>
      <c r="E46" s="14" t="s">
        <v>38</v>
      </c>
      <c r="F46" s="14" t="s">
        <v>137</v>
      </c>
      <c r="G46" s="14" t="s">
        <v>138</v>
      </c>
      <c r="H46" s="14" t="s">
        <v>4</v>
      </c>
      <c r="I46" s="14" t="s">
        <v>5</v>
      </c>
      <c r="J46" s="14" t="s">
        <v>6</v>
      </c>
      <c r="K46" s="14" t="s">
        <v>7</v>
      </c>
      <c r="L46" s="14" t="s">
        <v>279</v>
      </c>
      <c r="M46" s="14" t="s">
        <v>280</v>
      </c>
      <c r="N46" s="14" t="s">
        <v>281</v>
      </c>
      <c r="O46" s="14" t="s">
        <v>282</v>
      </c>
      <c r="P46" s="14" t="s">
        <v>283</v>
      </c>
      <c r="Q46" s="14" t="s">
        <v>284</v>
      </c>
      <c r="R46" s="14" t="s">
        <v>904</v>
      </c>
      <c r="S46" s="14" t="s">
        <v>285</v>
      </c>
      <c r="T46" s="14" t="s">
        <v>289</v>
      </c>
      <c r="U46" s="14" t="s">
        <v>8</v>
      </c>
      <c r="V46" s="14" t="s">
        <v>9</v>
      </c>
      <c r="W46" s="14" t="s">
        <v>10</v>
      </c>
      <c r="X46" s="14" t="s">
        <v>100</v>
      </c>
      <c r="Y46" s="14" t="s">
        <v>106</v>
      </c>
      <c r="Z46" s="14" t="s">
        <v>12</v>
      </c>
      <c r="AA46" s="14" t="s">
        <v>11</v>
      </c>
      <c r="AB46" s="14" t="s">
        <v>13</v>
      </c>
      <c r="AC46" s="14" t="s">
        <v>20</v>
      </c>
      <c r="AD46" s="14" t="s">
        <v>21</v>
      </c>
      <c r="AE46" s="14" t="s">
        <v>14</v>
      </c>
      <c r="AF46" s="14" t="s">
        <v>15</v>
      </c>
      <c r="AG46" s="14" t="s">
        <v>16</v>
      </c>
      <c r="AH46" s="15" t="s">
        <v>17</v>
      </c>
    </row>
    <row r="47" spans="1:36" x14ac:dyDescent="0.35">
      <c r="A47" s="20">
        <v>44670</v>
      </c>
      <c r="B47" s="21" t="s">
        <v>58</v>
      </c>
      <c r="C47" s="21"/>
      <c r="D47" s="21"/>
      <c r="E47" s="21"/>
      <c r="F47" s="21">
        <v>8</v>
      </c>
      <c r="H47" s="22">
        <v>4950</v>
      </c>
      <c r="I47" s="33">
        <v>0.52</v>
      </c>
      <c r="J47" s="24">
        <f>K47/H47</f>
        <v>0.51176161616161608</v>
      </c>
      <c r="K47" s="22">
        <v>2533.2199999999998</v>
      </c>
      <c r="L47" s="22"/>
      <c r="M47" s="22"/>
      <c r="N47" s="22"/>
      <c r="O47" s="22"/>
      <c r="P47" s="22"/>
      <c r="Q47" s="22"/>
      <c r="R47" s="22"/>
      <c r="S47" s="22"/>
      <c r="T47" s="22"/>
      <c r="U47" s="25">
        <v>295</v>
      </c>
      <c r="V47" s="25">
        <f>H47*U47*I47/15</f>
        <v>50622</v>
      </c>
      <c r="W47" s="25">
        <v>342.64</v>
      </c>
      <c r="X47" s="25"/>
      <c r="Y47" s="25"/>
      <c r="Z47" s="25"/>
      <c r="AA47" s="25">
        <v>0</v>
      </c>
      <c r="AB47" s="25">
        <v>190.4</v>
      </c>
      <c r="AC47" s="25"/>
      <c r="AD47" s="25">
        <f>F47*3.83</f>
        <v>30.64</v>
      </c>
      <c r="AE47" s="25">
        <v>115.73</v>
      </c>
      <c r="AF47" s="25">
        <f>V47+Y47+Z47+AA47+AB47+AC47+AD47</f>
        <v>50843.040000000001</v>
      </c>
      <c r="AG47" s="25">
        <f>IFERROR((H47*W47*J47/15)-AE47,"")</f>
        <v>57749.770053333326</v>
      </c>
      <c r="AH47" s="26">
        <f>AG47-AF47</f>
        <v>6906.7300533333255</v>
      </c>
      <c r="AJ47" s="6"/>
    </row>
    <row r="48" spans="1:36" x14ac:dyDescent="0.35">
      <c r="A48" s="21"/>
      <c r="B48" s="21"/>
      <c r="C48" s="21"/>
      <c r="D48" s="21"/>
      <c r="E48" s="21"/>
      <c r="F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6">
        <f>AH47/F47</f>
        <v>863.34125666666569</v>
      </c>
      <c r="AJ48" s="6"/>
    </row>
    <row r="49" spans="1:36" x14ac:dyDescent="0.35">
      <c r="A49" s="21"/>
      <c r="B49" s="21"/>
      <c r="C49" s="21"/>
      <c r="D49" s="21"/>
      <c r="E49" s="21"/>
      <c r="F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7">
        <f>IFERROR(AH47/AG47,"")</f>
        <v>0.11959753340930693</v>
      </c>
    </row>
    <row r="52" spans="1:36" x14ac:dyDescent="0.35">
      <c r="A52" s="14" t="s">
        <v>1</v>
      </c>
      <c r="B52" s="14" t="s">
        <v>2</v>
      </c>
      <c r="C52" s="14" t="s">
        <v>110</v>
      </c>
      <c r="D52" s="14" t="s">
        <v>66</v>
      </c>
      <c r="E52" s="14" t="s">
        <v>38</v>
      </c>
      <c r="F52" s="14" t="s">
        <v>137</v>
      </c>
      <c r="G52" s="14" t="s">
        <v>138</v>
      </c>
      <c r="H52" s="14" t="s">
        <v>4</v>
      </c>
      <c r="I52" s="14" t="s">
        <v>5</v>
      </c>
      <c r="J52" s="14" t="s">
        <v>6</v>
      </c>
      <c r="K52" s="14" t="s">
        <v>7</v>
      </c>
      <c r="L52" s="14" t="s">
        <v>279</v>
      </c>
      <c r="M52" s="14" t="s">
        <v>280</v>
      </c>
      <c r="N52" s="14" t="s">
        <v>281</v>
      </c>
      <c r="O52" s="14" t="s">
        <v>282</v>
      </c>
      <c r="P52" s="14" t="s">
        <v>283</v>
      </c>
      <c r="Q52" s="14" t="s">
        <v>284</v>
      </c>
      <c r="R52" s="14" t="s">
        <v>904</v>
      </c>
      <c r="S52" s="14" t="s">
        <v>285</v>
      </c>
      <c r="T52" s="14" t="s">
        <v>289</v>
      </c>
      <c r="U52" s="14" t="s">
        <v>8</v>
      </c>
      <c r="V52" s="14" t="s">
        <v>9</v>
      </c>
      <c r="W52" s="14" t="s">
        <v>10</v>
      </c>
      <c r="X52" s="14" t="s">
        <v>100</v>
      </c>
      <c r="Y52" s="14" t="s">
        <v>106</v>
      </c>
      <c r="Z52" s="14" t="s">
        <v>12</v>
      </c>
      <c r="AA52" s="14" t="s">
        <v>11</v>
      </c>
      <c r="AB52" s="14" t="s">
        <v>13</v>
      </c>
      <c r="AC52" s="14" t="s">
        <v>20</v>
      </c>
      <c r="AD52" s="14" t="s">
        <v>21</v>
      </c>
      <c r="AE52" s="14" t="s">
        <v>14</v>
      </c>
      <c r="AF52" s="14" t="s">
        <v>15</v>
      </c>
      <c r="AG52" s="14" t="s">
        <v>16</v>
      </c>
      <c r="AH52" s="15" t="s">
        <v>17</v>
      </c>
    </row>
    <row r="53" spans="1:36" x14ac:dyDescent="0.35">
      <c r="A53" s="20">
        <v>44670</v>
      </c>
      <c r="B53" s="21" t="s">
        <v>59</v>
      </c>
      <c r="C53" s="21"/>
      <c r="D53" s="21"/>
      <c r="E53" s="21"/>
      <c r="F53" s="21">
        <v>74</v>
      </c>
      <c r="H53" s="22">
        <v>44095</v>
      </c>
      <c r="I53" s="33">
        <v>0.52</v>
      </c>
      <c r="J53" s="24">
        <f>K53/H53</f>
        <v>0.53139811770041956</v>
      </c>
      <c r="K53" s="22">
        <v>23432</v>
      </c>
      <c r="L53" s="22"/>
      <c r="M53" s="22"/>
      <c r="N53" s="22"/>
      <c r="O53" s="22"/>
      <c r="P53" s="22"/>
      <c r="Q53" s="22"/>
      <c r="R53" s="22"/>
      <c r="S53" s="22"/>
      <c r="T53" s="22"/>
      <c r="U53" s="25">
        <v>310</v>
      </c>
      <c r="V53" s="25">
        <f>H53*U53*I53/15</f>
        <v>473874.26666666666</v>
      </c>
      <c r="W53" s="25">
        <v>342.64</v>
      </c>
      <c r="X53" s="25"/>
      <c r="Y53" s="25"/>
      <c r="Z53" s="25">
        <v>17808.37</v>
      </c>
      <c r="AA53" s="25">
        <v>0</v>
      </c>
      <c r="AB53" s="25">
        <v>1761.2</v>
      </c>
      <c r="AC53" s="25"/>
      <c r="AD53" s="25">
        <f>F53*3.83</f>
        <v>283.42</v>
      </c>
      <c r="AE53" s="25">
        <v>1070.5</v>
      </c>
      <c r="AF53" s="25">
        <f>V53+Y53+Z53+AA53+AB53+AC53+AD53</f>
        <v>493727.25666666665</v>
      </c>
      <c r="AG53" s="25">
        <f>IFERROR((H53*W53*J53/15)-AE53,"")</f>
        <v>534178.86533333326</v>
      </c>
      <c r="AH53" s="26">
        <f>AG53-AF53</f>
        <v>40451.608666666609</v>
      </c>
    </row>
    <row r="54" spans="1:36" x14ac:dyDescent="0.35">
      <c r="A54" s="21"/>
      <c r="B54" s="21"/>
      <c r="C54" s="21"/>
      <c r="D54" s="21"/>
      <c r="E54" s="21"/>
      <c r="F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6">
        <f>AH53/F53</f>
        <v>546.64336036035957</v>
      </c>
      <c r="AJ54" s="6"/>
    </row>
    <row r="55" spans="1:36" x14ac:dyDescent="0.35">
      <c r="A55" s="21"/>
      <c r="B55" s="21"/>
      <c r="C55" s="21"/>
      <c r="D55" s="21"/>
      <c r="E55" s="21"/>
      <c r="F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7">
        <f>IFERROR(AH53/AG53,"")</f>
        <v>7.5726711204540775E-2</v>
      </c>
      <c r="AJ55" s="6"/>
    </row>
    <row r="58" spans="1:36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11</v>
      </c>
      <c r="AB58" s="14" t="s">
        <v>13</v>
      </c>
      <c r="AC58" s="14" t="s">
        <v>20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</row>
    <row r="59" spans="1:36" x14ac:dyDescent="0.35">
      <c r="A59" s="20">
        <v>44670</v>
      </c>
      <c r="B59" s="21" t="s">
        <v>59</v>
      </c>
      <c r="C59" s="21"/>
      <c r="D59" s="21"/>
      <c r="E59" s="21"/>
      <c r="F59" s="21">
        <v>19</v>
      </c>
      <c r="H59" s="22">
        <v>12640</v>
      </c>
      <c r="I59" s="33">
        <v>0.52</v>
      </c>
      <c r="J59" s="24">
        <f>K59/H59</f>
        <v>0.47582674050632912</v>
      </c>
      <c r="K59" s="22">
        <v>6014.45</v>
      </c>
      <c r="L59" s="22"/>
      <c r="M59" s="22"/>
      <c r="N59" s="22"/>
      <c r="O59" s="22"/>
      <c r="P59" s="22"/>
      <c r="Q59" s="22"/>
      <c r="R59" s="22"/>
      <c r="S59" s="14"/>
      <c r="T59" s="14"/>
      <c r="U59" s="25">
        <v>295</v>
      </c>
      <c r="V59" s="25">
        <f>H59*U59*I59/15</f>
        <v>129265.06666666667</v>
      </c>
      <c r="W59" s="25">
        <v>342.64</v>
      </c>
      <c r="X59" s="25"/>
      <c r="Y59" s="25"/>
      <c r="Z59" s="25">
        <v>4572.42</v>
      </c>
      <c r="AA59" s="25">
        <v>0</v>
      </c>
      <c r="AB59" s="25">
        <v>452.2</v>
      </c>
      <c r="AC59" s="25"/>
      <c r="AD59" s="25">
        <f>F59*3.83</f>
        <v>72.77</v>
      </c>
      <c r="AE59" s="25">
        <v>274.86</v>
      </c>
      <c r="AF59" s="25">
        <f>V59+Y59+Z59+AA59+AB59+AC59+AD59</f>
        <v>134362.45666666667</v>
      </c>
      <c r="AG59" s="25">
        <f>IFERROR((H59*W59*J59/15)-AE59,"")</f>
        <v>137111.21653333333</v>
      </c>
      <c r="AH59" s="26">
        <f>AG59-AF59</f>
        <v>2748.7598666666599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6">
        <f>AH59/F59</f>
        <v>144.67157192982421</v>
      </c>
      <c r="AJ60" s="6"/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2.0047665947143023E-2</v>
      </c>
      <c r="AJ61" s="6"/>
    </row>
    <row r="64" spans="1:36" x14ac:dyDescent="0.35">
      <c r="A64" s="14" t="s">
        <v>1</v>
      </c>
      <c r="B64" s="14" t="s">
        <v>2</v>
      </c>
      <c r="C64" s="14" t="s">
        <v>110</v>
      </c>
      <c r="D64" s="14" t="s">
        <v>66</v>
      </c>
      <c r="E64" s="14" t="s">
        <v>32</v>
      </c>
      <c r="F64" s="14" t="s">
        <v>137</v>
      </c>
      <c r="G64" s="14" t="s">
        <v>138</v>
      </c>
      <c r="H64" s="14" t="s">
        <v>4</v>
      </c>
      <c r="I64" s="14" t="s">
        <v>5</v>
      </c>
      <c r="J64" s="14" t="s">
        <v>6</v>
      </c>
      <c r="K64" s="14" t="s">
        <v>7</v>
      </c>
      <c r="L64" s="14" t="s">
        <v>279</v>
      </c>
      <c r="M64" s="14" t="s">
        <v>280</v>
      </c>
      <c r="N64" s="14" t="s">
        <v>281</v>
      </c>
      <c r="O64" s="14" t="s">
        <v>282</v>
      </c>
      <c r="P64" s="14" t="s">
        <v>283</v>
      </c>
      <c r="Q64" s="14" t="s">
        <v>284</v>
      </c>
      <c r="R64" s="14" t="s">
        <v>904</v>
      </c>
      <c r="S64" s="14" t="s">
        <v>285</v>
      </c>
      <c r="T64" s="14" t="s">
        <v>289</v>
      </c>
      <c r="U64" s="14" t="s">
        <v>8</v>
      </c>
      <c r="V64" s="14" t="s">
        <v>9</v>
      </c>
      <c r="W64" s="14" t="s">
        <v>10</v>
      </c>
      <c r="X64" s="14" t="s">
        <v>100</v>
      </c>
      <c r="Y64" s="14" t="s">
        <v>106</v>
      </c>
      <c r="Z64" s="14" t="s">
        <v>12</v>
      </c>
      <c r="AA64" s="14" t="s">
        <v>19</v>
      </c>
      <c r="AB64" s="14" t="s">
        <v>13</v>
      </c>
      <c r="AC64" s="14" t="s">
        <v>20</v>
      </c>
      <c r="AD64" s="14" t="s">
        <v>21</v>
      </c>
      <c r="AE64" s="14" t="s">
        <v>14</v>
      </c>
      <c r="AF64" s="14" t="s">
        <v>15</v>
      </c>
      <c r="AG64" s="14" t="s">
        <v>16</v>
      </c>
      <c r="AH64" s="15" t="s">
        <v>17</v>
      </c>
    </row>
    <row r="65" spans="1:38" x14ac:dyDescent="0.35">
      <c r="A65" s="20">
        <v>44671</v>
      </c>
      <c r="B65" s="21" t="s">
        <v>26</v>
      </c>
      <c r="C65" s="21"/>
      <c r="D65" s="21"/>
      <c r="E65" s="21"/>
      <c r="F65" s="21"/>
      <c r="G65" s="21">
        <v>59</v>
      </c>
      <c r="H65" s="22">
        <v>22940</v>
      </c>
      <c r="I65" s="23">
        <v>0.5</v>
      </c>
      <c r="J65" s="24">
        <f>K65/H65</f>
        <v>0.50985178727114211</v>
      </c>
      <c r="K65" s="22">
        <v>11696</v>
      </c>
      <c r="L65" s="22"/>
      <c r="M65" s="22"/>
      <c r="N65" s="22"/>
      <c r="O65" s="22"/>
      <c r="P65" s="22"/>
      <c r="Q65" s="22"/>
      <c r="R65" s="22"/>
      <c r="S65" s="22"/>
      <c r="T65" s="22"/>
      <c r="U65" s="25">
        <v>295</v>
      </c>
      <c r="V65" s="25">
        <f>H65*U65*I65/15</f>
        <v>225576.66666666666</v>
      </c>
      <c r="W65" s="25">
        <v>338.92</v>
      </c>
      <c r="X65" s="25"/>
      <c r="Y65" s="25">
        <f>G65*7</f>
        <v>413</v>
      </c>
      <c r="Z65" s="25">
        <v>6912.8</v>
      </c>
      <c r="AA65" s="25">
        <f>G65*80</f>
        <v>4720</v>
      </c>
      <c r="AB65" s="25">
        <v>1740.5</v>
      </c>
      <c r="AC65" s="25">
        <f>G65*30</f>
        <v>1770</v>
      </c>
      <c r="AD65" s="25">
        <f>G65*3.83</f>
        <v>225.97</v>
      </c>
      <c r="AE65" s="25">
        <v>528.54</v>
      </c>
      <c r="AF65" s="25">
        <f>V65+Y65+Z65+AA65+AB65+AC65+AD65</f>
        <v>241358.93666666665</v>
      </c>
      <c r="AG65" s="25">
        <f>IFERROR((H65*W65*J65/15)-AE65,"")</f>
        <v>263738.68133333337</v>
      </c>
      <c r="AH65" s="26">
        <f>AG65-AF65</f>
        <v>22379.744666666724</v>
      </c>
    </row>
    <row r="66" spans="1:38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6">
        <f>AH65/G65</f>
        <v>379.31770621469025</v>
      </c>
      <c r="AJ66" s="6"/>
    </row>
    <row r="67" spans="1:38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7">
        <f>IFERROR(AH65/AG65,"")</f>
        <v>8.4855754011985335E-2</v>
      </c>
      <c r="AJ67" s="6"/>
    </row>
    <row r="70" spans="1:38" x14ac:dyDescent="0.35">
      <c r="A70" s="14" t="s">
        <v>1</v>
      </c>
      <c r="B70" s="14" t="s">
        <v>2</v>
      </c>
      <c r="C70" s="14" t="s">
        <v>110</v>
      </c>
      <c r="D70" s="14" t="s">
        <v>66</v>
      </c>
      <c r="E70" s="14" t="s">
        <v>32</v>
      </c>
      <c r="F70" s="14" t="s">
        <v>137</v>
      </c>
      <c r="G70" s="14" t="s">
        <v>138</v>
      </c>
      <c r="H70" s="14" t="s">
        <v>4</v>
      </c>
      <c r="I70" s="14" t="s">
        <v>5</v>
      </c>
      <c r="J70" s="14" t="s">
        <v>6</v>
      </c>
      <c r="K70" s="14" t="s">
        <v>7</v>
      </c>
      <c r="L70" s="14" t="s">
        <v>279</v>
      </c>
      <c r="M70" s="14" t="s">
        <v>280</v>
      </c>
      <c r="N70" s="14" t="s">
        <v>281</v>
      </c>
      <c r="O70" s="14" t="s">
        <v>282</v>
      </c>
      <c r="P70" s="14" t="s">
        <v>283</v>
      </c>
      <c r="Q70" s="14" t="s">
        <v>284</v>
      </c>
      <c r="R70" s="14" t="s">
        <v>904</v>
      </c>
      <c r="S70" s="14" t="s">
        <v>285</v>
      </c>
      <c r="T70" s="14" t="s">
        <v>289</v>
      </c>
      <c r="U70" s="14" t="s">
        <v>8</v>
      </c>
      <c r="V70" s="14" t="s">
        <v>9</v>
      </c>
      <c r="W70" s="14" t="s">
        <v>10</v>
      </c>
      <c r="X70" s="14" t="s">
        <v>100</v>
      </c>
      <c r="Y70" s="14" t="s">
        <v>106</v>
      </c>
      <c r="Z70" s="14" t="s">
        <v>12</v>
      </c>
      <c r="AA70" s="14" t="s">
        <v>19</v>
      </c>
      <c r="AB70" s="14" t="s">
        <v>13</v>
      </c>
      <c r="AC70" s="14" t="s">
        <v>20</v>
      </c>
      <c r="AD70" s="14" t="s">
        <v>21</v>
      </c>
      <c r="AE70" s="14" t="s">
        <v>14</v>
      </c>
      <c r="AF70" s="14" t="s">
        <v>15</v>
      </c>
      <c r="AG70" s="14" t="s">
        <v>16</v>
      </c>
      <c r="AH70" s="15" t="s">
        <v>17</v>
      </c>
    </row>
    <row r="71" spans="1:38" x14ac:dyDescent="0.35">
      <c r="A71" s="20">
        <v>44673</v>
      </c>
      <c r="B71" s="21" t="s">
        <v>60</v>
      </c>
      <c r="C71" s="21"/>
      <c r="D71" s="21"/>
      <c r="E71" s="21"/>
      <c r="F71" s="21"/>
      <c r="G71" s="21">
        <v>95</v>
      </c>
      <c r="H71" s="22">
        <v>38320</v>
      </c>
      <c r="I71" s="23">
        <v>0.5</v>
      </c>
      <c r="J71" s="24">
        <f>K71/H71</f>
        <v>0.48537082463465553</v>
      </c>
      <c r="K71" s="22">
        <v>18599.41</v>
      </c>
      <c r="L71" s="22"/>
      <c r="M71" s="22"/>
      <c r="N71" s="22"/>
      <c r="O71" s="22"/>
      <c r="P71" s="22"/>
      <c r="Q71" s="22"/>
      <c r="R71" s="22"/>
      <c r="S71" s="22"/>
      <c r="T71" s="22"/>
      <c r="U71" s="25">
        <v>290</v>
      </c>
      <c r="V71" s="25">
        <f>H71*U71*I71/15</f>
        <v>370426.66666666669</v>
      </c>
      <c r="W71" s="25">
        <v>337.92</v>
      </c>
      <c r="X71" s="25"/>
      <c r="Y71" s="25">
        <f>G71*7</f>
        <v>665</v>
      </c>
      <c r="Z71" s="25">
        <v>12344.93</v>
      </c>
      <c r="AA71" s="25">
        <f>G71*80</f>
        <v>7600</v>
      </c>
      <c r="AB71" s="25">
        <v>2755</v>
      </c>
      <c r="AC71" s="25">
        <f>G71*30</f>
        <v>2850</v>
      </c>
      <c r="AD71" s="25">
        <f>G71*3.83</f>
        <v>363.85</v>
      </c>
      <c r="AE71" s="25">
        <v>838.01</v>
      </c>
      <c r="AF71" s="25">
        <f>V71+Y71+Z71+AA71+AB71+AC71+AD71</f>
        <v>397005.44666666666</v>
      </c>
      <c r="AG71" s="25">
        <f>IFERROR((H71*W71*J71/15)-AE71,"")</f>
        <v>418169.49848000001</v>
      </c>
      <c r="AH71" s="26">
        <f>AG71-AF71</f>
        <v>21164.051813333353</v>
      </c>
    </row>
    <row r="72" spans="1:38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6">
        <f>AH71/G71</f>
        <v>222.77949277193002</v>
      </c>
      <c r="AJ72" s="6"/>
    </row>
    <row r="73" spans="1:38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7">
        <f>IFERROR(AH71/AG71,"")</f>
        <v>5.061118013212907E-2</v>
      </c>
      <c r="AJ73" s="6"/>
    </row>
    <row r="76" spans="1:38" x14ac:dyDescent="0.35">
      <c r="A76" s="14" t="s">
        <v>1</v>
      </c>
      <c r="B76" s="14" t="s">
        <v>2</v>
      </c>
      <c r="C76" s="14" t="s">
        <v>110</v>
      </c>
      <c r="D76" s="14" t="s">
        <v>66</v>
      </c>
      <c r="E76" s="14" t="s">
        <v>32</v>
      </c>
      <c r="F76" s="14" t="s">
        <v>137</v>
      </c>
      <c r="G76" s="14" t="s">
        <v>138</v>
      </c>
      <c r="H76" s="14" t="s">
        <v>4</v>
      </c>
      <c r="I76" s="14" t="s">
        <v>5</v>
      </c>
      <c r="J76" s="14" t="s">
        <v>6</v>
      </c>
      <c r="K76" s="14" t="s">
        <v>7</v>
      </c>
      <c r="L76" s="14" t="s">
        <v>279</v>
      </c>
      <c r="M76" s="14" t="s">
        <v>280</v>
      </c>
      <c r="N76" s="14" t="s">
        <v>281</v>
      </c>
      <c r="O76" s="14" t="s">
        <v>282</v>
      </c>
      <c r="P76" s="14" t="s">
        <v>283</v>
      </c>
      <c r="Q76" s="14" t="s">
        <v>284</v>
      </c>
      <c r="R76" s="14" t="s">
        <v>904</v>
      </c>
      <c r="S76" s="14" t="s">
        <v>285</v>
      </c>
      <c r="T76" s="14" t="s">
        <v>289</v>
      </c>
      <c r="U76" s="14" t="s">
        <v>8</v>
      </c>
      <c r="V76" s="14" t="s">
        <v>9</v>
      </c>
      <c r="W76" s="14" t="s">
        <v>10</v>
      </c>
      <c r="X76" s="14" t="s">
        <v>100</v>
      </c>
      <c r="Y76" s="14" t="s">
        <v>106</v>
      </c>
      <c r="Z76" s="14" t="s">
        <v>12</v>
      </c>
      <c r="AA76" s="14" t="s">
        <v>19</v>
      </c>
      <c r="AB76" s="14" t="s">
        <v>13</v>
      </c>
      <c r="AC76" s="14" t="s">
        <v>20</v>
      </c>
      <c r="AD76" s="14" t="s">
        <v>21</v>
      </c>
      <c r="AE76" s="14" t="s">
        <v>14</v>
      </c>
      <c r="AF76" s="14" t="s">
        <v>15</v>
      </c>
      <c r="AG76" s="14" t="s">
        <v>16</v>
      </c>
      <c r="AH76" s="15" t="s">
        <v>17</v>
      </c>
    </row>
    <row r="77" spans="1:38" x14ac:dyDescent="0.35">
      <c r="A77" s="20">
        <v>44673</v>
      </c>
      <c r="B77" s="21" t="s">
        <v>61</v>
      </c>
      <c r="C77" s="21"/>
      <c r="D77" s="21"/>
      <c r="E77" s="21"/>
      <c r="F77" s="21"/>
      <c r="G77" s="21">
        <v>25</v>
      </c>
      <c r="H77" s="22">
        <v>9600</v>
      </c>
      <c r="I77" s="23">
        <v>0.5</v>
      </c>
      <c r="J77" s="24">
        <f>K77/H77</f>
        <v>0.50985208333333332</v>
      </c>
      <c r="K77" s="22">
        <v>4894.58</v>
      </c>
      <c r="L77" s="22"/>
      <c r="M77" s="22"/>
      <c r="N77" s="22"/>
      <c r="O77" s="22"/>
      <c r="P77" s="22"/>
      <c r="Q77" s="22"/>
      <c r="R77" s="22"/>
      <c r="S77" s="22"/>
      <c r="T77" s="22"/>
      <c r="U77" s="25">
        <v>290</v>
      </c>
      <c r="V77" s="25">
        <f>H77*U77*I77/15</f>
        <v>92800</v>
      </c>
      <c r="W77" s="25">
        <v>337.92</v>
      </c>
      <c r="X77" s="25"/>
      <c r="Y77" s="25">
        <f>G77*10</f>
        <v>250</v>
      </c>
      <c r="Z77" s="25">
        <v>3248.66</v>
      </c>
      <c r="AA77" s="25">
        <f>G77*80</f>
        <v>2000</v>
      </c>
      <c r="AB77" s="25">
        <v>725</v>
      </c>
      <c r="AC77" s="25">
        <f>G77*30</f>
        <v>750</v>
      </c>
      <c r="AD77" s="25">
        <f>G77*3.83</f>
        <v>95.75</v>
      </c>
      <c r="AE77" s="25">
        <v>220.5</v>
      </c>
      <c r="AF77" s="25">
        <f>V77+Y77+Z77+AA77+AB77+AC77+AD77</f>
        <v>99869.41</v>
      </c>
      <c r="AG77" s="25">
        <f>IFERROR((H77*W77*J77/15)-AE77,"")</f>
        <v>110044.59823999999</v>
      </c>
      <c r="AH77" s="26">
        <f>AG77-AF77</f>
        <v>10175.188239999989</v>
      </c>
      <c r="AJ77" s="6"/>
    </row>
    <row r="78" spans="1:38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6">
        <f>AH77/G77</f>
        <v>407.00752959999954</v>
      </c>
      <c r="AJ78" s="49">
        <f>G4+G11+F17+F23+G29+F35+F41+F47+F53+F59+G65+G71+G77</f>
        <v>933</v>
      </c>
      <c r="AK78" s="50" t="s">
        <v>22</v>
      </c>
    </row>
    <row r="79" spans="1:38" ht="15" thickBot="1" x14ac:dyDescent="0.4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7">
        <f>IFERROR(AH77/AG77,"")</f>
        <v>9.246422271276393E-2</v>
      </c>
      <c r="AJ79" s="11">
        <f>AH4+AH11+AH17+AH23+AH29+AH35+AH41+AH47+AH53+AH59+AH65+AH71+AH77</f>
        <v>395316.99606666691</v>
      </c>
      <c r="AK79" s="11">
        <f>AJ79*30%</f>
        <v>118595.09882000007</v>
      </c>
      <c r="AL79" t="s">
        <v>72</v>
      </c>
    </row>
    <row r="80" spans="1:38" ht="16" thickBot="1" x14ac:dyDescent="0.4">
      <c r="A80" s="377" t="s">
        <v>62</v>
      </c>
      <c r="B80" s="378"/>
      <c r="C80" s="378"/>
      <c r="D80" s="378"/>
      <c r="E80" s="378"/>
      <c r="F80" s="378"/>
      <c r="G80" s="378"/>
      <c r="H80" s="378"/>
      <c r="I80" s="378"/>
      <c r="J80" s="378"/>
      <c r="K80" s="378"/>
      <c r="L80" s="46"/>
      <c r="M80" s="46"/>
      <c r="N80" s="46"/>
      <c r="O80" s="46"/>
      <c r="P80" s="46"/>
      <c r="Q80" s="46"/>
      <c r="R80" s="46"/>
      <c r="S80" s="46"/>
      <c r="T80" s="46"/>
      <c r="U80" s="30"/>
      <c r="V80" s="31">
        <f>V4+V11+V17+V23+V29+V35+V41+V47+V53+V59+V65+V71+V77</f>
        <v>4814745.5033333339</v>
      </c>
      <c r="W80" s="30"/>
      <c r="X80" s="30"/>
      <c r="Y80" s="31">
        <f>Y4+Y11+Y17+Y23+Y29+Y35+Y41+Y47+Y53+Y59+Y65+Y71+Y77</f>
        <v>3828</v>
      </c>
      <c r="Z80" s="31">
        <f>Z4+Z11+Z17+Z23+Z29+Z35+Z41+Z47+Z53+Z59+Z65+Z71+Z77</f>
        <v>142843.18000000002</v>
      </c>
      <c r="AA80" s="31">
        <f>AA4+AA11+AA17+AA23+AA29+AA35+AA41+AA47+AA53+AA59+AA65+AA71+AA77</f>
        <v>15620</v>
      </c>
      <c r="AB80" s="31">
        <f>AB4+AB11+AB17+AB23+AB29++AB35+AB41+AB47+AB53+AB59+AB65+AB71+AB77</f>
        <v>25762.500000000004</v>
      </c>
      <c r="AC80" s="31">
        <f>AC4+AC11+AC17+AC23+AC29+AC35+AC41+AC47+AC53+AC59+AC65+AC71+AC77</f>
        <v>12870</v>
      </c>
      <c r="AD80" s="31">
        <f>AD4+AD11+AD17+AD23+AD29+AD35+AD41+AD47+AD53+AD59+AD65+AD71+AD77</f>
        <v>3573.39</v>
      </c>
      <c r="AE80" s="31">
        <f>AE4+AE11+AE17+AE23+AE29+AE35+AE41+AE47+AE53+AE59+AE65+AE71+AE77</f>
        <v>10850.250000000002</v>
      </c>
      <c r="AF80" s="31">
        <f>AF4+AF11+AF17+AF23+AF29+AF35+AF41+AF47+AF53+AF59+AF65+AF71+AF77</f>
        <v>5019242.5733333332</v>
      </c>
      <c r="AG80" s="31">
        <f>AG4+AG11+AG17+AG23+AG29+AG35+AG41+AG47+AG53+AG59+AG65+AG71+AG77</f>
        <v>5414559.5693999995</v>
      </c>
      <c r="AH80" s="32"/>
      <c r="AJ80" s="11">
        <f>AJ79/AJ78</f>
        <v>423.70524765987881</v>
      </c>
      <c r="AK80" s="1"/>
    </row>
    <row r="81" spans="1:34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4"/>
    </row>
  </sheetData>
  <mergeCells count="2">
    <mergeCell ref="U2:AC2"/>
    <mergeCell ref="A80:K80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"/>
  <dimension ref="A1:AL65"/>
  <sheetViews>
    <sheetView zoomScale="80" zoomScaleNormal="80" workbookViewId="0">
      <pane ySplit="3" topLeftCell="A4" activePane="bottomLeft" state="frozen"/>
      <selection activeCell="A24" sqref="A24:U24"/>
      <selection pane="bottomLeft" activeCell="A24" sqref="A24:U24"/>
    </sheetView>
  </sheetViews>
  <sheetFormatPr defaultRowHeight="14.5" x14ac:dyDescent="0.35"/>
  <cols>
    <col min="1" max="1" width="10.81640625" bestFit="1" customWidth="1"/>
    <col min="2" max="2" width="23" bestFit="1" customWidth="1"/>
    <col min="3" max="3" width="18.453125" customWidth="1"/>
    <col min="4" max="4" width="12.1796875" bestFit="1" customWidth="1"/>
    <col min="5" max="5" width="13.54296875" bestFit="1" customWidth="1"/>
    <col min="6" max="6" width="13.54296875" customWidth="1"/>
    <col min="7" max="7" width="10.1796875" bestFit="1" customWidth="1"/>
    <col min="8" max="8" width="10.26953125" bestFit="1" customWidth="1"/>
    <col min="9" max="9" width="8.26953125" bestFit="1" customWidth="1"/>
    <col min="10" max="10" width="10.54296875" bestFit="1" customWidth="1"/>
    <col min="11" max="11" width="12.81640625" bestFit="1" customWidth="1"/>
    <col min="12" max="16" width="6.26953125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bestFit="1" customWidth="1"/>
    <col min="22" max="22" width="17" bestFit="1" customWidth="1"/>
    <col min="23" max="23" width="13.81640625" bestFit="1" customWidth="1"/>
    <col min="24" max="24" width="14.81640625" bestFit="1" customWidth="1"/>
    <col min="25" max="25" width="13.81640625" customWidth="1"/>
    <col min="26" max="26" width="15.1796875" bestFit="1" customWidth="1"/>
    <col min="27" max="29" width="13.81640625" bestFit="1" customWidth="1"/>
    <col min="30" max="30" width="12.54296875" bestFit="1" customWidth="1"/>
    <col min="31" max="31" width="13.81640625" bestFit="1" customWidth="1"/>
    <col min="32" max="33" width="17" bestFit="1" customWidth="1"/>
    <col min="34" max="34" width="13.7265625" bestFit="1" customWidth="1"/>
    <col min="35" max="35" width="12.81640625" bestFit="1" customWidth="1"/>
    <col min="36" max="36" width="14.54296875" bestFit="1" customWidth="1"/>
    <col min="37" max="37" width="13.7265625" bestFit="1" customWidth="1"/>
    <col min="38" max="38" width="15.54296875" bestFit="1" customWidth="1"/>
  </cols>
  <sheetData>
    <row r="1" spans="1:36" ht="7.5" customHeight="1" thickBot="1" x14ac:dyDescent="0.4"/>
    <row r="2" spans="1:36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6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6" x14ac:dyDescent="0.35">
      <c r="A4" s="20">
        <v>44675</v>
      </c>
      <c r="B4" s="21" t="s">
        <v>64</v>
      </c>
      <c r="C4" s="21"/>
      <c r="D4" s="21"/>
      <c r="E4" s="21"/>
      <c r="F4" s="21"/>
      <c r="G4" s="21">
        <v>179</v>
      </c>
      <c r="H4" s="22">
        <v>80384</v>
      </c>
      <c r="I4" s="23">
        <v>0.5</v>
      </c>
      <c r="J4" s="24">
        <f>K4/H4</f>
        <v>0.51047472133757965</v>
      </c>
      <c r="K4" s="22">
        <v>41034</v>
      </c>
      <c r="L4" s="22"/>
      <c r="M4" s="22"/>
      <c r="N4" s="22"/>
      <c r="O4" s="22"/>
      <c r="P4" s="22"/>
      <c r="Q4" s="22"/>
      <c r="R4" s="22"/>
      <c r="S4" s="22"/>
      <c r="T4" s="22"/>
      <c r="U4" s="25">
        <v>295</v>
      </c>
      <c r="V4" s="25">
        <f>H4*U4*I4/15</f>
        <v>790442.66666666663</v>
      </c>
      <c r="W4" s="25">
        <v>343.34</v>
      </c>
      <c r="X4" s="25"/>
      <c r="Y4" s="25">
        <f>G4*100.55</f>
        <v>17998.45</v>
      </c>
      <c r="Z4" s="25">
        <v>14880</v>
      </c>
      <c r="AA4" s="25"/>
      <c r="AB4" s="25">
        <v>5339.05</v>
      </c>
      <c r="AC4" s="25">
        <f>G4*9.68</f>
        <v>1732.72</v>
      </c>
      <c r="AD4" s="25">
        <f>G4*3.83</f>
        <v>685.57</v>
      </c>
      <c r="AE4" s="25">
        <v>1878.45</v>
      </c>
      <c r="AF4" s="25">
        <f>V4+Y4+Z4+AA4+AB4+AC4+AD4</f>
        <v>831078.45666666655</v>
      </c>
      <c r="AG4" s="25">
        <f>(H4*W4*J4/15)-AE4</f>
        <v>937362.45400000003</v>
      </c>
      <c r="AH4" s="26">
        <f>AG4-AF4</f>
        <v>106283.99733333348</v>
      </c>
    </row>
    <row r="5" spans="1:36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6">
        <f>AH4/G4</f>
        <v>593.76534823091333</v>
      </c>
      <c r="AJ5" s="11"/>
    </row>
    <row r="6" spans="1:36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AH4/AG4</f>
        <v>0.11338623269983616</v>
      </c>
      <c r="AJ6" s="1"/>
    </row>
    <row r="7" spans="1:36" x14ac:dyDescent="0.35">
      <c r="AJ7" s="11"/>
    </row>
    <row r="8" spans="1:36" x14ac:dyDescent="0.35">
      <c r="AJ8" s="1"/>
    </row>
    <row r="9" spans="1:36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29</v>
      </c>
      <c r="Z9" s="14" t="s">
        <v>12</v>
      </c>
      <c r="AA9" s="14" t="s">
        <v>11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6" x14ac:dyDescent="0.35">
      <c r="A10" s="20">
        <v>44676</v>
      </c>
      <c r="B10" s="21" t="s">
        <v>64</v>
      </c>
      <c r="C10" s="21"/>
      <c r="D10" s="44">
        <v>129271</v>
      </c>
      <c r="E10" s="21"/>
      <c r="F10" s="21"/>
      <c r="G10" s="21">
        <v>54</v>
      </c>
      <c r="H10" s="22">
        <v>27878</v>
      </c>
      <c r="I10" s="23">
        <v>0.5</v>
      </c>
      <c r="J10" s="24">
        <f>K10/H10</f>
        <v>0.53560154960901074</v>
      </c>
      <c r="K10" s="22">
        <v>14931.5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300</v>
      </c>
      <c r="V10" s="25">
        <f>H10*U10*I10/15</f>
        <v>278780</v>
      </c>
      <c r="W10" s="25">
        <v>341.21</v>
      </c>
      <c r="X10" s="25">
        <v>327368.46000000002</v>
      </c>
      <c r="Y10" s="25">
        <f>G10*100</f>
        <v>5400</v>
      </c>
      <c r="Z10" s="25">
        <v>4860</v>
      </c>
      <c r="AA10" s="25"/>
      <c r="AB10" s="25">
        <v>1610.66</v>
      </c>
      <c r="AC10" s="25">
        <f>G10*9.68</f>
        <v>522.72</v>
      </c>
      <c r="AD10" s="25">
        <f>G10*3.83</f>
        <v>206.82</v>
      </c>
      <c r="AE10" s="25">
        <v>654.74</v>
      </c>
      <c r="AF10" s="25">
        <f>V10+Y10+Z10+AA10+AB10+AC10+AD10</f>
        <v>291380.19999999995</v>
      </c>
      <c r="AG10" s="25">
        <f>(H10*W10*J10/15)-AE10</f>
        <v>338997.0676666667</v>
      </c>
      <c r="AH10" s="26">
        <f>AG10-AF10</f>
        <v>47616.867666666745</v>
      </c>
    </row>
    <row r="11" spans="1:36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6">
        <f>AH10/G10</f>
        <v>881.79384567901377</v>
      </c>
      <c r="AJ11" s="6"/>
    </row>
    <row r="12" spans="1:36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AH10/AG10</f>
        <v>0.14046395148611746</v>
      </c>
      <c r="AJ12" s="6"/>
    </row>
    <row r="15" spans="1:36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38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29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6" x14ac:dyDescent="0.35">
      <c r="A16" s="20">
        <v>44676</v>
      </c>
      <c r="B16" s="21" t="s">
        <v>64</v>
      </c>
      <c r="C16" s="21"/>
      <c r="D16" s="44">
        <v>129030</v>
      </c>
      <c r="E16" s="21"/>
      <c r="F16" s="21">
        <v>150</v>
      </c>
      <c r="H16" s="22">
        <v>86320</v>
      </c>
      <c r="I16" s="33">
        <v>0.53</v>
      </c>
      <c r="J16" s="24">
        <f>K16/H16</f>
        <v>0.53497451343836888</v>
      </c>
      <c r="K16" s="22">
        <v>46179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305</v>
      </c>
      <c r="V16" s="25">
        <f>H16*U16*I16/15</f>
        <v>930241.8666666667</v>
      </c>
      <c r="W16" s="25">
        <v>342.64</v>
      </c>
      <c r="X16" s="25">
        <v>1062505.54</v>
      </c>
      <c r="Y16" s="25">
        <f>F16*100</f>
        <v>15000</v>
      </c>
      <c r="Z16" s="25">
        <v>14880</v>
      </c>
      <c r="AA16" s="25">
        <v>0</v>
      </c>
      <c r="AB16" s="25">
        <v>4474.0600000000004</v>
      </c>
      <c r="AC16" s="25">
        <f>F16*9.68</f>
        <v>1452</v>
      </c>
      <c r="AD16" s="25">
        <f>F16*3.83</f>
        <v>574.5</v>
      </c>
      <c r="AE16" s="25">
        <v>2152.02</v>
      </c>
      <c r="AF16" s="25">
        <f>V16+Y16+Z16+AA16+AB16+AC16+AD16</f>
        <v>966622.42666666675</v>
      </c>
      <c r="AG16" s="25">
        <f>(H16*W16*J16/15)-AE16</f>
        <v>1052699.4839999999</v>
      </c>
      <c r="AH16" s="26">
        <f>AG16-AF16</f>
        <v>86077.057333333185</v>
      </c>
      <c r="AJ16" s="6"/>
    </row>
    <row r="17" spans="1:36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6">
        <f>AH16/F16</f>
        <v>573.84704888888791</v>
      </c>
      <c r="AJ17" s="6"/>
    </row>
    <row r="18" spans="1:36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AH16/AG16</f>
        <v>8.1767929633879438E-2</v>
      </c>
    </row>
    <row r="21" spans="1:36" x14ac:dyDescent="0.35">
      <c r="A21" s="37" t="s">
        <v>1</v>
      </c>
      <c r="B21" s="37" t="s">
        <v>2</v>
      </c>
      <c r="C21" s="37" t="s">
        <v>110</v>
      </c>
      <c r="D21" s="37" t="s">
        <v>66</v>
      </c>
      <c r="E21" s="37" t="s">
        <v>32</v>
      </c>
      <c r="F21" s="37" t="s">
        <v>137</v>
      </c>
      <c r="G21" s="37" t="s">
        <v>138</v>
      </c>
      <c r="H21" s="37" t="s">
        <v>4</v>
      </c>
      <c r="I21" s="37" t="s">
        <v>5</v>
      </c>
      <c r="J21" s="37" t="s">
        <v>6</v>
      </c>
      <c r="K21" s="37" t="s">
        <v>7</v>
      </c>
      <c r="L21" s="37" t="s">
        <v>279</v>
      </c>
      <c r="M21" s="37" t="s">
        <v>280</v>
      </c>
      <c r="N21" s="37" t="s">
        <v>281</v>
      </c>
      <c r="O21" s="37" t="s">
        <v>282</v>
      </c>
      <c r="P21" s="37" t="s">
        <v>283</v>
      </c>
      <c r="Q21" s="37" t="s">
        <v>284</v>
      </c>
      <c r="R21" s="37" t="s">
        <v>904</v>
      </c>
      <c r="S21" s="37" t="s">
        <v>285</v>
      </c>
      <c r="T21" s="37" t="s">
        <v>289</v>
      </c>
      <c r="U21" s="37" t="s">
        <v>8</v>
      </c>
      <c r="V21" s="37" t="s">
        <v>9</v>
      </c>
      <c r="W21" s="37" t="s">
        <v>10</v>
      </c>
      <c r="X21" s="37" t="s">
        <v>100</v>
      </c>
      <c r="Y21" s="37" t="s">
        <v>29</v>
      </c>
      <c r="Z21" s="37" t="s">
        <v>12</v>
      </c>
      <c r="AA21" s="37" t="s">
        <v>11</v>
      </c>
      <c r="AB21" s="37" t="s">
        <v>13</v>
      </c>
      <c r="AC21" s="37" t="s">
        <v>74</v>
      </c>
      <c r="AD21" s="37" t="s">
        <v>21</v>
      </c>
      <c r="AE21" s="37" t="s">
        <v>14</v>
      </c>
      <c r="AF21" s="37" t="s">
        <v>15</v>
      </c>
      <c r="AG21" s="37" t="s">
        <v>16</v>
      </c>
      <c r="AH21" s="15" t="s">
        <v>17</v>
      </c>
    </row>
    <row r="22" spans="1:36" x14ac:dyDescent="0.35">
      <c r="A22" s="38">
        <v>44677</v>
      </c>
      <c r="B22" s="39" t="s">
        <v>64</v>
      </c>
      <c r="C22" s="39"/>
      <c r="D22" s="45">
        <v>129024</v>
      </c>
      <c r="E22" s="39"/>
      <c r="F22" s="39"/>
      <c r="G22" s="39">
        <v>165</v>
      </c>
      <c r="H22" s="40">
        <v>76114</v>
      </c>
      <c r="I22" s="41">
        <v>0.5</v>
      </c>
      <c r="J22" s="42">
        <f>K22/H22</f>
        <v>0.51717699766140268</v>
      </c>
      <c r="K22" s="40">
        <v>39364.410000000003</v>
      </c>
      <c r="L22" s="40"/>
      <c r="M22" s="40"/>
      <c r="N22" s="40"/>
      <c r="O22" s="40"/>
      <c r="P22" s="40"/>
      <c r="Q22" s="40"/>
      <c r="R22" s="40"/>
      <c r="S22" s="40"/>
      <c r="T22" s="40"/>
      <c r="U22" s="43">
        <v>295</v>
      </c>
      <c r="V22" s="43">
        <f>H22*U22*I22/15</f>
        <v>748454.33333333337</v>
      </c>
      <c r="W22" s="43">
        <v>340.07</v>
      </c>
      <c r="X22" s="43">
        <v>892429.59</v>
      </c>
      <c r="Y22" s="43">
        <f>G22*100</f>
        <v>16500</v>
      </c>
      <c r="Z22" s="43">
        <v>13639.99</v>
      </c>
      <c r="AA22" s="43"/>
      <c r="AB22" s="43">
        <v>4921.47</v>
      </c>
      <c r="AC22" s="43">
        <f>G22*9.68</f>
        <v>1597.2</v>
      </c>
      <c r="AD22" s="43">
        <f>G22*3.83</f>
        <v>631.95000000000005</v>
      </c>
      <c r="AE22" s="43">
        <v>1784.85</v>
      </c>
      <c r="AF22" s="43">
        <f>V22+Y22+Z22+AA22+AB22+AC22+AD22</f>
        <v>785744.94333333324</v>
      </c>
      <c r="AG22" s="43">
        <f>(H22*W22*J22/15)-AE22</f>
        <v>890658.81058000016</v>
      </c>
      <c r="AH22" s="26">
        <f>AG22-AF22</f>
        <v>104913.86724666692</v>
      </c>
      <c r="AJ22" s="6"/>
    </row>
    <row r="23" spans="1:36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6">
        <f>AH22/G22</f>
        <v>635.84161967676926</v>
      </c>
      <c r="AJ23" s="6"/>
    </row>
    <row r="24" spans="1:36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AH22/AG22</f>
        <v>0.11779355461419243</v>
      </c>
    </row>
    <row r="27" spans="1:36" x14ac:dyDescent="0.35">
      <c r="A27" s="37" t="s">
        <v>1</v>
      </c>
      <c r="B27" s="37" t="s">
        <v>2</v>
      </c>
      <c r="C27" s="37" t="s">
        <v>110</v>
      </c>
      <c r="D27" s="37" t="s">
        <v>66</v>
      </c>
      <c r="E27" s="37" t="s">
        <v>32</v>
      </c>
      <c r="F27" s="37" t="s">
        <v>137</v>
      </c>
      <c r="G27" s="37" t="s">
        <v>138</v>
      </c>
      <c r="H27" s="37" t="s">
        <v>4</v>
      </c>
      <c r="I27" s="37" t="s">
        <v>5</v>
      </c>
      <c r="J27" s="37" t="s">
        <v>6</v>
      </c>
      <c r="K27" s="37" t="s">
        <v>7</v>
      </c>
      <c r="L27" s="37" t="s">
        <v>279</v>
      </c>
      <c r="M27" s="37" t="s">
        <v>280</v>
      </c>
      <c r="N27" s="37" t="s">
        <v>281</v>
      </c>
      <c r="O27" s="37" t="s">
        <v>282</v>
      </c>
      <c r="P27" s="37" t="s">
        <v>283</v>
      </c>
      <c r="Q27" s="37" t="s">
        <v>284</v>
      </c>
      <c r="R27" s="37" t="s">
        <v>904</v>
      </c>
      <c r="S27" s="37" t="s">
        <v>285</v>
      </c>
      <c r="T27" s="37" t="s">
        <v>289</v>
      </c>
      <c r="U27" s="37" t="s">
        <v>8</v>
      </c>
      <c r="V27" s="37" t="s">
        <v>9</v>
      </c>
      <c r="W27" s="37" t="s">
        <v>10</v>
      </c>
      <c r="X27" s="37" t="s">
        <v>100</v>
      </c>
      <c r="Y27" s="37" t="s">
        <v>29</v>
      </c>
      <c r="Z27" s="37" t="s">
        <v>12</v>
      </c>
      <c r="AA27" s="37" t="s">
        <v>11</v>
      </c>
      <c r="AB27" s="37" t="s">
        <v>13</v>
      </c>
      <c r="AC27" s="37" t="s">
        <v>74</v>
      </c>
      <c r="AD27" s="37" t="s">
        <v>21</v>
      </c>
      <c r="AE27" s="37" t="s">
        <v>14</v>
      </c>
      <c r="AF27" s="37" t="s">
        <v>15</v>
      </c>
      <c r="AG27" s="37" t="s">
        <v>16</v>
      </c>
      <c r="AH27" s="15" t="s">
        <v>17</v>
      </c>
    </row>
    <row r="28" spans="1:36" x14ac:dyDescent="0.35">
      <c r="A28" s="38">
        <v>44677</v>
      </c>
      <c r="B28" s="39" t="s">
        <v>64</v>
      </c>
      <c r="C28" s="39"/>
      <c r="D28" s="45">
        <v>129024</v>
      </c>
      <c r="E28" s="39"/>
      <c r="F28" s="39"/>
      <c r="G28" s="39">
        <v>15</v>
      </c>
      <c r="H28" s="40">
        <v>7430</v>
      </c>
      <c r="I28" s="41">
        <v>0.5</v>
      </c>
      <c r="J28" s="42">
        <f>K28/H28</f>
        <v>0.4816393001345895</v>
      </c>
      <c r="K28" s="40">
        <v>3578.58</v>
      </c>
      <c r="L28" s="40"/>
      <c r="M28" s="40"/>
      <c r="N28" s="40"/>
      <c r="O28" s="40"/>
      <c r="P28" s="40"/>
      <c r="Q28" s="40"/>
      <c r="R28" s="40"/>
      <c r="S28" s="40"/>
      <c r="T28" s="40"/>
      <c r="U28" s="43">
        <v>300</v>
      </c>
      <c r="V28" s="43">
        <f>H28*U28*I28/15</f>
        <v>74300</v>
      </c>
      <c r="W28" s="43">
        <v>340.07</v>
      </c>
      <c r="X28" s="43">
        <v>81129.960000000006</v>
      </c>
      <c r="Y28" s="43">
        <f>G28*100</f>
        <v>1500</v>
      </c>
      <c r="Z28" s="43">
        <v>1239.99</v>
      </c>
      <c r="AA28" s="43"/>
      <c r="AB28" s="43">
        <v>447.4</v>
      </c>
      <c r="AC28" s="43">
        <f>G28*9.68</f>
        <v>145.19999999999999</v>
      </c>
      <c r="AD28" s="43">
        <f>G28*3.83</f>
        <v>57.45</v>
      </c>
      <c r="AE28" s="43">
        <v>162.25</v>
      </c>
      <c r="AF28" s="43">
        <f>V28+Y28+Z28+AA28+AB28+AC28+AD28</f>
        <v>77690.039999999994</v>
      </c>
      <c r="AG28" s="43">
        <f>(H28*W28*J28/15)-AE28</f>
        <v>80968.930040000007</v>
      </c>
      <c r="AH28" s="26">
        <f>AG28-AF28</f>
        <v>3278.890040000013</v>
      </c>
      <c r="AJ28" s="6"/>
    </row>
    <row r="29" spans="1:36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6">
        <f>AH28/G28</f>
        <v>218.59266933333419</v>
      </c>
      <c r="AJ29" s="6"/>
    </row>
    <row r="30" spans="1:36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AH28/AG28</f>
        <v>4.0495657264832161E-2</v>
      </c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32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29</v>
      </c>
      <c r="Z33" s="14" t="s">
        <v>12</v>
      </c>
      <c r="AA33" s="14" t="s">
        <v>11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36" x14ac:dyDescent="0.35">
      <c r="A34" s="20">
        <v>44678</v>
      </c>
      <c r="B34" s="21" t="s">
        <v>67</v>
      </c>
      <c r="C34" s="21"/>
      <c r="D34" s="44">
        <v>129358</v>
      </c>
      <c r="E34" s="21"/>
      <c r="F34" s="21"/>
      <c r="G34" s="21">
        <v>60</v>
      </c>
      <c r="H34" s="22">
        <v>22240</v>
      </c>
      <c r="I34" s="23">
        <v>0.5</v>
      </c>
      <c r="J34" s="24">
        <f>K34/H34</f>
        <v>0.47569694244604316</v>
      </c>
      <c r="K34" s="22">
        <v>10579.5</v>
      </c>
      <c r="L34" s="22"/>
      <c r="M34" s="22"/>
      <c r="N34" s="22"/>
      <c r="O34" s="22"/>
      <c r="P34" s="22"/>
      <c r="Q34" s="22"/>
      <c r="R34" s="22"/>
      <c r="S34" s="22"/>
      <c r="T34" s="22"/>
      <c r="U34" s="25">
        <v>285</v>
      </c>
      <c r="V34" s="25">
        <f>H34*U34*I34/15</f>
        <v>211280</v>
      </c>
      <c r="W34" s="25">
        <v>335.02</v>
      </c>
      <c r="X34" s="25">
        <v>236295.65</v>
      </c>
      <c r="Y34" s="25">
        <f>G34*80</f>
        <v>4800</v>
      </c>
      <c r="Z34" s="25">
        <v>10437.39</v>
      </c>
      <c r="AA34" s="25"/>
      <c r="AB34" s="25">
        <v>1710</v>
      </c>
      <c r="AC34" s="25">
        <f>G34*9.68</f>
        <v>580.79999999999995</v>
      </c>
      <c r="AD34" s="25">
        <f>G34*3.83</f>
        <v>229.8</v>
      </c>
      <c r="AE34" s="25">
        <v>472.59</v>
      </c>
      <c r="AF34" s="25">
        <f>V34+Y34+Z34+AA34+AB34+AC34+AD34</f>
        <v>229037.99</v>
      </c>
      <c r="AG34" s="25">
        <f>(H34*W34*J34/15)-AE34</f>
        <v>235817.016</v>
      </c>
      <c r="AH34" s="26">
        <f>AG34-AF34</f>
        <v>6779.0260000000126</v>
      </c>
      <c r="AJ34" s="6"/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6">
        <f>AH34/G34</f>
        <v>112.98376666666688</v>
      </c>
      <c r="AJ35" s="6"/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AH34/AG34</f>
        <v>2.8746975578725891E-2</v>
      </c>
    </row>
    <row r="39" spans="1:36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 t="s">
        <v>32</v>
      </c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29</v>
      </c>
      <c r="Z39" s="14" t="s">
        <v>12</v>
      </c>
      <c r="AA39" s="14" t="s">
        <v>11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</row>
    <row r="40" spans="1:36" x14ac:dyDescent="0.35">
      <c r="A40" s="20">
        <v>44678</v>
      </c>
      <c r="B40" s="21" t="s">
        <v>68</v>
      </c>
      <c r="C40" s="21"/>
      <c r="D40" s="44">
        <v>129358</v>
      </c>
      <c r="E40" s="21"/>
      <c r="F40" s="21"/>
      <c r="G40" s="21">
        <v>60</v>
      </c>
      <c r="H40" s="22">
        <v>20960</v>
      </c>
      <c r="I40" s="23">
        <v>0.5</v>
      </c>
      <c r="J40" s="24">
        <f>K40/H40</f>
        <v>0.5047471374045801</v>
      </c>
      <c r="K40" s="22">
        <v>10579.5</v>
      </c>
      <c r="L40" s="22"/>
      <c r="M40" s="22"/>
      <c r="N40" s="22"/>
      <c r="O40" s="22"/>
      <c r="P40" s="22"/>
      <c r="Q40" s="22"/>
      <c r="R40" s="22"/>
      <c r="S40" s="22"/>
      <c r="T40" s="22"/>
      <c r="U40" s="25">
        <v>280</v>
      </c>
      <c r="V40" s="25">
        <f>H40*U40*I40/15</f>
        <v>195626.66666666666</v>
      </c>
      <c r="W40" s="25">
        <v>335.02</v>
      </c>
      <c r="X40" s="25">
        <v>236295.65</v>
      </c>
      <c r="Y40" s="25">
        <f>G40*80</f>
        <v>4800</v>
      </c>
      <c r="Z40" s="25">
        <v>10437.39</v>
      </c>
      <c r="AA40" s="25"/>
      <c r="AB40" s="25">
        <v>1680</v>
      </c>
      <c r="AC40" s="25">
        <f>G40*9.68</f>
        <v>580.79999999999995</v>
      </c>
      <c r="AD40" s="25">
        <f>G40*3.83</f>
        <v>229.8</v>
      </c>
      <c r="AE40" s="25">
        <v>472.59</v>
      </c>
      <c r="AF40" s="25">
        <f>V40+Y40+Z40+AA40+AB40+AC40+AD40</f>
        <v>213354.65666666662</v>
      </c>
      <c r="AG40" s="25">
        <f>(H40*W40*J40/15)-AE40</f>
        <v>235817.01599999997</v>
      </c>
      <c r="AH40" s="26">
        <f>AG40-AF40</f>
        <v>22462.359333333356</v>
      </c>
      <c r="AJ40" s="6"/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6">
        <f>AH40/G40</f>
        <v>374.37265555555592</v>
      </c>
      <c r="AJ41" s="6"/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AH40/AG40</f>
        <v>9.5253343945855704E-2</v>
      </c>
    </row>
    <row r="45" spans="1:36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 t="s">
        <v>32</v>
      </c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29</v>
      </c>
      <c r="Z45" s="14" t="s">
        <v>12</v>
      </c>
      <c r="AA45" s="14" t="s">
        <v>11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</row>
    <row r="46" spans="1:36" x14ac:dyDescent="0.35">
      <c r="A46" s="20">
        <v>44679</v>
      </c>
      <c r="B46" s="21" t="s">
        <v>69</v>
      </c>
      <c r="C46" s="21"/>
      <c r="D46" s="44">
        <v>129359</v>
      </c>
      <c r="E46" s="21"/>
      <c r="F46" s="21"/>
      <c r="G46" s="21">
        <v>41</v>
      </c>
      <c r="H46" s="22">
        <v>17748.52</v>
      </c>
      <c r="I46" s="23">
        <v>0.5</v>
      </c>
      <c r="J46" s="24">
        <f>K46/H46</f>
        <v>0.50256134032584121</v>
      </c>
      <c r="K46" s="22">
        <v>8919.7199999999993</v>
      </c>
      <c r="L46" s="22"/>
      <c r="M46" s="22"/>
      <c r="N46" s="22"/>
      <c r="O46" s="22"/>
      <c r="P46" s="22"/>
      <c r="Q46" s="22"/>
      <c r="R46" s="22"/>
      <c r="S46" s="22"/>
      <c r="T46" s="22"/>
      <c r="U46" s="25">
        <v>295</v>
      </c>
      <c r="V46" s="25">
        <f>H46*U46*I46/15</f>
        <v>174527.11333333334</v>
      </c>
      <c r="W46" s="25">
        <v>342.41</v>
      </c>
      <c r="X46" s="25">
        <v>203614.84</v>
      </c>
      <c r="Y46" s="25">
        <f>G46*100</f>
        <v>4100</v>
      </c>
      <c r="Z46" s="25">
        <v>6933.4</v>
      </c>
      <c r="AA46" s="25"/>
      <c r="AB46" s="25">
        <v>1445.5</v>
      </c>
      <c r="AC46" s="25">
        <f>G46*9.68</f>
        <v>396.88</v>
      </c>
      <c r="AD46" s="25">
        <f>G46*3.83</f>
        <v>157.03</v>
      </c>
      <c r="AE46" s="25">
        <v>407.23</v>
      </c>
      <c r="AF46" s="25">
        <f>V46+Y46+Z46+AA46+AB46+AC46+AD46</f>
        <v>187559.92333333334</v>
      </c>
      <c r="AG46" s="25">
        <f>(H46*W46*J46/15)-AE46</f>
        <v>203206.19167999999</v>
      </c>
      <c r="AH46" s="26">
        <f>AG46-AF46</f>
        <v>15646.268346666649</v>
      </c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6">
        <f>AH46/G46</f>
        <v>381.61630113821099</v>
      </c>
    </row>
    <row r="48" spans="1:36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AH46/AG46</f>
        <v>7.6997005934276316E-2</v>
      </c>
    </row>
    <row r="50" spans="1:38" x14ac:dyDescent="0.35">
      <c r="A50" s="14" t="s">
        <v>1</v>
      </c>
      <c r="B50" s="14" t="s">
        <v>2</v>
      </c>
      <c r="C50" s="14" t="s">
        <v>110</v>
      </c>
      <c r="D50" s="14" t="s">
        <v>66</v>
      </c>
      <c r="E50" s="14" t="s">
        <v>32</v>
      </c>
      <c r="F50" s="14" t="s">
        <v>137</v>
      </c>
      <c r="G50" s="14" t="s">
        <v>138</v>
      </c>
      <c r="H50" s="14" t="s">
        <v>4</v>
      </c>
      <c r="I50" s="14" t="s">
        <v>5</v>
      </c>
      <c r="J50" s="14" t="s">
        <v>6</v>
      </c>
      <c r="K50" s="14" t="s">
        <v>7</v>
      </c>
      <c r="L50" s="14" t="s">
        <v>279</v>
      </c>
      <c r="M50" s="14" t="s">
        <v>280</v>
      </c>
      <c r="N50" s="14" t="s">
        <v>281</v>
      </c>
      <c r="O50" s="14" t="s">
        <v>282</v>
      </c>
      <c r="P50" s="14" t="s">
        <v>283</v>
      </c>
      <c r="Q50" s="14" t="s">
        <v>284</v>
      </c>
      <c r="R50" s="14" t="s">
        <v>904</v>
      </c>
      <c r="S50" s="14" t="s">
        <v>285</v>
      </c>
      <c r="T50" s="14" t="s">
        <v>289</v>
      </c>
      <c r="U50" s="14" t="s">
        <v>8</v>
      </c>
      <c r="V50" s="14" t="s">
        <v>9</v>
      </c>
      <c r="W50" s="14" t="s">
        <v>10</v>
      </c>
      <c r="X50" s="14" t="s">
        <v>100</v>
      </c>
      <c r="Y50" s="14" t="s">
        <v>29</v>
      </c>
      <c r="Z50" s="14" t="s">
        <v>12</v>
      </c>
      <c r="AA50" s="14" t="s">
        <v>11</v>
      </c>
      <c r="AB50" s="14" t="s">
        <v>13</v>
      </c>
      <c r="AC50" s="14" t="s">
        <v>74</v>
      </c>
      <c r="AD50" s="14" t="s">
        <v>21</v>
      </c>
      <c r="AE50" s="14" t="s">
        <v>14</v>
      </c>
      <c r="AF50" s="14" t="s">
        <v>15</v>
      </c>
      <c r="AG50" s="14" t="s">
        <v>16</v>
      </c>
      <c r="AH50" s="15" t="s">
        <v>17</v>
      </c>
    </row>
    <row r="51" spans="1:38" x14ac:dyDescent="0.35">
      <c r="A51" s="20">
        <v>44679</v>
      </c>
      <c r="B51" s="21" t="s">
        <v>69</v>
      </c>
      <c r="C51" s="21"/>
      <c r="D51" s="44">
        <v>129555</v>
      </c>
      <c r="E51" s="21"/>
      <c r="F51" s="21"/>
      <c r="G51" s="21">
        <v>8</v>
      </c>
      <c r="H51" s="22">
        <v>3463.12</v>
      </c>
      <c r="I51" s="23">
        <v>0.5</v>
      </c>
      <c r="J51" s="24">
        <f>K51/H51</f>
        <v>0.4882880177412276</v>
      </c>
      <c r="K51" s="22">
        <v>1691</v>
      </c>
      <c r="L51" s="22"/>
      <c r="M51" s="22"/>
      <c r="N51" s="22"/>
      <c r="O51" s="22"/>
      <c r="P51" s="22"/>
      <c r="Q51" s="22"/>
      <c r="R51" s="22"/>
      <c r="S51" s="22"/>
      <c r="T51" s="22"/>
      <c r="U51" s="25">
        <v>295</v>
      </c>
      <c r="V51" s="25">
        <f>H51*U51*I51/15</f>
        <v>34054.013333333336</v>
      </c>
      <c r="W51" s="25">
        <v>342.33</v>
      </c>
      <c r="X51" s="25">
        <v>38592.94</v>
      </c>
      <c r="Y51" s="25">
        <f>G51*100</f>
        <v>800</v>
      </c>
      <c r="Z51" s="25">
        <v>0</v>
      </c>
      <c r="AA51" s="25"/>
      <c r="AB51" s="25">
        <v>0</v>
      </c>
      <c r="AC51" s="25">
        <f>G51*9.68</f>
        <v>77.44</v>
      </c>
      <c r="AD51" s="25">
        <f>G51*3.83</f>
        <v>30.64</v>
      </c>
      <c r="AE51" s="25">
        <v>77.180000000000007</v>
      </c>
      <c r="AF51" s="25">
        <f>V51+Y51+Z51+AA51+AB51+AC51+AD51</f>
        <v>34962.093333333338</v>
      </c>
      <c r="AG51" s="25">
        <f>(H51*W51*J51/15)-AE51</f>
        <v>38514.822</v>
      </c>
      <c r="AH51" s="26">
        <f>AG51-AF51</f>
        <v>3552.7286666666623</v>
      </c>
    </row>
    <row r="52" spans="1:38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6">
        <f>AH51/G51</f>
        <v>444.09108333333279</v>
      </c>
    </row>
    <row r="53" spans="1:38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7">
        <f>AH51/AG51</f>
        <v>9.2243154250243251E-2</v>
      </c>
      <c r="AJ53" s="1">
        <f>G4+G10+F16+G22+G28+G34+G40+G46+G56+G61</f>
        <v>914</v>
      </c>
      <c r="AK53" s="50" t="s">
        <v>22</v>
      </c>
    </row>
    <row r="54" spans="1:38" x14ac:dyDescent="0.35">
      <c r="AJ54" s="11">
        <f>AH4+AH10+AH16+AH22+AH28+AH34+AH40+AH51+AH46+AH56+AH61</f>
        <v>486561.566406667</v>
      </c>
      <c r="AK54" s="11">
        <f>AJ54*30%</f>
        <v>145968.46992200011</v>
      </c>
      <c r="AL54" t="s">
        <v>72</v>
      </c>
    </row>
    <row r="55" spans="1:38" x14ac:dyDescent="0.35">
      <c r="A55" s="14" t="s">
        <v>1</v>
      </c>
      <c r="B55" s="14" t="s">
        <v>2</v>
      </c>
      <c r="C55" s="14" t="s">
        <v>110</v>
      </c>
      <c r="D55" s="14" t="s">
        <v>66</v>
      </c>
      <c r="E55" s="14" t="s">
        <v>32</v>
      </c>
      <c r="F55" s="14" t="s">
        <v>137</v>
      </c>
      <c r="G55" s="14" t="s">
        <v>138</v>
      </c>
      <c r="H55" s="14" t="s">
        <v>4</v>
      </c>
      <c r="I55" s="14" t="s">
        <v>5</v>
      </c>
      <c r="J55" s="14" t="s">
        <v>6</v>
      </c>
      <c r="K55" s="14" t="s">
        <v>7</v>
      </c>
      <c r="L55" s="14" t="s">
        <v>279</v>
      </c>
      <c r="M55" s="14" t="s">
        <v>280</v>
      </c>
      <c r="N55" s="14" t="s">
        <v>281</v>
      </c>
      <c r="O55" s="14" t="s">
        <v>282</v>
      </c>
      <c r="P55" s="14" t="s">
        <v>283</v>
      </c>
      <c r="Q55" s="14" t="s">
        <v>284</v>
      </c>
      <c r="R55" s="14" t="s">
        <v>904</v>
      </c>
      <c r="S55" s="14" t="s">
        <v>285</v>
      </c>
      <c r="T55" s="14" t="s">
        <v>289</v>
      </c>
      <c r="U55" s="14" t="s">
        <v>8</v>
      </c>
      <c r="V55" s="14" t="s">
        <v>9</v>
      </c>
      <c r="W55" s="14" t="s">
        <v>10</v>
      </c>
      <c r="X55" s="14" t="s">
        <v>100</v>
      </c>
      <c r="Y55" s="14" t="s">
        <v>29</v>
      </c>
      <c r="Z55" s="14" t="s">
        <v>12</v>
      </c>
      <c r="AA55" s="14" t="s">
        <v>11</v>
      </c>
      <c r="AB55" s="14" t="s">
        <v>13</v>
      </c>
      <c r="AC55" s="14" t="s">
        <v>74</v>
      </c>
      <c r="AD55" s="14" t="s">
        <v>21</v>
      </c>
      <c r="AE55" s="14" t="s">
        <v>14</v>
      </c>
      <c r="AF55" s="14" t="s">
        <v>15</v>
      </c>
      <c r="AG55" s="14" t="s">
        <v>16</v>
      </c>
      <c r="AH55" s="15" t="s">
        <v>17</v>
      </c>
      <c r="AJ55" s="11">
        <f>AJ54/AJ53</f>
        <v>532.34307046681295</v>
      </c>
      <c r="AK55" s="1"/>
    </row>
    <row r="56" spans="1:38" x14ac:dyDescent="0.35">
      <c r="A56" s="20">
        <v>44679</v>
      </c>
      <c r="B56" s="21" t="s">
        <v>70</v>
      </c>
      <c r="C56" s="21"/>
      <c r="D56" s="44">
        <v>129359</v>
      </c>
      <c r="E56" s="21"/>
      <c r="F56" s="21"/>
      <c r="G56" s="21">
        <v>60</v>
      </c>
      <c r="H56" s="22">
        <v>25120</v>
      </c>
      <c r="I56" s="23">
        <v>0.5</v>
      </c>
      <c r="J56" s="24">
        <f>K56/H56</f>
        <v>0.51963614649681533</v>
      </c>
      <c r="K56" s="22">
        <v>13053.26</v>
      </c>
      <c r="L56" s="22"/>
      <c r="M56" s="22"/>
      <c r="N56" s="22"/>
      <c r="O56" s="22"/>
      <c r="P56" s="22"/>
      <c r="Q56" s="22"/>
      <c r="R56" s="22"/>
      <c r="S56" s="22"/>
      <c r="T56" s="22"/>
      <c r="U56" s="25">
        <v>290</v>
      </c>
      <c r="V56" s="25">
        <f>H56*U56*I56/15</f>
        <v>242826.66666666666</v>
      </c>
      <c r="W56" s="25">
        <v>342.41</v>
      </c>
      <c r="X56" s="25">
        <v>297972.93</v>
      </c>
      <c r="Y56" s="25">
        <f>G56*80</f>
        <v>4800</v>
      </c>
      <c r="Z56" s="25">
        <v>6230</v>
      </c>
      <c r="AA56" s="25"/>
      <c r="AB56" s="25">
        <v>1740</v>
      </c>
      <c r="AC56" s="25">
        <f>G56*9.68</f>
        <v>580.79999999999995</v>
      </c>
      <c r="AD56" s="25">
        <f>G56*3.83</f>
        <v>229.8</v>
      </c>
      <c r="AE56" s="25">
        <v>595.79999999999995</v>
      </c>
      <c r="AF56" s="25">
        <f>V56+Y56+Z56+AA56+AB56+AC56+AD56</f>
        <v>256407.26666666663</v>
      </c>
      <c r="AG56" s="25">
        <f>(H56*W56*J56/15)-AE56</f>
        <v>297375.31710666674</v>
      </c>
      <c r="AH56" s="26">
        <f>AG56-AF56</f>
        <v>40968.050440000108</v>
      </c>
    </row>
    <row r="57" spans="1:38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6">
        <f>AH56/G56</f>
        <v>682.80084066666848</v>
      </c>
    </row>
    <row r="58" spans="1:38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7">
        <f>AH56/AG56</f>
        <v>0.13776547037797732</v>
      </c>
    </row>
    <row r="60" spans="1:38" x14ac:dyDescent="0.35">
      <c r="A60" s="37" t="s">
        <v>1</v>
      </c>
      <c r="B60" s="37" t="s">
        <v>2</v>
      </c>
      <c r="C60" s="37" t="s">
        <v>110</v>
      </c>
      <c r="D60" s="37" t="s">
        <v>66</v>
      </c>
      <c r="E60" s="37" t="s">
        <v>32</v>
      </c>
      <c r="F60" s="37" t="s">
        <v>137</v>
      </c>
      <c r="G60" s="37" t="s">
        <v>138</v>
      </c>
      <c r="H60" s="37" t="s">
        <v>4</v>
      </c>
      <c r="I60" s="37" t="s">
        <v>5</v>
      </c>
      <c r="J60" s="37" t="s">
        <v>6</v>
      </c>
      <c r="K60" s="37" t="s">
        <v>7</v>
      </c>
      <c r="L60" s="37" t="s">
        <v>279</v>
      </c>
      <c r="M60" s="37" t="s">
        <v>280</v>
      </c>
      <c r="N60" s="37" t="s">
        <v>281</v>
      </c>
      <c r="O60" s="37" t="s">
        <v>282</v>
      </c>
      <c r="P60" s="37" t="s">
        <v>283</v>
      </c>
      <c r="Q60" s="37" t="s">
        <v>284</v>
      </c>
      <c r="R60" s="37" t="s">
        <v>904</v>
      </c>
      <c r="S60" s="37" t="s">
        <v>285</v>
      </c>
      <c r="T60" s="37" t="s">
        <v>289</v>
      </c>
      <c r="U60" s="37" t="s">
        <v>8</v>
      </c>
      <c r="V60" s="37" t="s">
        <v>9</v>
      </c>
      <c r="W60" s="37" t="s">
        <v>10</v>
      </c>
      <c r="X60" s="37" t="s">
        <v>100</v>
      </c>
      <c r="Y60" s="37" t="s">
        <v>29</v>
      </c>
      <c r="Z60" s="37" t="s">
        <v>12</v>
      </c>
      <c r="AA60" s="37" t="s">
        <v>11</v>
      </c>
      <c r="AB60" s="37" t="s">
        <v>13</v>
      </c>
      <c r="AC60" s="37" t="s">
        <v>74</v>
      </c>
      <c r="AD60" s="37" t="s">
        <v>21</v>
      </c>
      <c r="AE60" s="37" t="s">
        <v>14</v>
      </c>
      <c r="AF60" s="37" t="s">
        <v>15</v>
      </c>
      <c r="AG60" s="37" t="s">
        <v>16</v>
      </c>
      <c r="AH60" s="15" t="s">
        <v>17</v>
      </c>
    </row>
    <row r="61" spans="1:38" x14ac:dyDescent="0.35">
      <c r="A61" s="38">
        <v>44680</v>
      </c>
      <c r="B61" s="39" t="s">
        <v>75</v>
      </c>
      <c r="C61" s="39"/>
      <c r="D61" s="45">
        <v>129347</v>
      </c>
      <c r="E61" s="39"/>
      <c r="F61" s="39"/>
      <c r="G61" s="39">
        <v>130</v>
      </c>
      <c r="H61" s="40">
        <v>50300</v>
      </c>
      <c r="I61" s="41">
        <v>0.5</v>
      </c>
      <c r="J61" s="42">
        <f>K61/H61</f>
        <v>0.49432405566600396</v>
      </c>
      <c r="K61" s="40">
        <v>24864.5</v>
      </c>
      <c r="L61" s="40"/>
      <c r="M61" s="40"/>
      <c r="N61" s="40"/>
      <c r="O61" s="40"/>
      <c r="P61" s="40"/>
      <c r="Q61" s="40"/>
      <c r="R61" s="40"/>
      <c r="S61" s="40"/>
      <c r="T61" s="40"/>
      <c r="U61" s="43">
        <v>280</v>
      </c>
      <c r="V61" s="43">
        <f>H61*U61*I61/15</f>
        <v>469466.66666666669</v>
      </c>
      <c r="W61" s="43">
        <v>336.68</v>
      </c>
      <c r="X61" s="43">
        <v>558091.99</v>
      </c>
      <c r="Y61" s="43">
        <f>G61*80</f>
        <v>10400</v>
      </c>
      <c r="Z61" s="43">
        <v>23988.799999999999</v>
      </c>
      <c r="AA61" s="43"/>
      <c r="AB61" s="43">
        <v>3640</v>
      </c>
      <c r="AC61" s="43"/>
      <c r="AD61" s="43">
        <f>G61*3.83</f>
        <v>497.90000000000003</v>
      </c>
      <c r="AE61" s="43">
        <v>1116.17</v>
      </c>
      <c r="AF61" s="43">
        <f>V61+Y61+Z61+AA61+AB61+AC61+AD61</f>
        <v>507993.3666666667</v>
      </c>
      <c r="AG61" s="43">
        <f>(H61*W61*J61/15)-AE61</f>
        <v>556975.82066666661</v>
      </c>
      <c r="AH61" s="26">
        <f>AG61-AF61</f>
        <v>48982.453999999911</v>
      </c>
    </row>
    <row r="62" spans="1:38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6">
        <f>AH61/G61</f>
        <v>376.78810769230699</v>
      </c>
    </row>
    <row r="63" spans="1:38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7">
        <f>AH61/AG61</f>
        <v>8.7943591413664701E-2</v>
      </c>
    </row>
    <row r="64" spans="1:38" ht="15" thickBot="1" x14ac:dyDescent="0.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7"/>
    </row>
    <row r="65" spans="1:34" ht="16" thickBot="1" x14ac:dyDescent="0.4">
      <c r="A65" s="377" t="s">
        <v>73</v>
      </c>
      <c r="B65" s="378"/>
      <c r="C65" s="378"/>
      <c r="D65" s="378"/>
      <c r="E65" s="378"/>
      <c r="F65" s="378"/>
      <c r="G65" s="378"/>
      <c r="H65" s="378"/>
      <c r="I65" s="378"/>
      <c r="J65" s="378"/>
      <c r="K65" s="378"/>
      <c r="L65" s="46"/>
      <c r="M65" s="46"/>
      <c r="N65" s="46"/>
      <c r="O65" s="46"/>
      <c r="P65" s="46"/>
      <c r="Q65" s="46"/>
      <c r="R65" s="46"/>
      <c r="S65" s="46"/>
      <c r="T65" s="46"/>
      <c r="U65" s="30"/>
      <c r="V65" s="31">
        <f>V4+V10+V16+V22+V28+V34+V40+V46+V51+V56+V61</f>
        <v>4149999.9933333327</v>
      </c>
      <c r="W65" s="30"/>
      <c r="X65" s="30"/>
      <c r="Y65" s="31">
        <f t="shared" ref="Y65:AG65" si="0">Y4+Y10+Y16+Y22+Y28+Y34+Y40+Y46+Y51+Y56+Y61</f>
        <v>86098.45</v>
      </c>
      <c r="Z65" s="31">
        <f t="shared" si="0"/>
        <v>107526.95999999999</v>
      </c>
      <c r="AA65" s="31">
        <f t="shared" si="0"/>
        <v>0</v>
      </c>
      <c r="AB65" s="31">
        <f t="shared" si="0"/>
        <v>27008.140000000003</v>
      </c>
      <c r="AC65" s="31">
        <f t="shared" si="0"/>
        <v>7666.56</v>
      </c>
      <c r="AD65" s="31">
        <f t="shared" si="0"/>
        <v>3531.2600000000007</v>
      </c>
      <c r="AE65" s="31">
        <f t="shared" si="0"/>
        <v>9773.869999999999</v>
      </c>
      <c r="AF65" s="31">
        <f t="shared" si="0"/>
        <v>4381831.3633333333</v>
      </c>
      <c r="AG65" s="31">
        <f t="shared" si="0"/>
        <v>4868392.9297400005</v>
      </c>
      <c r="AH65" s="32"/>
    </row>
  </sheetData>
  <mergeCells count="2">
    <mergeCell ref="U2:AC2"/>
    <mergeCell ref="A65:K6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"/>
  <dimension ref="A1:AL60"/>
  <sheetViews>
    <sheetView zoomScale="80" zoomScaleNormal="80" workbookViewId="0">
      <pane ySplit="3" topLeftCell="A4" activePane="bottomLeft" state="frozen"/>
      <selection activeCell="A24" sqref="A24:U24"/>
      <selection pane="bottomLeft" activeCell="A24" sqref="A24:U24"/>
    </sheetView>
  </sheetViews>
  <sheetFormatPr defaultRowHeight="14.5" x14ac:dyDescent="0.35"/>
  <cols>
    <col min="1" max="1" width="10.81640625" bestFit="1" customWidth="1"/>
    <col min="2" max="2" width="23" bestFit="1" customWidth="1"/>
    <col min="3" max="3" width="17.7265625" customWidth="1"/>
    <col min="4" max="4" width="12.1796875" bestFit="1" customWidth="1"/>
    <col min="5" max="5" width="13.54296875" bestFit="1" customWidth="1"/>
    <col min="6" max="6" width="13.54296875" customWidth="1"/>
    <col min="7" max="7" width="10.1796875" bestFit="1" customWidth="1"/>
    <col min="8" max="8" width="10.26953125" bestFit="1" customWidth="1"/>
    <col min="9" max="9" width="8.26953125" bestFit="1" customWidth="1"/>
    <col min="10" max="10" width="10.54296875" bestFit="1" customWidth="1"/>
    <col min="11" max="11" width="12.81640625" bestFit="1" customWidth="1"/>
    <col min="12" max="16" width="6.26953125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bestFit="1" customWidth="1"/>
    <col min="22" max="22" width="17" bestFit="1" customWidth="1"/>
    <col min="23" max="23" width="13.81640625" bestFit="1" customWidth="1"/>
    <col min="24" max="24" width="14.81640625" bestFit="1" customWidth="1"/>
    <col min="25" max="25" width="13.81640625" customWidth="1"/>
    <col min="26" max="26" width="15.1796875" bestFit="1" customWidth="1"/>
    <col min="27" max="29" width="13.81640625" bestFit="1" customWidth="1"/>
    <col min="30" max="30" width="12.54296875" bestFit="1" customWidth="1"/>
    <col min="31" max="31" width="13.81640625" bestFit="1" customWidth="1"/>
    <col min="32" max="33" width="17" bestFit="1" customWidth="1"/>
    <col min="34" max="34" width="13.7265625" bestFit="1" customWidth="1"/>
    <col min="35" max="35" width="12.81640625" bestFit="1" customWidth="1"/>
    <col min="36" max="36" width="14.54296875" bestFit="1" customWidth="1"/>
    <col min="37" max="37" width="13.7265625" bestFit="1" customWidth="1"/>
    <col min="38" max="38" width="15.54296875" bestFit="1" customWidth="1"/>
  </cols>
  <sheetData>
    <row r="1" spans="1:36" ht="7.5" customHeight="1" thickBot="1" x14ac:dyDescent="0.4"/>
    <row r="2" spans="1:36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6" x14ac:dyDescent="0.35">
      <c r="A3" s="37" t="s">
        <v>1</v>
      </c>
      <c r="B3" s="37" t="s">
        <v>2</v>
      </c>
      <c r="C3" s="37" t="s">
        <v>110</v>
      </c>
      <c r="D3" s="37" t="s">
        <v>66</v>
      </c>
      <c r="E3" s="37" t="s">
        <v>32</v>
      </c>
      <c r="F3" s="37" t="s">
        <v>137</v>
      </c>
      <c r="G3" s="37" t="s">
        <v>138</v>
      </c>
      <c r="H3" s="37" t="s">
        <v>4</v>
      </c>
      <c r="I3" s="37" t="s">
        <v>5</v>
      </c>
      <c r="J3" s="37" t="s">
        <v>6</v>
      </c>
      <c r="K3" s="37" t="s">
        <v>7</v>
      </c>
      <c r="L3" s="37" t="s">
        <v>279</v>
      </c>
      <c r="M3" s="37" t="s">
        <v>280</v>
      </c>
      <c r="N3" s="37" t="s">
        <v>281</v>
      </c>
      <c r="O3" s="37" t="s">
        <v>282</v>
      </c>
      <c r="P3" s="37" t="s">
        <v>283</v>
      </c>
      <c r="Q3" s="37" t="s">
        <v>284</v>
      </c>
      <c r="R3" s="37" t="s">
        <v>904</v>
      </c>
      <c r="S3" s="37" t="s">
        <v>285</v>
      </c>
      <c r="T3" s="37" t="s">
        <v>289</v>
      </c>
      <c r="U3" s="37" t="s">
        <v>8</v>
      </c>
      <c r="V3" s="37" t="s">
        <v>9</v>
      </c>
      <c r="W3" s="37" t="s">
        <v>10</v>
      </c>
      <c r="X3" s="37" t="s">
        <v>100</v>
      </c>
      <c r="Y3" s="37" t="s">
        <v>106</v>
      </c>
      <c r="Z3" s="37" t="s">
        <v>12</v>
      </c>
      <c r="AA3" s="37" t="s">
        <v>258</v>
      </c>
      <c r="AB3" s="37" t="s">
        <v>13</v>
      </c>
      <c r="AC3" s="37" t="s">
        <v>74</v>
      </c>
      <c r="AD3" s="37" t="s">
        <v>21</v>
      </c>
      <c r="AE3" s="37" t="s">
        <v>14</v>
      </c>
      <c r="AF3" s="37" t="s">
        <v>15</v>
      </c>
      <c r="AG3" s="37" t="s">
        <v>16</v>
      </c>
      <c r="AH3" s="15" t="s">
        <v>17</v>
      </c>
    </row>
    <row r="4" spans="1:36" x14ac:dyDescent="0.35">
      <c r="A4" s="38">
        <v>44683</v>
      </c>
      <c r="B4" s="39" t="s">
        <v>76</v>
      </c>
      <c r="C4" s="39"/>
      <c r="D4" s="45">
        <v>129335</v>
      </c>
      <c r="E4" s="39"/>
      <c r="F4" s="39"/>
      <c r="G4" s="39">
        <v>195</v>
      </c>
      <c r="H4" s="40">
        <v>79487</v>
      </c>
      <c r="I4" s="41">
        <v>0.5</v>
      </c>
      <c r="J4" s="42">
        <f>K4/H4</f>
        <v>0.50607646533395401</v>
      </c>
      <c r="K4" s="40">
        <v>40226.5</v>
      </c>
      <c r="L4" s="40"/>
      <c r="M4" s="40"/>
      <c r="N4" s="40"/>
      <c r="O4" s="40"/>
      <c r="P4" s="40"/>
      <c r="Q4" s="40"/>
      <c r="R4" s="40"/>
      <c r="S4" s="40"/>
      <c r="T4" s="40"/>
      <c r="U4" s="43">
        <v>297</v>
      </c>
      <c r="V4" s="43">
        <f>H4*U4*I4/15</f>
        <v>786921.3</v>
      </c>
      <c r="W4" s="43">
        <v>341.29</v>
      </c>
      <c r="X4" s="43">
        <v>916158.61</v>
      </c>
      <c r="Y4" s="43">
        <v>19500</v>
      </c>
      <c r="Z4" s="43">
        <v>14880</v>
      </c>
      <c r="AA4" s="43"/>
      <c r="AB4" s="43">
        <v>5791.5</v>
      </c>
      <c r="AC4" s="43"/>
      <c r="AD4" s="43">
        <f>G4*3.83</f>
        <v>746.85</v>
      </c>
      <c r="AE4" s="43">
        <v>1832.31</v>
      </c>
      <c r="AF4" s="43">
        <f>V4+Y4+Z4+AA4+AB4+AC4+AD4</f>
        <v>827839.65</v>
      </c>
      <c r="AG4" s="43">
        <f>(H4*W4*J4/15)-AE4</f>
        <v>913427.83566666662</v>
      </c>
      <c r="AH4" s="26">
        <f>AG4-AF4</f>
        <v>85588.185666666599</v>
      </c>
    </row>
    <row r="5" spans="1:36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6">
        <f>AH4/G4</f>
        <v>438.91377264957231</v>
      </c>
      <c r="AJ5" s="11"/>
    </row>
    <row r="6" spans="1:36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AH4/AG4</f>
        <v>9.3699997224411205E-2</v>
      </c>
      <c r="AJ6" s="1"/>
    </row>
    <row r="7" spans="1:36" x14ac:dyDescent="0.35">
      <c r="AJ7" s="11"/>
    </row>
    <row r="8" spans="1:36" x14ac:dyDescent="0.35">
      <c r="AJ8" s="1"/>
    </row>
    <row r="9" spans="1:36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91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6" x14ac:dyDescent="0.35">
      <c r="A10" s="20">
        <v>44684</v>
      </c>
      <c r="B10" s="21" t="s">
        <v>77</v>
      </c>
      <c r="C10" s="21"/>
      <c r="D10" s="44">
        <v>129409</v>
      </c>
      <c r="E10" s="21"/>
      <c r="F10" s="21">
        <v>108</v>
      </c>
      <c r="H10" s="22">
        <v>59618</v>
      </c>
      <c r="I10" s="33">
        <v>0.53500000000000003</v>
      </c>
      <c r="J10" s="24">
        <f>K10/H10</f>
        <v>0.53815122949444794</v>
      </c>
      <c r="K10" s="22">
        <v>32083.5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310</v>
      </c>
      <c r="V10" s="25">
        <f>H10*U10*I10/15</f>
        <v>659176.35333333339</v>
      </c>
      <c r="W10" s="25">
        <v>346.16</v>
      </c>
      <c r="X10" s="25">
        <v>740095.51</v>
      </c>
      <c r="Y10" s="25"/>
      <c r="Z10" s="25">
        <v>12769.92</v>
      </c>
      <c r="AA10" s="25">
        <f>F10*2.03</f>
        <v>219.23999999999998</v>
      </c>
      <c r="AB10" s="25">
        <v>3348</v>
      </c>
      <c r="AC10" s="25">
        <f>F10*30</f>
        <v>3240</v>
      </c>
      <c r="AD10" s="25">
        <f>F10*3.83</f>
        <v>413.64</v>
      </c>
      <c r="AE10" s="25">
        <v>1480.87</v>
      </c>
      <c r="AF10" s="25">
        <f>V10+Y10+Z10+AA10+AB10+AC10+AD10</f>
        <v>679167.15333333344</v>
      </c>
      <c r="AG10" s="25">
        <f>(H10*W10*J10/15)-AE10</f>
        <v>738920.75400000007</v>
      </c>
      <c r="AH10" s="26">
        <f>AG10-AF10</f>
        <v>59753.600666666636</v>
      </c>
    </row>
    <row r="11" spans="1:36" x14ac:dyDescent="0.35">
      <c r="A11" s="21"/>
      <c r="B11" s="21"/>
      <c r="C11" s="21"/>
      <c r="D11" s="21"/>
      <c r="E11" s="21"/>
      <c r="F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6">
        <f>AH10/F10</f>
        <v>553.27408024691329</v>
      </c>
      <c r="AJ11" s="6"/>
    </row>
    <row r="12" spans="1:36" x14ac:dyDescent="0.35">
      <c r="A12" s="21"/>
      <c r="B12" s="21"/>
      <c r="C12" s="21"/>
      <c r="D12" s="21"/>
      <c r="E12" s="21"/>
      <c r="F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AH10/AG10</f>
        <v>8.0866047330789448E-2</v>
      </c>
      <c r="AJ12" s="6"/>
    </row>
    <row r="15" spans="1:36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38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91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6" x14ac:dyDescent="0.35">
      <c r="A16" s="20">
        <v>44684</v>
      </c>
      <c r="B16" s="21" t="s">
        <v>77</v>
      </c>
      <c r="C16" s="21"/>
      <c r="D16" s="44">
        <v>129640</v>
      </c>
      <c r="E16" s="21"/>
      <c r="F16" s="21">
        <v>150</v>
      </c>
      <c r="H16" s="22">
        <v>78240</v>
      </c>
      <c r="I16" s="33">
        <v>0.53500000000000003</v>
      </c>
      <c r="J16" s="24">
        <f>K16/H16</f>
        <v>0.54219069529652353</v>
      </c>
      <c r="K16" s="22">
        <v>42421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310</v>
      </c>
      <c r="V16" s="25">
        <f>H16*U16*I16/15</f>
        <v>865073.6</v>
      </c>
      <c r="W16" s="25">
        <v>345.31</v>
      </c>
      <c r="X16" s="25">
        <v>976560.5</v>
      </c>
      <c r="Y16" s="25"/>
      <c r="Z16" s="25">
        <v>17736</v>
      </c>
      <c r="AA16" s="25">
        <f>F16*2.03</f>
        <v>304.49999999999994</v>
      </c>
      <c r="AB16" s="25">
        <v>4650</v>
      </c>
      <c r="AC16" s="25">
        <f>F16*30</f>
        <v>4500</v>
      </c>
      <c r="AD16" s="25">
        <f>F16*3.83</f>
        <v>574.5</v>
      </c>
      <c r="AE16" s="25">
        <v>1953.13</v>
      </c>
      <c r="AF16" s="25">
        <f>V16+Y16+Z16+AA16+AB16+AC16+AD16</f>
        <v>892838.6</v>
      </c>
      <c r="AG16" s="25">
        <f>(H16*W16*J16/15)-AE16</f>
        <v>974606.57066666661</v>
      </c>
      <c r="AH16" s="26">
        <f>AG16-AF16</f>
        <v>81767.970666666632</v>
      </c>
      <c r="AJ16" s="6"/>
    </row>
    <row r="17" spans="1:36" x14ac:dyDescent="0.35">
      <c r="A17" s="21"/>
      <c r="B17" s="21"/>
      <c r="C17" s="21"/>
      <c r="D17" s="21"/>
      <c r="E17" s="21"/>
      <c r="F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6">
        <f>AH16/F16</f>
        <v>545.11980444444418</v>
      </c>
      <c r="AJ17" s="6"/>
    </row>
    <row r="18" spans="1:36" x14ac:dyDescent="0.35">
      <c r="A18" s="21"/>
      <c r="B18" s="21"/>
      <c r="C18" s="21"/>
      <c r="D18" s="21"/>
      <c r="E18" s="21"/>
      <c r="F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AH16/AG16</f>
        <v>8.3898439768094676E-2</v>
      </c>
    </row>
    <row r="20" spans="1:36" x14ac:dyDescent="0.35">
      <c r="A20" s="14" t="s">
        <v>1</v>
      </c>
      <c r="B20" s="14" t="s">
        <v>2</v>
      </c>
      <c r="C20" s="14" t="s">
        <v>110</v>
      </c>
      <c r="D20" s="14" t="s">
        <v>66</v>
      </c>
      <c r="E20" s="14" t="s">
        <v>38</v>
      </c>
      <c r="F20" s="14" t="s">
        <v>137</v>
      </c>
      <c r="G20" s="14" t="s">
        <v>138</v>
      </c>
      <c r="H20" s="14" t="s">
        <v>4</v>
      </c>
      <c r="I20" s="14" t="s">
        <v>5</v>
      </c>
      <c r="J20" s="14" t="s">
        <v>6</v>
      </c>
      <c r="K20" s="14" t="s">
        <v>7</v>
      </c>
      <c r="L20" s="14" t="s">
        <v>279</v>
      </c>
      <c r="M20" s="14" t="s">
        <v>280</v>
      </c>
      <c r="N20" s="14" t="s">
        <v>281</v>
      </c>
      <c r="O20" s="14" t="s">
        <v>282</v>
      </c>
      <c r="P20" s="14" t="s">
        <v>283</v>
      </c>
      <c r="Q20" s="14" t="s">
        <v>284</v>
      </c>
      <c r="R20" s="14" t="s">
        <v>904</v>
      </c>
      <c r="S20" s="14" t="s">
        <v>285</v>
      </c>
      <c r="T20" s="14" t="s">
        <v>289</v>
      </c>
      <c r="U20" s="14" t="s">
        <v>8</v>
      </c>
      <c r="V20" s="14" t="s">
        <v>9</v>
      </c>
      <c r="W20" s="14" t="s">
        <v>10</v>
      </c>
      <c r="X20" s="14" t="s">
        <v>100</v>
      </c>
      <c r="Y20" s="14" t="s">
        <v>106</v>
      </c>
      <c r="Z20" s="14" t="s">
        <v>12</v>
      </c>
      <c r="AA20" s="14" t="s">
        <v>91</v>
      </c>
      <c r="AB20" s="14" t="s">
        <v>13</v>
      </c>
      <c r="AC20" s="14" t="s">
        <v>74</v>
      </c>
      <c r="AD20" s="14" t="s">
        <v>21</v>
      </c>
      <c r="AE20" s="14" t="s">
        <v>14</v>
      </c>
      <c r="AF20" s="14" t="s">
        <v>15</v>
      </c>
      <c r="AG20" s="14" t="s">
        <v>16</v>
      </c>
      <c r="AH20" s="15" t="s">
        <v>17</v>
      </c>
    </row>
    <row r="21" spans="1:36" x14ac:dyDescent="0.35">
      <c r="A21" s="20">
        <v>44684</v>
      </c>
      <c r="B21" s="21" t="s">
        <v>77</v>
      </c>
      <c r="C21" s="21"/>
      <c r="D21" s="44">
        <v>129623</v>
      </c>
      <c r="E21" s="21"/>
      <c r="F21" s="21">
        <v>12</v>
      </c>
      <c r="H21" s="22">
        <v>6259.2</v>
      </c>
      <c r="I21" s="33">
        <v>0.53500000000000003</v>
      </c>
      <c r="J21" s="24">
        <f>K21/H21</f>
        <v>0.53257604805725978</v>
      </c>
      <c r="K21" s="22">
        <v>3333.5</v>
      </c>
      <c r="L21" s="22"/>
      <c r="M21" s="22"/>
      <c r="N21" s="22"/>
      <c r="O21" s="22"/>
      <c r="P21" s="22"/>
      <c r="Q21" s="22"/>
      <c r="R21" s="22"/>
      <c r="S21" s="22"/>
      <c r="T21" s="22"/>
      <c r="U21" s="25">
        <v>310</v>
      </c>
      <c r="V21" s="25">
        <f>H21*U21*I21/15</f>
        <v>69205.888000000006</v>
      </c>
      <c r="W21" s="25">
        <v>344.75</v>
      </c>
      <c r="X21" s="25">
        <v>76614.94</v>
      </c>
      <c r="Y21" s="25"/>
      <c r="Z21" s="25">
        <v>1418.88</v>
      </c>
      <c r="AA21" s="25">
        <f>F21*2.03</f>
        <v>24.36</v>
      </c>
      <c r="AB21" s="25">
        <v>372</v>
      </c>
      <c r="AC21" s="25">
        <f>F21*30</f>
        <v>360</v>
      </c>
      <c r="AD21" s="25">
        <f>F21*3.83</f>
        <v>45.96</v>
      </c>
      <c r="AE21" s="25">
        <v>153.22999999999999</v>
      </c>
      <c r="AF21" s="25">
        <f>V21+Y21+Z21+AA21+AB21+AC21+AD21</f>
        <v>71427.088000000018</v>
      </c>
      <c r="AG21" s="25">
        <f>(H21*W21*J21/15)-AE21</f>
        <v>76461.71166666667</v>
      </c>
      <c r="AH21" s="26">
        <f>AG21-AF21</f>
        <v>5034.6236666666518</v>
      </c>
    </row>
    <row r="22" spans="1:36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6">
        <f>AH21/F21</f>
        <v>419.55197222222097</v>
      </c>
      <c r="AJ22" s="6"/>
    </row>
    <row r="23" spans="1:36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7">
        <f>AH21/AG21</f>
        <v>6.584502958310684E-2</v>
      </c>
      <c r="AJ23" s="6"/>
    </row>
    <row r="25" spans="1:36" x14ac:dyDescent="0.35">
      <c r="A25" s="14" t="s">
        <v>1</v>
      </c>
      <c r="B25" s="14" t="s">
        <v>2</v>
      </c>
      <c r="C25" s="14" t="s">
        <v>110</v>
      </c>
      <c r="D25" s="14" t="s">
        <v>66</v>
      </c>
      <c r="E25" s="14" t="s">
        <v>32</v>
      </c>
      <c r="F25" s="14" t="s">
        <v>137</v>
      </c>
      <c r="G25" s="14" t="s">
        <v>138</v>
      </c>
      <c r="H25" s="14" t="s">
        <v>4</v>
      </c>
      <c r="I25" s="14" t="s">
        <v>5</v>
      </c>
      <c r="J25" s="14" t="s">
        <v>6</v>
      </c>
      <c r="K25" s="14" t="s">
        <v>7</v>
      </c>
      <c r="L25" s="14" t="s">
        <v>279</v>
      </c>
      <c r="M25" s="14" t="s">
        <v>280</v>
      </c>
      <c r="N25" s="14" t="s">
        <v>281</v>
      </c>
      <c r="O25" s="14" t="s">
        <v>282</v>
      </c>
      <c r="P25" s="14" t="s">
        <v>283</v>
      </c>
      <c r="Q25" s="14" t="s">
        <v>284</v>
      </c>
      <c r="R25" s="14" t="s">
        <v>904</v>
      </c>
      <c r="S25" s="14" t="s">
        <v>285</v>
      </c>
      <c r="T25" s="14" t="s">
        <v>289</v>
      </c>
      <c r="U25" s="14" t="s">
        <v>8</v>
      </c>
      <c r="V25" s="14" t="s">
        <v>9</v>
      </c>
      <c r="W25" s="14" t="s">
        <v>10</v>
      </c>
      <c r="X25" s="14" t="s">
        <v>100</v>
      </c>
      <c r="Y25" s="14" t="s">
        <v>106</v>
      </c>
      <c r="Z25" s="14" t="s">
        <v>12</v>
      </c>
      <c r="AA25" s="14" t="s">
        <v>91</v>
      </c>
      <c r="AB25" s="14" t="s">
        <v>13</v>
      </c>
      <c r="AC25" s="14" t="s">
        <v>74</v>
      </c>
      <c r="AD25" s="14" t="s">
        <v>21</v>
      </c>
      <c r="AE25" s="14" t="s">
        <v>14</v>
      </c>
      <c r="AF25" s="14" t="s">
        <v>15</v>
      </c>
      <c r="AG25" s="14" t="s">
        <v>16</v>
      </c>
      <c r="AH25" s="15" t="s">
        <v>17</v>
      </c>
    </row>
    <row r="26" spans="1:36" x14ac:dyDescent="0.35">
      <c r="A26" s="20">
        <v>44685</v>
      </c>
      <c r="B26" s="21" t="s">
        <v>78</v>
      </c>
      <c r="C26" s="21"/>
      <c r="D26" s="44">
        <v>129407</v>
      </c>
      <c r="E26" s="21"/>
      <c r="F26" s="21"/>
      <c r="G26" s="21">
        <v>121</v>
      </c>
      <c r="H26" s="22">
        <v>47858</v>
      </c>
      <c r="I26" s="23">
        <v>0.5</v>
      </c>
      <c r="J26" s="24">
        <f>K26/H26</f>
        <v>0.49088971540808224</v>
      </c>
      <c r="K26" s="22">
        <v>23493</v>
      </c>
      <c r="L26" s="22"/>
      <c r="M26" s="22"/>
      <c r="N26" s="22"/>
      <c r="O26" s="22"/>
      <c r="P26" s="22"/>
      <c r="Q26" s="22"/>
      <c r="R26" s="22"/>
      <c r="S26" s="22"/>
      <c r="T26" s="22"/>
      <c r="U26" s="25">
        <v>285</v>
      </c>
      <c r="V26" s="25">
        <f>H26*U26*I26/15</f>
        <v>454651</v>
      </c>
      <c r="W26" s="25">
        <v>337.72</v>
      </c>
      <c r="X26" s="25">
        <v>528937.18999999994</v>
      </c>
      <c r="Y26" s="25">
        <v>7260</v>
      </c>
      <c r="Z26" s="25">
        <v>13078.4</v>
      </c>
      <c r="AA26" s="25">
        <f>G26*2.03</f>
        <v>245.62999999999997</v>
      </c>
      <c r="AB26" s="25">
        <v>3448.5</v>
      </c>
      <c r="AC26" s="25">
        <f>G26*30</f>
        <v>3630</v>
      </c>
      <c r="AD26" s="25">
        <f>G26*3.83</f>
        <v>463.43</v>
      </c>
      <c r="AE26" s="25">
        <v>1057.8699999999999</v>
      </c>
      <c r="AF26" s="25">
        <f>V26+Y26+Z26+AA26+AB26+AC26+AD26</f>
        <v>482776.96</v>
      </c>
      <c r="AG26" s="25">
        <f>(H26*W26*J26/15)-AE26</f>
        <v>527879.19400000002</v>
      </c>
      <c r="AH26" s="26">
        <f>AG26-AF26</f>
        <v>45102.233999999997</v>
      </c>
    </row>
    <row r="27" spans="1:36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6">
        <f>AH26/G26</f>
        <v>372.74573553719006</v>
      </c>
    </row>
    <row r="28" spans="1:36" x14ac:dyDescent="0.3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7">
        <f>AH26/AG26</f>
        <v>8.5440446436689826E-2</v>
      </c>
      <c r="AJ28" s="6"/>
    </row>
    <row r="29" spans="1:36" x14ac:dyDescent="0.35">
      <c r="AJ29" s="6"/>
    </row>
    <row r="31" spans="1:36" x14ac:dyDescent="0.35">
      <c r="A31" s="14" t="s">
        <v>1</v>
      </c>
      <c r="B31" s="14" t="s">
        <v>2</v>
      </c>
      <c r="C31" s="14" t="s">
        <v>110</v>
      </c>
      <c r="D31" s="14" t="s">
        <v>66</v>
      </c>
      <c r="E31" s="14" t="s">
        <v>32</v>
      </c>
      <c r="F31" s="14" t="s">
        <v>137</v>
      </c>
      <c r="G31" s="14" t="s">
        <v>138</v>
      </c>
      <c r="H31" s="14" t="s">
        <v>4</v>
      </c>
      <c r="I31" s="14" t="s">
        <v>5</v>
      </c>
      <c r="J31" s="14" t="s">
        <v>6</v>
      </c>
      <c r="K31" s="14" t="s">
        <v>7</v>
      </c>
      <c r="L31" s="14" t="s">
        <v>279</v>
      </c>
      <c r="M31" s="14" t="s">
        <v>280</v>
      </c>
      <c r="N31" s="14" t="s">
        <v>281</v>
      </c>
      <c r="O31" s="14" t="s">
        <v>282</v>
      </c>
      <c r="P31" s="14" t="s">
        <v>283</v>
      </c>
      <c r="Q31" s="14" t="s">
        <v>284</v>
      </c>
      <c r="R31" s="14" t="s">
        <v>904</v>
      </c>
      <c r="S31" s="14" t="s">
        <v>285</v>
      </c>
      <c r="T31" s="14" t="s">
        <v>289</v>
      </c>
      <c r="U31" s="14" t="s">
        <v>8</v>
      </c>
      <c r="V31" s="14" t="s">
        <v>9</v>
      </c>
      <c r="W31" s="14" t="s">
        <v>10</v>
      </c>
      <c r="X31" s="14" t="s">
        <v>100</v>
      </c>
      <c r="Y31" s="14" t="s">
        <v>106</v>
      </c>
      <c r="Z31" s="14" t="s">
        <v>12</v>
      </c>
      <c r="AA31" s="14" t="s">
        <v>91</v>
      </c>
      <c r="AB31" s="14" t="s">
        <v>13</v>
      </c>
      <c r="AC31" s="14" t="s">
        <v>74</v>
      </c>
      <c r="AD31" s="14" t="s">
        <v>21</v>
      </c>
      <c r="AE31" s="14" t="s">
        <v>14</v>
      </c>
      <c r="AF31" s="14" t="s">
        <v>15</v>
      </c>
      <c r="AG31" s="14" t="s">
        <v>16</v>
      </c>
      <c r="AH31" s="15" t="s">
        <v>17</v>
      </c>
    </row>
    <row r="32" spans="1:36" x14ac:dyDescent="0.35">
      <c r="A32" s="20">
        <v>44685</v>
      </c>
      <c r="B32" s="21" t="s">
        <v>79</v>
      </c>
      <c r="C32" s="21"/>
      <c r="D32" s="52">
        <v>129408</v>
      </c>
      <c r="E32" s="21"/>
      <c r="F32" s="21"/>
      <c r="G32" s="21">
        <v>55</v>
      </c>
      <c r="H32" s="22">
        <v>22458.33</v>
      </c>
      <c r="I32" s="23">
        <v>0.5</v>
      </c>
      <c r="J32" s="24">
        <f>K32/H32</f>
        <v>0.45708741478106341</v>
      </c>
      <c r="K32" s="22">
        <v>10265.42</v>
      </c>
      <c r="L32" s="22"/>
      <c r="M32" s="22"/>
      <c r="N32" s="22"/>
      <c r="O32" s="22"/>
      <c r="P32" s="22"/>
      <c r="Q32" s="22"/>
      <c r="R32" s="22"/>
      <c r="S32" s="22"/>
      <c r="T32" s="22"/>
      <c r="U32" s="25">
        <v>280</v>
      </c>
      <c r="V32" s="25">
        <f>H32*U32*I32/15</f>
        <v>209611.08000000002</v>
      </c>
      <c r="W32" s="25">
        <v>338.04</v>
      </c>
      <c r="X32" s="25">
        <v>231340.06</v>
      </c>
      <c r="Y32" s="25">
        <v>3300</v>
      </c>
      <c r="Z32" s="51">
        <v>11329.3</v>
      </c>
      <c r="AA32" s="25">
        <f>G32*2.03</f>
        <v>111.64999999999999</v>
      </c>
      <c r="AB32" s="25">
        <v>1535.41</v>
      </c>
      <c r="AC32" s="25">
        <f>G32*30</f>
        <v>1650</v>
      </c>
      <c r="AD32" s="25">
        <f>G32*3.83</f>
        <v>210.65</v>
      </c>
      <c r="AE32" s="25">
        <v>462.67</v>
      </c>
      <c r="AF32" s="25">
        <f>V32+Y32+Z32+AA32+AB32+AC32+AD32</f>
        <v>227748.09</v>
      </c>
      <c r="AG32" s="25">
        <f>(H32*W32*J32/15)-AE32</f>
        <v>230878.83512</v>
      </c>
      <c r="AH32" s="26">
        <f>AG32-AF32</f>
        <v>3130.7451200000069</v>
      </c>
    </row>
    <row r="33" spans="1:36" x14ac:dyDescent="0.3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6">
        <f>AH32/G32</f>
        <v>56.922638545454667</v>
      </c>
    </row>
    <row r="34" spans="1:36" x14ac:dyDescent="0.3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7">
        <f>AH32/AG32</f>
        <v>1.3560121777177159E-2</v>
      </c>
      <c r="AJ34" s="6"/>
    </row>
    <row r="35" spans="1:36" x14ac:dyDescent="0.35">
      <c r="AJ35" s="6"/>
    </row>
    <row r="37" spans="1:36" x14ac:dyDescent="0.35">
      <c r="A37" s="14" t="s">
        <v>1</v>
      </c>
      <c r="B37" s="14" t="s">
        <v>2</v>
      </c>
      <c r="C37" s="14" t="s">
        <v>110</v>
      </c>
      <c r="D37" s="14" t="s">
        <v>66</v>
      </c>
      <c r="E37" s="14" t="s">
        <v>32</v>
      </c>
      <c r="F37" s="14" t="s">
        <v>137</v>
      </c>
      <c r="G37" s="14" t="s">
        <v>138</v>
      </c>
      <c r="H37" s="14" t="s">
        <v>4</v>
      </c>
      <c r="I37" s="14" t="s">
        <v>5</v>
      </c>
      <c r="J37" s="14" t="s">
        <v>6</v>
      </c>
      <c r="K37" s="14" t="s">
        <v>7</v>
      </c>
      <c r="L37" s="14" t="s">
        <v>279</v>
      </c>
      <c r="M37" s="14" t="s">
        <v>280</v>
      </c>
      <c r="N37" s="14" t="s">
        <v>281</v>
      </c>
      <c r="O37" s="14" t="s">
        <v>282</v>
      </c>
      <c r="P37" s="14" t="s">
        <v>283</v>
      </c>
      <c r="Q37" s="14" t="s">
        <v>284</v>
      </c>
      <c r="R37" s="14" t="s">
        <v>904</v>
      </c>
      <c r="S37" s="14" t="s">
        <v>285</v>
      </c>
      <c r="T37" s="14" t="s">
        <v>289</v>
      </c>
      <c r="U37" s="14" t="s">
        <v>8</v>
      </c>
      <c r="V37" s="14" t="s">
        <v>9</v>
      </c>
      <c r="W37" s="14" t="s">
        <v>10</v>
      </c>
      <c r="X37" s="14" t="s">
        <v>100</v>
      </c>
      <c r="Y37" s="14" t="s">
        <v>106</v>
      </c>
      <c r="Z37" s="14" t="s">
        <v>12</v>
      </c>
      <c r="AA37" s="14" t="s">
        <v>91</v>
      </c>
      <c r="AB37" s="14" t="s">
        <v>13</v>
      </c>
      <c r="AC37" s="14" t="s">
        <v>74</v>
      </c>
      <c r="AD37" s="14" t="s">
        <v>21</v>
      </c>
      <c r="AE37" s="14" t="s">
        <v>14</v>
      </c>
      <c r="AF37" s="14" t="s">
        <v>15</v>
      </c>
      <c r="AG37" s="14" t="s">
        <v>16</v>
      </c>
      <c r="AH37" s="15" t="s">
        <v>17</v>
      </c>
    </row>
    <row r="38" spans="1:36" x14ac:dyDescent="0.35">
      <c r="A38" s="20">
        <v>44685</v>
      </c>
      <c r="B38" s="21" t="s">
        <v>79</v>
      </c>
      <c r="C38" s="21"/>
      <c r="D38" s="52">
        <v>129408</v>
      </c>
      <c r="E38" s="21"/>
      <c r="F38" s="21"/>
      <c r="G38" s="21">
        <v>5</v>
      </c>
      <c r="H38" s="22">
        <v>2041.66</v>
      </c>
      <c r="I38" s="23">
        <v>0.5</v>
      </c>
      <c r="J38" s="24">
        <f>K38/H38</f>
        <v>0.45708883947376155</v>
      </c>
      <c r="K38" s="22">
        <v>933.22</v>
      </c>
      <c r="L38" s="22"/>
      <c r="M38" s="22"/>
      <c r="N38" s="22"/>
      <c r="O38" s="22"/>
      <c r="P38" s="22"/>
      <c r="Q38" s="22"/>
      <c r="R38" s="22"/>
      <c r="S38" s="22"/>
      <c r="T38" s="22"/>
      <c r="U38" s="25">
        <v>270</v>
      </c>
      <c r="V38" s="25">
        <f>H38*U38*I38/15</f>
        <v>18374.940000000002</v>
      </c>
      <c r="W38" s="25">
        <v>338.04</v>
      </c>
      <c r="X38" s="25">
        <v>21030.97</v>
      </c>
      <c r="Y38" s="25">
        <v>300</v>
      </c>
      <c r="Z38" s="25"/>
      <c r="AA38" s="25">
        <f>G38*2.03</f>
        <v>10.149999999999999</v>
      </c>
      <c r="AB38" s="25">
        <v>139.58000000000001</v>
      </c>
      <c r="AC38" s="25">
        <f>G38*30</f>
        <v>150</v>
      </c>
      <c r="AD38" s="25">
        <f>G38*3.83</f>
        <v>19.149999999999999</v>
      </c>
      <c r="AE38" s="25">
        <v>42.06</v>
      </c>
      <c r="AF38" s="25">
        <f>V38+Y38+Z38+AA38+AB38+AC38+AD38</f>
        <v>18993.820000000007</v>
      </c>
      <c r="AG38" s="25">
        <f>(H38*W38*J38/15)-AE38</f>
        <v>20988.985920000003</v>
      </c>
      <c r="AH38" s="26">
        <f>AG38-AF38</f>
        <v>1995.1659199999958</v>
      </c>
    </row>
    <row r="39" spans="1:36" x14ac:dyDescent="0.3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6">
        <f>AH38/G38</f>
        <v>399.03318399999915</v>
      </c>
    </row>
    <row r="40" spans="1:36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7">
        <f>AH38/AG38</f>
        <v>9.5057756844690644E-2</v>
      </c>
      <c r="AJ40" s="6"/>
    </row>
    <row r="41" spans="1:36" x14ac:dyDescent="0.35">
      <c r="AJ41" s="6"/>
    </row>
    <row r="43" spans="1:36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32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91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</row>
    <row r="44" spans="1:36" x14ac:dyDescent="0.35">
      <c r="A44" s="20">
        <v>44686</v>
      </c>
      <c r="B44" s="21" t="s">
        <v>80</v>
      </c>
      <c r="C44" s="21"/>
      <c r="D44" s="52">
        <v>129408</v>
      </c>
      <c r="E44" s="21"/>
      <c r="F44" s="21"/>
      <c r="G44" s="21">
        <v>58</v>
      </c>
      <c r="H44" s="22">
        <v>20320</v>
      </c>
      <c r="I44" s="23">
        <v>0.5</v>
      </c>
      <c r="J44" s="24">
        <f>K44/H44</f>
        <v>0.53274360236220475</v>
      </c>
      <c r="K44" s="22">
        <v>10825.35</v>
      </c>
      <c r="L44" s="22"/>
      <c r="M44" s="22"/>
      <c r="N44" s="22"/>
      <c r="O44" s="22"/>
      <c r="P44" s="22"/>
      <c r="Q44" s="22"/>
      <c r="R44" s="22"/>
      <c r="S44" s="22"/>
      <c r="T44" s="22"/>
      <c r="U44" s="25">
        <v>279.55845747199999</v>
      </c>
      <c r="V44" s="25">
        <f>H44*U44*I44/15</f>
        <v>189354.26186103467</v>
      </c>
      <c r="W44" s="25">
        <v>338.04</v>
      </c>
      <c r="X44" s="25">
        <v>243959.25</v>
      </c>
      <c r="Y44" s="25">
        <v>3480</v>
      </c>
      <c r="Z44" s="25">
        <v>7348</v>
      </c>
      <c r="AA44" s="25">
        <f>G44*2.03</f>
        <v>117.74</v>
      </c>
      <c r="AB44" s="25">
        <v>1624</v>
      </c>
      <c r="AC44" s="25">
        <f>G44*30</f>
        <v>1740</v>
      </c>
      <c r="AD44" s="25">
        <f>G44*3.83</f>
        <v>222.14000000000001</v>
      </c>
      <c r="AE44" s="25">
        <v>487.9</v>
      </c>
      <c r="AF44" s="25">
        <f>V44+Y44+Z44+AA44+AB44+AC44+AD44</f>
        <v>203886.14186103467</v>
      </c>
      <c r="AG44" s="25">
        <f>(H44*W44*J44/15)-AE44</f>
        <v>243472.18760000006</v>
      </c>
      <c r="AH44" s="26">
        <f>AG44-AF44</f>
        <v>39586.045738965389</v>
      </c>
    </row>
    <row r="45" spans="1:36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6">
        <f>AH44/G44</f>
        <v>682.51802998216192</v>
      </c>
    </row>
    <row r="46" spans="1:36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AH44/AG44</f>
        <v>0.16258960059947883</v>
      </c>
    </row>
    <row r="49" spans="1:38" x14ac:dyDescent="0.35">
      <c r="A49" s="14" t="s">
        <v>1</v>
      </c>
      <c r="B49" s="14" t="s">
        <v>2</v>
      </c>
      <c r="C49" s="14" t="s">
        <v>110</v>
      </c>
      <c r="D49" s="14" t="s">
        <v>66</v>
      </c>
      <c r="E49" s="14" t="s">
        <v>32</v>
      </c>
      <c r="F49" s="14" t="s">
        <v>137</v>
      </c>
      <c r="G49" s="14" t="s">
        <v>138</v>
      </c>
      <c r="H49" s="14" t="s">
        <v>4</v>
      </c>
      <c r="I49" s="14" t="s">
        <v>5</v>
      </c>
      <c r="J49" s="14" t="s">
        <v>6</v>
      </c>
      <c r="K49" s="14" t="s">
        <v>7</v>
      </c>
      <c r="L49" s="14" t="s">
        <v>279</v>
      </c>
      <c r="M49" s="14" t="s">
        <v>280</v>
      </c>
      <c r="N49" s="14" t="s">
        <v>281</v>
      </c>
      <c r="O49" s="14" t="s">
        <v>282</v>
      </c>
      <c r="P49" s="14" t="s">
        <v>283</v>
      </c>
      <c r="Q49" s="14" t="s">
        <v>284</v>
      </c>
      <c r="R49" s="14" t="s">
        <v>904</v>
      </c>
      <c r="S49" s="14" t="s">
        <v>285</v>
      </c>
      <c r="T49" s="14" t="s">
        <v>289</v>
      </c>
      <c r="U49" s="14" t="s">
        <v>8</v>
      </c>
      <c r="V49" s="14" t="s">
        <v>9</v>
      </c>
      <c r="W49" s="14" t="s">
        <v>10</v>
      </c>
      <c r="X49" s="14" t="s">
        <v>100</v>
      </c>
      <c r="Y49" s="14" t="s">
        <v>106</v>
      </c>
      <c r="Z49" s="14" t="s">
        <v>12</v>
      </c>
      <c r="AA49" s="14" t="s">
        <v>91</v>
      </c>
      <c r="AB49" s="14" t="s">
        <v>13</v>
      </c>
      <c r="AC49" s="14" t="s">
        <v>74</v>
      </c>
      <c r="AD49" s="14" t="s">
        <v>21</v>
      </c>
      <c r="AE49" s="14" t="s">
        <v>14</v>
      </c>
      <c r="AF49" s="14" t="s">
        <v>15</v>
      </c>
      <c r="AG49" s="14" t="s">
        <v>16</v>
      </c>
      <c r="AH49" s="15" t="s">
        <v>17</v>
      </c>
    </row>
    <row r="50" spans="1:38" x14ac:dyDescent="0.35">
      <c r="A50" s="20">
        <v>44687</v>
      </c>
      <c r="B50" s="21" t="s">
        <v>81</v>
      </c>
      <c r="C50" s="21"/>
      <c r="D50" s="44">
        <v>129660</v>
      </c>
      <c r="E50" s="21"/>
      <c r="F50" s="21"/>
      <c r="G50" s="21">
        <v>120</v>
      </c>
      <c r="H50" s="22">
        <v>41824.61</v>
      </c>
      <c r="I50" s="23">
        <v>0.5</v>
      </c>
      <c r="J50" s="24">
        <f>K50/H50</f>
        <v>0.49423054990829562</v>
      </c>
      <c r="K50" s="22">
        <v>20671</v>
      </c>
      <c r="L50" s="22"/>
      <c r="M50" s="22"/>
      <c r="N50" s="22"/>
      <c r="O50" s="22"/>
      <c r="P50" s="22"/>
      <c r="Q50" s="22"/>
      <c r="R50" s="22"/>
      <c r="S50" s="22"/>
      <c r="T50" s="22"/>
      <c r="U50" s="25">
        <v>280</v>
      </c>
      <c r="V50" s="25">
        <f>H50*U50*I50/15</f>
        <v>390363.02666666667</v>
      </c>
      <c r="W50" s="25">
        <v>332.98</v>
      </c>
      <c r="X50" s="25">
        <v>458868.63</v>
      </c>
      <c r="Y50" s="25">
        <v>7200</v>
      </c>
      <c r="Z50" s="25">
        <v>15720</v>
      </c>
      <c r="AA50" s="25">
        <f>G50*2.03</f>
        <v>243.59999999999997</v>
      </c>
      <c r="AB50" s="25"/>
      <c r="AC50" s="25">
        <f>G50*30</f>
        <v>3600</v>
      </c>
      <c r="AD50" s="25">
        <f>G50*3.83</f>
        <v>459.6</v>
      </c>
      <c r="AE50" s="25">
        <v>917.74</v>
      </c>
      <c r="AF50" s="25">
        <f>V50+Y50+Z50+AA50+AB50+AC50+AD50</f>
        <v>417586.22666666663</v>
      </c>
      <c r="AG50" s="25">
        <f>(H50*W50*J50/15)-AE50</f>
        <v>457950.8986666667</v>
      </c>
      <c r="AH50" s="26">
        <f>AG50-AF50</f>
        <v>40364.672000000079</v>
      </c>
    </row>
    <row r="51" spans="1:38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6">
        <f>AH50/G50</f>
        <v>336.37226666666731</v>
      </c>
    </row>
    <row r="52" spans="1:38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7">
        <f>AH50/AG50</f>
        <v>8.8141921148146313E-2</v>
      </c>
    </row>
    <row r="53" spans="1:38" x14ac:dyDescent="0.35">
      <c r="AJ53" s="1">
        <f>G4+F10+F16+G26+G32+G38+G44+G50+G56</f>
        <v>822</v>
      </c>
      <c r="AK53" s="50" t="s">
        <v>22</v>
      </c>
      <c r="AL53" t="s">
        <v>72</v>
      </c>
    </row>
    <row r="54" spans="1:38" x14ac:dyDescent="0.35">
      <c r="AJ54" s="11">
        <f>AH4+AH10+AH16+AH21+AH26+AH32+AH38+AH44+AH50+AH56</f>
        <v>360314.14077896526</v>
      </c>
      <c r="AK54" s="11">
        <f>AJ54*30%</f>
        <v>108094.24223368957</v>
      </c>
    </row>
    <row r="55" spans="1:38" x14ac:dyDescent="0.35">
      <c r="A55" s="14" t="s">
        <v>1</v>
      </c>
      <c r="B55" s="14" t="s">
        <v>2</v>
      </c>
      <c r="C55" s="14" t="s">
        <v>110</v>
      </c>
      <c r="D55" s="14" t="s">
        <v>66</v>
      </c>
      <c r="E55" s="14" t="s">
        <v>32</v>
      </c>
      <c r="F55" s="14" t="s">
        <v>137</v>
      </c>
      <c r="G55" s="14" t="s">
        <v>138</v>
      </c>
      <c r="H55" s="14" t="s">
        <v>4</v>
      </c>
      <c r="I55" s="14" t="s">
        <v>5</v>
      </c>
      <c r="J55" s="14" t="s">
        <v>6</v>
      </c>
      <c r="K55" s="14" t="s">
        <v>7</v>
      </c>
      <c r="L55" s="14" t="s">
        <v>279</v>
      </c>
      <c r="M55" s="14" t="s">
        <v>280</v>
      </c>
      <c r="N55" s="14" t="s">
        <v>281</v>
      </c>
      <c r="O55" s="14" t="s">
        <v>282</v>
      </c>
      <c r="P55" s="14" t="s">
        <v>283</v>
      </c>
      <c r="Q55" s="14" t="s">
        <v>284</v>
      </c>
      <c r="R55" s="14" t="s">
        <v>904</v>
      </c>
      <c r="S55" s="14" t="s">
        <v>285</v>
      </c>
      <c r="T55" s="14" t="s">
        <v>289</v>
      </c>
      <c r="U55" s="14" t="s">
        <v>8</v>
      </c>
      <c r="V55" s="14" t="s">
        <v>9</v>
      </c>
      <c r="W55" s="14" t="s">
        <v>10</v>
      </c>
      <c r="X55" s="14" t="s">
        <v>100</v>
      </c>
      <c r="Y55" s="14" t="s">
        <v>106</v>
      </c>
      <c r="Z55" s="14" t="s">
        <v>12</v>
      </c>
      <c r="AA55" s="14" t="s">
        <v>91</v>
      </c>
      <c r="AB55" s="14" t="s">
        <v>13</v>
      </c>
      <c r="AC55" s="14" t="s">
        <v>74</v>
      </c>
      <c r="AD55" s="14" t="s">
        <v>21</v>
      </c>
      <c r="AE55" s="14" t="s">
        <v>14</v>
      </c>
      <c r="AF55" s="14" t="s">
        <v>15</v>
      </c>
      <c r="AG55" s="14" t="s">
        <v>16</v>
      </c>
      <c r="AH55" s="15" t="s">
        <v>17</v>
      </c>
    </row>
    <row r="56" spans="1:38" x14ac:dyDescent="0.35">
      <c r="A56" s="20">
        <v>44687</v>
      </c>
      <c r="B56" s="21" t="s">
        <v>81</v>
      </c>
      <c r="C56" s="21"/>
      <c r="D56" s="44">
        <v>129854</v>
      </c>
      <c r="E56" s="21"/>
      <c r="F56" s="21"/>
      <c r="G56" s="21">
        <v>10</v>
      </c>
      <c r="H56" s="22">
        <v>3485.38</v>
      </c>
      <c r="I56" s="23">
        <v>0.5</v>
      </c>
      <c r="J56" s="24">
        <f>K56/H56</f>
        <v>0.45848659256666419</v>
      </c>
      <c r="K56" s="22">
        <v>1598</v>
      </c>
      <c r="L56" s="22"/>
      <c r="M56" s="22"/>
      <c r="N56" s="22"/>
      <c r="O56" s="22"/>
      <c r="P56" s="22"/>
      <c r="Q56" s="22"/>
      <c r="R56" s="22"/>
      <c r="S56" s="22"/>
      <c r="T56" s="22"/>
      <c r="U56" s="25">
        <v>280</v>
      </c>
      <c r="V56" s="25">
        <f>H56*U56*I56/15</f>
        <v>32530.213333333333</v>
      </c>
      <c r="W56" s="25">
        <v>330.32</v>
      </c>
      <c r="X56" s="25">
        <v>35190.089999999997</v>
      </c>
      <c r="Y56" s="25">
        <v>600</v>
      </c>
      <c r="Z56" s="25">
        <v>0</v>
      </c>
      <c r="AA56" s="25">
        <f>G56*2.03</f>
        <v>20.299999999999997</v>
      </c>
      <c r="AB56" s="25">
        <v>3640</v>
      </c>
      <c r="AC56" s="25">
        <f>G56*30</f>
        <v>300</v>
      </c>
      <c r="AD56" s="25">
        <f>G56*3.83</f>
        <v>38.299999999999997</v>
      </c>
      <c r="AE56" s="25">
        <v>70.38</v>
      </c>
      <c r="AF56" s="25">
        <f>V56+Y56+Z56+AA56+AB56+AC56+AD56</f>
        <v>37128.813333333339</v>
      </c>
      <c r="AG56" s="25">
        <f>(H56*W56*J56/15)-AE56</f>
        <v>35119.710666666666</v>
      </c>
      <c r="AH56" s="26">
        <f>AG56-AF56</f>
        <v>-2009.102666666673</v>
      </c>
    </row>
    <row r="57" spans="1:38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6">
        <f>AH56/G56</f>
        <v>-200.9102666666673</v>
      </c>
    </row>
    <row r="58" spans="1:38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7">
        <f>AH56/AG56</f>
        <v>-5.7207267045442434E-2</v>
      </c>
    </row>
    <row r="59" spans="1:38" ht="15" thickBot="1" x14ac:dyDescent="0.4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7"/>
    </row>
    <row r="60" spans="1:38" ht="16" thickBot="1" x14ac:dyDescent="0.4">
      <c r="A60" s="377" t="s">
        <v>82</v>
      </c>
      <c r="B60" s="378"/>
      <c r="C60" s="378"/>
      <c r="D60" s="378"/>
      <c r="E60" s="378"/>
      <c r="F60" s="378"/>
      <c r="G60" s="378"/>
      <c r="H60" s="378"/>
      <c r="I60" s="378"/>
      <c r="J60" s="378"/>
      <c r="K60" s="378"/>
      <c r="L60" s="46"/>
      <c r="M60" s="46"/>
      <c r="N60" s="46"/>
      <c r="O60" s="46"/>
      <c r="P60" s="46"/>
      <c r="Q60" s="46"/>
      <c r="R60" s="46"/>
      <c r="S60" s="46"/>
      <c r="T60" s="46"/>
      <c r="U60" s="30"/>
      <c r="V60" s="31">
        <f>V4+V10+V16+V26+V32+V38+V44+V50+V56</f>
        <v>3606055.7751943683</v>
      </c>
      <c r="W60" s="30"/>
      <c r="X60" s="30"/>
      <c r="Y60" s="31">
        <f>Y4+Y10+Y16+Y26+Y32+Y38+Y44+Y50+Y56</f>
        <v>41640</v>
      </c>
      <c r="Z60" s="31">
        <f t="shared" ref="Z60:AG60" si="0">Z4+Z10+Z16+Z21+Z26+Z32+Z38+Z44+Z50+Z56</f>
        <v>94280.5</v>
      </c>
      <c r="AA60" s="31">
        <f t="shared" si="0"/>
        <v>1297.1699999999996</v>
      </c>
      <c r="AB60" s="31">
        <f t="shared" si="0"/>
        <v>24548.99</v>
      </c>
      <c r="AC60" s="31">
        <f t="shared" si="0"/>
        <v>19170</v>
      </c>
      <c r="AD60" s="31">
        <f t="shared" si="0"/>
        <v>3194.2200000000003</v>
      </c>
      <c r="AE60" s="31">
        <f t="shared" si="0"/>
        <v>8458.159999999998</v>
      </c>
      <c r="AF60" s="31">
        <f t="shared" si="0"/>
        <v>3859392.5431943676</v>
      </c>
      <c r="AG60" s="31">
        <f t="shared" si="0"/>
        <v>4219706.6839733338</v>
      </c>
      <c r="AH60" s="32"/>
    </row>
  </sheetData>
  <mergeCells count="2">
    <mergeCell ref="U2:AC2"/>
    <mergeCell ref="A60:K6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"/>
  <dimension ref="A1:AL88"/>
  <sheetViews>
    <sheetView zoomScale="70" zoomScaleNormal="70" workbookViewId="0">
      <pane ySplit="3" topLeftCell="A4" activePane="bottomLeft" state="frozen"/>
      <selection activeCell="A24" sqref="A24:U24"/>
      <selection pane="bottomLeft" activeCell="A24" sqref="A24:U24"/>
    </sheetView>
  </sheetViews>
  <sheetFormatPr defaultRowHeight="14.5" x14ac:dyDescent="0.35"/>
  <cols>
    <col min="1" max="1" width="10.81640625" bestFit="1" customWidth="1"/>
    <col min="2" max="2" width="23" bestFit="1" customWidth="1"/>
    <col min="3" max="3" width="16.7265625" customWidth="1"/>
    <col min="4" max="4" width="12.1796875" bestFit="1" customWidth="1"/>
    <col min="5" max="5" width="13.54296875" bestFit="1" customWidth="1"/>
    <col min="6" max="6" width="13.54296875" customWidth="1"/>
    <col min="7" max="7" width="10.1796875" bestFit="1" customWidth="1"/>
    <col min="8" max="8" width="10.26953125" bestFit="1" customWidth="1"/>
    <col min="9" max="9" width="8.26953125" bestFit="1" customWidth="1"/>
    <col min="10" max="10" width="10.54296875" bestFit="1" customWidth="1"/>
    <col min="11" max="11" width="12.81640625" bestFit="1" customWidth="1"/>
    <col min="12" max="16" width="6" bestFit="1" customWidth="1"/>
    <col min="17" max="18" width="11.1796875" bestFit="1" customWidth="1"/>
    <col min="19" max="19" width="3.7265625" bestFit="1" customWidth="1"/>
    <col min="20" max="20" width="3.7265625" customWidth="1"/>
    <col min="21" max="21" width="15.54296875" bestFit="1" customWidth="1"/>
    <col min="22" max="22" width="17" bestFit="1" customWidth="1"/>
    <col min="23" max="23" width="13.81640625" bestFit="1" customWidth="1"/>
    <col min="24" max="24" width="15" bestFit="1" customWidth="1"/>
    <col min="25" max="25" width="13.81640625" customWidth="1"/>
    <col min="26" max="26" width="15.1796875" bestFit="1" customWidth="1"/>
    <col min="27" max="29" width="13.81640625" bestFit="1" customWidth="1"/>
    <col min="30" max="30" width="12.54296875" bestFit="1" customWidth="1"/>
    <col min="31" max="31" width="13.81640625" bestFit="1" customWidth="1"/>
    <col min="32" max="32" width="17" bestFit="1" customWidth="1"/>
    <col min="33" max="33" width="20.26953125" bestFit="1" customWidth="1"/>
    <col min="34" max="34" width="13.7265625" bestFit="1" customWidth="1"/>
    <col min="35" max="35" width="12.81640625" bestFit="1" customWidth="1"/>
    <col min="36" max="36" width="17.26953125" customWidth="1"/>
    <col min="37" max="37" width="13.7265625" bestFit="1" customWidth="1"/>
    <col min="38" max="38" width="15.54296875" bestFit="1" customWidth="1"/>
  </cols>
  <sheetData>
    <row r="1" spans="1:36" ht="7.5" customHeight="1" thickBot="1" x14ac:dyDescent="0.4"/>
    <row r="2" spans="1:36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6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6" x14ac:dyDescent="0.35">
      <c r="A4" s="20">
        <v>44690</v>
      </c>
      <c r="B4" s="21" t="s">
        <v>84</v>
      </c>
      <c r="C4" s="21"/>
      <c r="D4" s="44">
        <v>7029</v>
      </c>
      <c r="E4" s="21"/>
      <c r="F4" s="21"/>
      <c r="G4" s="21">
        <v>100</v>
      </c>
      <c r="H4" s="22">
        <v>49816</v>
      </c>
      <c r="I4" s="23">
        <v>0.5</v>
      </c>
      <c r="J4" s="24">
        <f>K4/H4</f>
        <v>0.53983659868315403</v>
      </c>
      <c r="K4" s="22">
        <v>26892.5</v>
      </c>
      <c r="L4" s="22"/>
      <c r="M4" s="22"/>
      <c r="N4" s="22"/>
      <c r="O4" s="22"/>
      <c r="P4" s="22"/>
      <c r="Q4" s="22"/>
      <c r="R4" s="22"/>
      <c r="S4" s="22"/>
      <c r="T4" s="22"/>
      <c r="U4" s="25">
        <v>270</v>
      </c>
      <c r="V4" s="25">
        <f>H4*U4*I4/15</f>
        <v>448344</v>
      </c>
      <c r="W4" s="25">
        <v>317.91000000000003</v>
      </c>
      <c r="X4" s="25">
        <v>569959.64</v>
      </c>
      <c r="Y4" s="25">
        <v>10000</v>
      </c>
      <c r="Z4" s="25">
        <v>14506.4</v>
      </c>
      <c r="AA4" s="25">
        <v>625</v>
      </c>
      <c r="AB4" s="25">
        <v>2700</v>
      </c>
      <c r="AC4" s="25"/>
      <c r="AD4" s="25">
        <f>G4*3.83</f>
        <v>383</v>
      </c>
      <c r="AE4" s="25">
        <v>1142.22</v>
      </c>
      <c r="AF4" s="25">
        <f>V4+Y4+Z4+AA4+AB4+AC4+AD4</f>
        <v>476558.4</v>
      </c>
      <c r="AG4" s="25">
        <f>(H4*W4*J4/15)-AE4</f>
        <v>568817.42500000005</v>
      </c>
      <c r="AH4" s="26">
        <f>AG4-AF4</f>
        <v>92259.025000000023</v>
      </c>
    </row>
    <row r="5" spans="1:36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6">
        <f>AH4/G4</f>
        <v>922.5902500000002</v>
      </c>
      <c r="AJ5" s="11"/>
    </row>
    <row r="6" spans="1:36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AH4/AG4</f>
        <v>0.16219444226765736</v>
      </c>
      <c r="AJ6" s="1"/>
    </row>
    <row r="7" spans="1:36" x14ac:dyDescent="0.35">
      <c r="AJ7" s="11"/>
    </row>
    <row r="8" spans="1:36" x14ac:dyDescent="0.35">
      <c r="AJ8" s="1"/>
    </row>
    <row r="9" spans="1:36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6" x14ac:dyDescent="0.35">
      <c r="A10" s="20">
        <v>44690</v>
      </c>
      <c r="B10" s="21" t="s">
        <v>84</v>
      </c>
      <c r="C10" s="21"/>
      <c r="D10" s="44">
        <v>7030</v>
      </c>
      <c r="E10" s="21"/>
      <c r="F10" s="21">
        <v>100</v>
      </c>
      <c r="H10" s="22">
        <v>50524</v>
      </c>
      <c r="I10" s="33">
        <v>0.5</v>
      </c>
      <c r="J10" s="24">
        <f>K10/H10</f>
        <v>0.52296928192542158</v>
      </c>
      <c r="K10" s="22">
        <v>26422.5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270</v>
      </c>
      <c r="V10" s="25">
        <f>H10*U10*I10/15</f>
        <v>454716</v>
      </c>
      <c r="W10" s="25">
        <v>318.44</v>
      </c>
      <c r="X10" s="25">
        <v>560932.06000000006</v>
      </c>
      <c r="Y10" s="25">
        <v>10000</v>
      </c>
      <c r="Z10" s="25">
        <v>14506.4</v>
      </c>
      <c r="AA10" s="25">
        <v>625</v>
      </c>
      <c r="AB10" s="25">
        <v>2700</v>
      </c>
      <c r="AC10" s="25"/>
      <c r="AD10" s="25">
        <f>F10*3.83</f>
        <v>383</v>
      </c>
      <c r="AE10" s="25">
        <v>1121.8800000000001</v>
      </c>
      <c r="AF10" s="25">
        <f>V10+Y10+Z10+AA10+AB10+AC10+AD10</f>
        <v>482930.4</v>
      </c>
      <c r="AG10" s="25">
        <f>(H10*W10*J10/15)-AE10</f>
        <v>559810.18000000005</v>
      </c>
      <c r="AH10" s="26">
        <f>AG10-AF10</f>
        <v>76879.780000000028</v>
      </c>
    </row>
    <row r="11" spans="1:36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AH10/F10</f>
        <v>768.79780000000028</v>
      </c>
      <c r="AJ11" s="6"/>
    </row>
    <row r="12" spans="1:36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AH10/AG10</f>
        <v>0.13733187202847941</v>
      </c>
      <c r="AJ12" s="6"/>
    </row>
    <row r="15" spans="1:36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38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6" x14ac:dyDescent="0.35">
      <c r="A16" s="20">
        <v>44690</v>
      </c>
      <c r="B16" s="21" t="s">
        <v>85</v>
      </c>
      <c r="C16" s="21"/>
      <c r="D16" s="44">
        <v>129657</v>
      </c>
      <c r="E16" s="21"/>
      <c r="F16" s="21"/>
      <c r="G16" s="21">
        <v>65</v>
      </c>
      <c r="H16" s="22">
        <v>22940</v>
      </c>
      <c r="I16" s="33">
        <v>0.5</v>
      </c>
      <c r="J16" s="24">
        <f>K16/H16</f>
        <v>0.51628160418483005</v>
      </c>
      <c r="K16" s="22">
        <v>11843.5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280</v>
      </c>
      <c r="V16" s="25">
        <f>H16*U16*I16/15</f>
        <v>214106.66666666666</v>
      </c>
      <c r="W16" s="25">
        <v>334.98</v>
      </c>
      <c r="X16" s="25">
        <v>264489.03999999998</v>
      </c>
      <c r="Y16" s="25"/>
      <c r="Z16" s="25">
        <v>9780</v>
      </c>
      <c r="AA16" s="25"/>
      <c r="AB16" s="25">
        <v>1820</v>
      </c>
      <c r="AC16" s="25">
        <f>G16*30</f>
        <v>1950</v>
      </c>
      <c r="AD16" s="25">
        <f>G16*3.83</f>
        <v>248.95000000000002</v>
      </c>
      <c r="AE16" s="25">
        <v>528.97</v>
      </c>
      <c r="AF16" s="25">
        <f>V16+Y16+Z16+AA16+AB16+AC16+AD16</f>
        <v>227905.61666666667</v>
      </c>
      <c r="AG16" s="25">
        <f>(H16*W16*J16/15)-AE16</f>
        <v>263960.07200000004</v>
      </c>
      <c r="AH16" s="26">
        <f>AG16-AF16</f>
        <v>36054.455333333375</v>
      </c>
      <c r="AJ16" s="6"/>
    </row>
    <row r="17" spans="1:36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56"/>
      <c r="AA17" s="21"/>
      <c r="AB17" s="21"/>
      <c r="AC17" s="21"/>
      <c r="AD17" s="21"/>
      <c r="AE17" s="21"/>
      <c r="AF17" s="21"/>
      <c r="AG17" s="21"/>
      <c r="AH17" s="26">
        <f>AH16/G16</f>
        <v>554.68392820512884</v>
      </c>
      <c r="AJ17" s="6"/>
    </row>
    <row r="18" spans="1:36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AH16/AG16</f>
        <v>0.13659056485381382</v>
      </c>
    </row>
    <row r="20" spans="1:36" x14ac:dyDescent="0.35">
      <c r="A20" s="14" t="s">
        <v>1</v>
      </c>
      <c r="B20" s="14" t="s">
        <v>2</v>
      </c>
      <c r="C20" s="14" t="s">
        <v>110</v>
      </c>
      <c r="D20" s="14" t="s">
        <v>66</v>
      </c>
      <c r="E20" s="14" t="s">
        <v>38</v>
      </c>
      <c r="F20" s="14" t="s">
        <v>137</v>
      </c>
      <c r="G20" s="14" t="s">
        <v>138</v>
      </c>
      <c r="H20" s="14" t="s">
        <v>4</v>
      </c>
      <c r="I20" s="14" t="s">
        <v>5</v>
      </c>
      <c r="J20" s="14" t="s">
        <v>6</v>
      </c>
      <c r="K20" s="14" t="s">
        <v>7</v>
      </c>
      <c r="L20" s="14" t="s">
        <v>279</v>
      </c>
      <c r="M20" s="14" t="s">
        <v>280</v>
      </c>
      <c r="N20" s="14" t="s">
        <v>281</v>
      </c>
      <c r="O20" s="14" t="s">
        <v>282</v>
      </c>
      <c r="P20" s="14" t="s">
        <v>283</v>
      </c>
      <c r="Q20" s="14" t="s">
        <v>284</v>
      </c>
      <c r="R20" s="14" t="s">
        <v>904</v>
      </c>
      <c r="S20" s="14" t="s">
        <v>285</v>
      </c>
      <c r="T20" s="14" t="s">
        <v>289</v>
      </c>
      <c r="U20" s="14" t="s">
        <v>8</v>
      </c>
      <c r="V20" s="14" t="s">
        <v>9</v>
      </c>
      <c r="W20" s="14" t="s">
        <v>10</v>
      </c>
      <c r="X20" s="14" t="s">
        <v>100</v>
      </c>
      <c r="Y20" s="14" t="s">
        <v>106</v>
      </c>
      <c r="Z20" s="14" t="s">
        <v>12</v>
      </c>
      <c r="AA20" s="14" t="s">
        <v>11</v>
      </c>
      <c r="AB20" s="14" t="s">
        <v>13</v>
      </c>
      <c r="AC20" s="14" t="s">
        <v>74</v>
      </c>
      <c r="AD20" s="14" t="s">
        <v>21</v>
      </c>
      <c r="AE20" s="14" t="s">
        <v>14</v>
      </c>
      <c r="AF20" s="14" t="s">
        <v>15</v>
      </c>
      <c r="AG20" s="14" t="s">
        <v>16</v>
      </c>
      <c r="AH20" s="15" t="s">
        <v>17</v>
      </c>
    </row>
    <row r="21" spans="1:36" x14ac:dyDescent="0.35">
      <c r="A21" s="20">
        <v>44690</v>
      </c>
      <c r="B21" s="21" t="s">
        <v>86</v>
      </c>
      <c r="C21" s="21"/>
      <c r="D21" s="44">
        <v>129658</v>
      </c>
      <c r="E21" s="21"/>
      <c r="F21" s="21"/>
      <c r="G21" s="21">
        <v>40</v>
      </c>
      <c r="H21" s="22">
        <v>15880</v>
      </c>
      <c r="I21" s="33">
        <v>0.5</v>
      </c>
      <c r="J21" s="24">
        <f>K21/H21</f>
        <v>0.46886209068010076</v>
      </c>
      <c r="K21" s="22">
        <v>7445.53</v>
      </c>
      <c r="L21" s="22"/>
      <c r="M21" s="22"/>
      <c r="N21" s="22"/>
      <c r="O21" s="22"/>
      <c r="P21" s="22"/>
      <c r="Q21" s="22"/>
      <c r="R21" s="22"/>
      <c r="S21" s="22"/>
      <c r="T21" s="22"/>
      <c r="U21" s="25">
        <v>280</v>
      </c>
      <c r="V21" s="25">
        <f>H21*U21*I21/15</f>
        <v>148213.33333333334</v>
      </c>
      <c r="W21" s="25">
        <v>335.98</v>
      </c>
      <c r="X21" s="25">
        <v>166769.94</v>
      </c>
      <c r="Y21" s="25"/>
      <c r="Z21" s="25">
        <v>2658.46</v>
      </c>
      <c r="AA21" s="25"/>
      <c r="AB21" s="25">
        <v>1120</v>
      </c>
      <c r="AC21" s="25">
        <f>G21*30</f>
        <v>1200</v>
      </c>
      <c r="AD21" s="25">
        <f>G21*3.83</f>
        <v>153.19999999999999</v>
      </c>
      <c r="AE21" s="25">
        <v>333.54</v>
      </c>
      <c r="AF21" s="25">
        <f>V21+Y21+Z21+AA21+AB21+AC21+AD21</f>
        <v>153344.99333333335</v>
      </c>
      <c r="AG21" s="25">
        <f>(H21*W21*J21/15)-AE21</f>
        <v>166436.40462666666</v>
      </c>
      <c r="AH21" s="26">
        <f>AG21-AF21</f>
        <v>13091.411293333309</v>
      </c>
    </row>
    <row r="22" spans="1:36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5"/>
      <c r="AA22" s="21"/>
      <c r="AB22" s="21"/>
      <c r="AC22" s="21"/>
      <c r="AD22" s="21"/>
      <c r="AE22" s="21"/>
      <c r="AF22" s="21"/>
      <c r="AG22" s="21"/>
      <c r="AH22" s="26">
        <f>AH21/G21</f>
        <v>327.2852823333327</v>
      </c>
      <c r="AJ22" s="6"/>
    </row>
    <row r="23" spans="1:36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7">
        <f>AH21/AG21</f>
        <v>7.8657138278723587E-2</v>
      </c>
      <c r="AJ23" s="6"/>
    </row>
    <row r="25" spans="1:36" x14ac:dyDescent="0.35">
      <c r="A25" s="14" t="s">
        <v>1</v>
      </c>
      <c r="B25" s="14" t="s">
        <v>2</v>
      </c>
      <c r="C25" s="14" t="s">
        <v>110</v>
      </c>
      <c r="D25" s="14" t="s">
        <v>66</v>
      </c>
      <c r="E25" s="14" t="s">
        <v>32</v>
      </c>
      <c r="F25" s="14" t="s">
        <v>137</v>
      </c>
      <c r="G25" s="14" t="s">
        <v>138</v>
      </c>
      <c r="H25" s="14" t="s">
        <v>4</v>
      </c>
      <c r="I25" s="14" t="s">
        <v>5</v>
      </c>
      <c r="J25" s="14" t="s">
        <v>6</v>
      </c>
      <c r="K25" s="14" t="s">
        <v>7</v>
      </c>
      <c r="L25" s="14" t="s">
        <v>279</v>
      </c>
      <c r="M25" s="14" t="s">
        <v>280</v>
      </c>
      <c r="N25" s="14" t="s">
        <v>281</v>
      </c>
      <c r="O25" s="14" t="s">
        <v>282</v>
      </c>
      <c r="P25" s="14" t="s">
        <v>283</v>
      </c>
      <c r="Q25" s="14" t="s">
        <v>284</v>
      </c>
      <c r="R25" s="14" t="s">
        <v>904</v>
      </c>
      <c r="S25" s="14" t="s">
        <v>285</v>
      </c>
      <c r="T25" s="14" t="s">
        <v>289</v>
      </c>
      <c r="U25" s="14" t="s">
        <v>8</v>
      </c>
      <c r="V25" s="14" t="s">
        <v>9</v>
      </c>
      <c r="W25" s="14" t="s">
        <v>10</v>
      </c>
      <c r="X25" s="14" t="s">
        <v>100</v>
      </c>
      <c r="Y25" s="14" t="s">
        <v>106</v>
      </c>
      <c r="Z25" s="14" t="s">
        <v>12</v>
      </c>
      <c r="AA25" s="14" t="s">
        <v>11</v>
      </c>
      <c r="AB25" s="14" t="s">
        <v>13</v>
      </c>
      <c r="AC25" s="14" t="s">
        <v>74</v>
      </c>
      <c r="AD25" s="14" t="s">
        <v>21</v>
      </c>
      <c r="AE25" s="14" t="s">
        <v>14</v>
      </c>
      <c r="AF25" s="14" t="s">
        <v>15</v>
      </c>
      <c r="AG25" s="14" t="s">
        <v>16</v>
      </c>
      <c r="AH25" s="15" t="s">
        <v>17</v>
      </c>
    </row>
    <row r="26" spans="1:36" x14ac:dyDescent="0.35">
      <c r="A26" s="20">
        <v>44690</v>
      </c>
      <c r="B26" s="21" t="s">
        <v>86</v>
      </c>
      <c r="C26" s="21"/>
      <c r="D26" s="44">
        <v>129658</v>
      </c>
      <c r="E26" s="21"/>
      <c r="F26" s="21"/>
      <c r="G26" s="21">
        <v>25</v>
      </c>
      <c r="H26" s="22">
        <v>9460</v>
      </c>
      <c r="I26" s="33">
        <v>0.5</v>
      </c>
      <c r="J26" s="24">
        <f>K26/H26</f>
        <v>0.49190909090909091</v>
      </c>
      <c r="K26" s="22">
        <v>4653.46</v>
      </c>
      <c r="L26" s="22"/>
      <c r="M26" s="22"/>
      <c r="N26" s="22"/>
      <c r="O26" s="22"/>
      <c r="P26" s="22"/>
      <c r="Q26" s="22"/>
      <c r="R26" s="22"/>
      <c r="S26" s="22"/>
      <c r="T26" s="22"/>
      <c r="U26" s="25">
        <v>280</v>
      </c>
      <c r="V26" s="25">
        <f>H26*U26*I26/15</f>
        <v>88293.333333333328</v>
      </c>
      <c r="W26" s="25">
        <v>335.98</v>
      </c>
      <c r="X26" s="25">
        <v>104231.29</v>
      </c>
      <c r="Y26" s="25"/>
      <c r="Z26" s="25">
        <v>1661.54</v>
      </c>
      <c r="AA26" s="25"/>
      <c r="AB26" s="25">
        <v>700</v>
      </c>
      <c r="AC26" s="25">
        <f>G26*30</f>
        <v>750</v>
      </c>
      <c r="AD26" s="25">
        <f>G26*3.83</f>
        <v>95.75</v>
      </c>
      <c r="AE26" s="25">
        <v>185.3</v>
      </c>
      <c r="AF26" s="25">
        <f>V26+Y26+Z26+AA26+AB26+AC26+AD26</f>
        <v>91500.623333333322</v>
      </c>
      <c r="AG26" s="25">
        <f>(H26*W26*J26/15)-AE26</f>
        <v>104045.99938666666</v>
      </c>
      <c r="AH26" s="26">
        <f>AG26-AF26</f>
        <v>12545.376053333341</v>
      </c>
    </row>
    <row r="27" spans="1:36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5"/>
      <c r="AC27" s="21"/>
      <c r="AD27" s="21"/>
      <c r="AE27" s="21"/>
      <c r="AF27" s="21"/>
      <c r="AG27" s="21"/>
      <c r="AH27" s="26">
        <f>AH26/G26</f>
        <v>501.81504213333363</v>
      </c>
    </row>
    <row r="28" spans="1:36" x14ac:dyDescent="0.3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7">
        <f>AH26/AG26</f>
        <v>0.12057528523236052</v>
      </c>
      <c r="AJ28" s="6"/>
    </row>
    <row r="29" spans="1:36" x14ac:dyDescent="0.35">
      <c r="AJ29" s="6"/>
    </row>
    <row r="31" spans="1:36" x14ac:dyDescent="0.35">
      <c r="A31" s="37" t="s">
        <v>1</v>
      </c>
      <c r="B31" s="37" t="s">
        <v>2</v>
      </c>
      <c r="C31" s="37" t="s">
        <v>110</v>
      </c>
      <c r="D31" s="37" t="s">
        <v>66</v>
      </c>
      <c r="E31" s="37" t="s">
        <v>32</v>
      </c>
      <c r="F31" s="37" t="s">
        <v>137</v>
      </c>
      <c r="G31" s="37" t="s">
        <v>138</v>
      </c>
      <c r="H31" s="37" t="s">
        <v>4</v>
      </c>
      <c r="I31" s="37" t="s">
        <v>5</v>
      </c>
      <c r="J31" s="37" t="s">
        <v>6</v>
      </c>
      <c r="K31" s="37" t="s">
        <v>7</v>
      </c>
      <c r="L31" s="37" t="s">
        <v>279</v>
      </c>
      <c r="M31" s="37" t="s">
        <v>280</v>
      </c>
      <c r="N31" s="37" t="s">
        <v>281</v>
      </c>
      <c r="O31" s="37" t="s">
        <v>282</v>
      </c>
      <c r="P31" s="37" t="s">
        <v>283</v>
      </c>
      <c r="Q31" s="37" t="s">
        <v>284</v>
      </c>
      <c r="R31" s="37" t="s">
        <v>904</v>
      </c>
      <c r="S31" s="37" t="s">
        <v>285</v>
      </c>
      <c r="T31" s="37" t="s">
        <v>289</v>
      </c>
      <c r="U31" s="37" t="s">
        <v>8</v>
      </c>
      <c r="V31" s="37" t="s">
        <v>9</v>
      </c>
      <c r="W31" s="37" t="s">
        <v>10</v>
      </c>
      <c r="X31" s="37" t="s">
        <v>100</v>
      </c>
      <c r="Y31" s="37" t="s">
        <v>106</v>
      </c>
      <c r="Z31" s="37" t="s">
        <v>12</v>
      </c>
      <c r="AA31" s="37" t="s">
        <v>11</v>
      </c>
      <c r="AB31" s="37" t="s">
        <v>13</v>
      </c>
      <c r="AC31" s="37" t="s">
        <v>74</v>
      </c>
      <c r="AD31" s="37" t="s">
        <v>21</v>
      </c>
      <c r="AE31" s="37" t="s">
        <v>14</v>
      </c>
      <c r="AF31" s="37" t="s">
        <v>15</v>
      </c>
      <c r="AG31" s="37" t="s">
        <v>16</v>
      </c>
      <c r="AH31" s="15" t="s">
        <v>17</v>
      </c>
    </row>
    <row r="32" spans="1:36" x14ac:dyDescent="0.35">
      <c r="A32" s="38">
        <v>44691</v>
      </c>
      <c r="B32" s="39" t="s">
        <v>87</v>
      </c>
      <c r="C32" s="39"/>
      <c r="D32" s="45">
        <v>129655</v>
      </c>
      <c r="E32" s="39"/>
      <c r="F32" s="39">
        <v>100</v>
      </c>
      <c r="G32" s="64"/>
      <c r="H32" s="40">
        <v>59580</v>
      </c>
      <c r="I32" s="53">
        <v>0.53</v>
      </c>
      <c r="J32" s="42">
        <f>K32/H32</f>
        <v>0.54208627056059078</v>
      </c>
      <c r="K32" s="40">
        <v>32297.5</v>
      </c>
      <c r="L32" s="40"/>
      <c r="M32" s="40"/>
      <c r="N32" s="40"/>
      <c r="O32" s="40"/>
      <c r="P32" s="40"/>
      <c r="Q32" s="40"/>
      <c r="R32" s="40"/>
      <c r="S32" s="40"/>
      <c r="T32" s="40"/>
      <c r="U32" s="43">
        <v>305</v>
      </c>
      <c r="V32" s="43">
        <f>H32*U32*I32/15</f>
        <v>642073.80000000005</v>
      </c>
      <c r="W32" s="43">
        <v>342.56</v>
      </c>
      <c r="X32" s="43">
        <v>737588.77</v>
      </c>
      <c r="Y32" s="43"/>
      <c r="Z32" s="43">
        <v>11604.8</v>
      </c>
      <c r="AA32" s="43"/>
      <c r="AB32" s="43">
        <v>3050</v>
      </c>
      <c r="AC32" s="43">
        <f>F32*30</f>
        <v>3000</v>
      </c>
      <c r="AD32" s="43">
        <f>F32*3.83</f>
        <v>383</v>
      </c>
      <c r="AE32" s="43">
        <v>1475.17</v>
      </c>
      <c r="AF32" s="43">
        <f>V32+Y32+Z32+AA32+AB32+AC32+AD32</f>
        <v>660111.60000000009</v>
      </c>
      <c r="AG32" s="43">
        <f>(H32*W32*J32/15)-AE32</f>
        <v>736113.60333333327</v>
      </c>
      <c r="AH32" s="26">
        <f>AG32-AF32</f>
        <v>76002.003333333181</v>
      </c>
    </row>
    <row r="33" spans="1:36" x14ac:dyDescent="0.3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6">
        <f>AH32/F32</f>
        <v>760.02003333333187</v>
      </c>
    </row>
    <row r="34" spans="1:36" x14ac:dyDescent="0.3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7">
        <f>AH32/AG32</f>
        <v>0.10324765496680721</v>
      </c>
      <c r="AJ34" s="6"/>
    </row>
    <row r="35" spans="1:36" x14ac:dyDescent="0.35">
      <c r="AJ35" s="6"/>
    </row>
    <row r="37" spans="1:36" x14ac:dyDescent="0.35">
      <c r="A37" s="37" t="s">
        <v>1</v>
      </c>
      <c r="B37" s="37" t="s">
        <v>2</v>
      </c>
      <c r="C37" s="37" t="s">
        <v>110</v>
      </c>
      <c r="D37" s="37" t="s">
        <v>66</v>
      </c>
      <c r="E37" s="37" t="s">
        <v>32</v>
      </c>
      <c r="F37" s="37" t="s">
        <v>137</v>
      </c>
      <c r="G37" s="37" t="s">
        <v>138</v>
      </c>
      <c r="H37" s="37" t="s">
        <v>4</v>
      </c>
      <c r="I37" s="37" t="s">
        <v>5</v>
      </c>
      <c r="J37" s="37" t="s">
        <v>6</v>
      </c>
      <c r="K37" s="37" t="s">
        <v>7</v>
      </c>
      <c r="L37" s="37" t="s">
        <v>279</v>
      </c>
      <c r="M37" s="37" t="s">
        <v>280</v>
      </c>
      <c r="N37" s="37" t="s">
        <v>281</v>
      </c>
      <c r="O37" s="37" t="s">
        <v>282</v>
      </c>
      <c r="P37" s="37" t="s">
        <v>283</v>
      </c>
      <c r="Q37" s="37" t="s">
        <v>284</v>
      </c>
      <c r="R37" s="37" t="s">
        <v>904</v>
      </c>
      <c r="S37" s="37" t="s">
        <v>285</v>
      </c>
      <c r="T37" s="37" t="s">
        <v>289</v>
      </c>
      <c r="U37" s="37" t="s">
        <v>8</v>
      </c>
      <c r="V37" s="37" t="s">
        <v>9</v>
      </c>
      <c r="W37" s="37" t="s">
        <v>10</v>
      </c>
      <c r="X37" s="37" t="s">
        <v>100</v>
      </c>
      <c r="Y37" s="37" t="s">
        <v>106</v>
      </c>
      <c r="Z37" s="37" t="s">
        <v>12</v>
      </c>
      <c r="AA37" s="37" t="s">
        <v>11</v>
      </c>
      <c r="AB37" s="37" t="s">
        <v>13</v>
      </c>
      <c r="AC37" s="37" t="s">
        <v>74</v>
      </c>
      <c r="AD37" s="37" t="s">
        <v>21</v>
      </c>
      <c r="AE37" s="37" t="s">
        <v>14</v>
      </c>
      <c r="AF37" s="37" t="s">
        <v>15</v>
      </c>
      <c r="AG37" s="37" t="s">
        <v>16</v>
      </c>
      <c r="AH37" s="15" t="s">
        <v>17</v>
      </c>
    </row>
    <row r="38" spans="1:36" x14ac:dyDescent="0.35">
      <c r="A38" s="38">
        <v>44691</v>
      </c>
      <c r="B38" s="39" t="s">
        <v>88</v>
      </c>
      <c r="C38" s="39"/>
      <c r="D38" s="45">
        <v>130049</v>
      </c>
      <c r="E38" s="39"/>
      <c r="F38" s="39"/>
      <c r="G38" s="39">
        <v>65</v>
      </c>
      <c r="H38" s="40">
        <v>25960</v>
      </c>
      <c r="I38" s="53">
        <v>0.5</v>
      </c>
      <c r="J38" s="42">
        <f>K38/H38</f>
        <v>0.50356317411402152</v>
      </c>
      <c r="K38" s="40">
        <v>13072.5</v>
      </c>
      <c r="L38" s="40"/>
      <c r="M38" s="40"/>
      <c r="N38" s="40"/>
      <c r="O38" s="40"/>
      <c r="P38" s="40"/>
      <c r="Q38" s="40"/>
      <c r="R38" s="40"/>
      <c r="S38" s="40"/>
      <c r="T38" s="40"/>
      <c r="U38" s="43">
        <v>280</v>
      </c>
      <c r="V38" s="43">
        <f>H38*U38*I38/15</f>
        <v>242293.33333333334</v>
      </c>
      <c r="W38" s="43">
        <v>330.33</v>
      </c>
      <c r="X38" s="43">
        <v>287882.59000000003</v>
      </c>
      <c r="Y38" s="43">
        <v>3900</v>
      </c>
      <c r="Z38" s="43">
        <v>9612</v>
      </c>
      <c r="AA38" s="43"/>
      <c r="AB38" s="43">
        <v>1820</v>
      </c>
      <c r="AC38" s="43">
        <v>1950</v>
      </c>
      <c r="AD38" s="43">
        <f>G38*3.83</f>
        <v>248.95000000000002</v>
      </c>
      <c r="AE38" s="43">
        <v>575.76</v>
      </c>
      <c r="AF38" s="43">
        <f>V38+Y38+Z38+AA38+AB38+AC38+AD38</f>
        <v>259824.28333333335</v>
      </c>
      <c r="AG38" s="43">
        <f>(H38*W38*J38/15)-AE38</f>
        <v>287306.8349999999</v>
      </c>
      <c r="AH38" s="26">
        <f>AG38-AF38</f>
        <v>27482.55166666655</v>
      </c>
    </row>
    <row r="39" spans="1:36" x14ac:dyDescent="0.3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6">
        <f>AH38/G38</f>
        <v>422.80848717948538</v>
      </c>
    </row>
    <row r="40" spans="1:36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7">
        <f>AH38/AG38</f>
        <v>9.5655753078991518E-2</v>
      </c>
      <c r="AJ40" s="6"/>
    </row>
    <row r="41" spans="1:36" x14ac:dyDescent="0.35">
      <c r="AJ41" s="6"/>
    </row>
    <row r="43" spans="1:36" x14ac:dyDescent="0.35">
      <c r="A43" s="37" t="s">
        <v>1</v>
      </c>
      <c r="B43" s="37" t="s">
        <v>2</v>
      </c>
      <c r="C43" s="37" t="s">
        <v>110</v>
      </c>
      <c r="D43" s="37" t="s">
        <v>66</v>
      </c>
      <c r="E43" s="37" t="s">
        <v>32</v>
      </c>
      <c r="F43" s="37" t="s">
        <v>137</v>
      </c>
      <c r="G43" s="37" t="s">
        <v>138</v>
      </c>
      <c r="H43" s="37" t="s">
        <v>4</v>
      </c>
      <c r="I43" s="37" t="s">
        <v>5</v>
      </c>
      <c r="J43" s="37" t="s">
        <v>6</v>
      </c>
      <c r="K43" s="37" t="s">
        <v>7</v>
      </c>
      <c r="L43" s="37" t="s">
        <v>279</v>
      </c>
      <c r="M43" s="37" t="s">
        <v>280</v>
      </c>
      <c r="N43" s="37" t="s">
        <v>281</v>
      </c>
      <c r="O43" s="37" t="s">
        <v>282</v>
      </c>
      <c r="P43" s="37" t="s">
        <v>283</v>
      </c>
      <c r="Q43" s="37" t="s">
        <v>284</v>
      </c>
      <c r="R43" s="37" t="s">
        <v>904</v>
      </c>
      <c r="S43" s="37" t="s">
        <v>285</v>
      </c>
      <c r="T43" s="37" t="s">
        <v>289</v>
      </c>
      <c r="U43" s="37" t="s">
        <v>8</v>
      </c>
      <c r="V43" s="37" t="s">
        <v>9</v>
      </c>
      <c r="W43" s="37" t="s">
        <v>10</v>
      </c>
      <c r="X43" s="37" t="s">
        <v>100</v>
      </c>
      <c r="Y43" s="37" t="s">
        <v>106</v>
      </c>
      <c r="Z43" s="37" t="s">
        <v>12</v>
      </c>
      <c r="AA43" s="37" t="s">
        <v>11</v>
      </c>
      <c r="AB43" s="37" t="s">
        <v>13</v>
      </c>
      <c r="AC43" s="37" t="s">
        <v>74</v>
      </c>
      <c r="AD43" s="37" t="s">
        <v>21</v>
      </c>
      <c r="AE43" s="37" t="s">
        <v>14</v>
      </c>
      <c r="AF43" s="37" t="s">
        <v>15</v>
      </c>
      <c r="AG43" s="37" t="s">
        <v>16</v>
      </c>
      <c r="AH43" s="15" t="s">
        <v>17</v>
      </c>
    </row>
    <row r="44" spans="1:36" x14ac:dyDescent="0.35">
      <c r="A44" s="38">
        <v>44692</v>
      </c>
      <c r="B44" s="39" t="s">
        <v>89</v>
      </c>
      <c r="C44" s="39"/>
      <c r="D44" s="45">
        <v>129652</v>
      </c>
      <c r="E44" s="39"/>
      <c r="F44" s="39">
        <v>20</v>
      </c>
      <c r="G44" s="64"/>
      <c r="H44" s="40">
        <v>11271</v>
      </c>
      <c r="I44" s="41">
        <v>0.52</v>
      </c>
      <c r="J44" s="42">
        <f>K44/H44</f>
        <v>0.54523999645106913</v>
      </c>
      <c r="K44" s="40">
        <v>6145.4</v>
      </c>
      <c r="L44" s="40"/>
      <c r="M44" s="40"/>
      <c r="N44" s="40"/>
      <c r="O44" s="40"/>
      <c r="P44" s="40"/>
      <c r="Q44" s="40"/>
      <c r="R44" s="40"/>
      <c r="S44" s="40"/>
      <c r="T44" s="40"/>
      <c r="U44" s="43">
        <v>295</v>
      </c>
      <c r="V44" s="43">
        <f>H44*U44*I44/15</f>
        <v>115264.76000000001</v>
      </c>
      <c r="W44" s="43">
        <v>333.56</v>
      </c>
      <c r="X44" s="43">
        <v>136657.29999999999</v>
      </c>
      <c r="Y44" s="43">
        <v>2000</v>
      </c>
      <c r="Z44" s="43">
        <v>1982.4</v>
      </c>
      <c r="AA44" s="43"/>
      <c r="AB44" s="43">
        <v>590</v>
      </c>
      <c r="AC44" s="43"/>
      <c r="AD44" s="43">
        <v>172.64</v>
      </c>
      <c r="AE44" s="43">
        <v>273.32</v>
      </c>
      <c r="AF44" s="43">
        <f>V44+Y44+Z44+AA44+AB44+AC44+AD44</f>
        <v>120009.8</v>
      </c>
      <c r="AG44" s="43">
        <f>(H44*J44*W44/15)-AE44</f>
        <v>136383.98826666668</v>
      </c>
      <c r="AH44" s="26">
        <f>AG44-AF44</f>
        <v>16374.188266666679</v>
      </c>
    </row>
    <row r="45" spans="1:36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6">
        <f>AH44/F44</f>
        <v>818.70941333333394</v>
      </c>
    </row>
    <row r="46" spans="1:36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5"/>
      <c r="W46" s="21"/>
      <c r="X46" s="21"/>
      <c r="Y46" s="25"/>
      <c r="Z46" s="25"/>
      <c r="AA46" s="21"/>
      <c r="AB46" s="21"/>
      <c r="AC46" s="21"/>
      <c r="AD46" s="21"/>
      <c r="AE46" s="21"/>
      <c r="AF46" s="21"/>
      <c r="AG46" s="21"/>
      <c r="AH46" s="27">
        <f>AH44/AG44</f>
        <v>0.12005946207300244</v>
      </c>
    </row>
    <row r="47" spans="1:36" x14ac:dyDescent="0.35">
      <c r="W47" s="6"/>
      <c r="X47" s="6"/>
      <c r="Y47" s="6"/>
      <c r="Z47" s="6"/>
    </row>
    <row r="49" spans="1:38" x14ac:dyDescent="0.35">
      <c r="A49" s="37" t="s">
        <v>1</v>
      </c>
      <c r="B49" s="37" t="s">
        <v>2</v>
      </c>
      <c r="C49" s="37" t="s">
        <v>110</v>
      </c>
      <c r="D49" s="37" t="s">
        <v>66</v>
      </c>
      <c r="E49" s="37" t="s">
        <v>32</v>
      </c>
      <c r="F49" s="37" t="s">
        <v>137</v>
      </c>
      <c r="G49" s="37" t="s">
        <v>138</v>
      </c>
      <c r="H49" s="37" t="s">
        <v>4</v>
      </c>
      <c r="I49" s="37" t="s">
        <v>5</v>
      </c>
      <c r="J49" s="37" t="s">
        <v>6</v>
      </c>
      <c r="K49" s="37" t="s">
        <v>7</v>
      </c>
      <c r="L49" s="37" t="s">
        <v>279</v>
      </c>
      <c r="M49" s="37" t="s">
        <v>280</v>
      </c>
      <c r="N49" s="37" t="s">
        <v>281</v>
      </c>
      <c r="O49" s="37" t="s">
        <v>282</v>
      </c>
      <c r="P49" s="37" t="s">
        <v>283</v>
      </c>
      <c r="Q49" s="37" t="s">
        <v>284</v>
      </c>
      <c r="R49" s="37" t="s">
        <v>904</v>
      </c>
      <c r="S49" s="37" t="s">
        <v>285</v>
      </c>
      <c r="T49" s="37" t="s">
        <v>289</v>
      </c>
      <c r="U49" s="37" t="s">
        <v>8</v>
      </c>
      <c r="V49" s="37" t="s">
        <v>9</v>
      </c>
      <c r="W49" s="37" t="s">
        <v>10</v>
      </c>
      <c r="X49" s="37" t="s">
        <v>100</v>
      </c>
      <c r="Y49" s="37" t="s">
        <v>106</v>
      </c>
      <c r="Z49" s="37" t="s">
        <v>12</v>
      </c>
      <c r="AA49" s="37" t="s">
        <v>11</v>
      </c>
      <c r="AB49" s="37" t="s">
        <v>13</v>
      </c>
      <c r="AC49" s="37" t="s">
        <v>74</v>
      </c>
      <c r="AD49" s="37" t="s">
        <v>21</v>
      </c>
      <c r="AE49" s="37" t="s">
        <v>14</v>
      </c>
      <c r="AF49" s="37" t="s">
        <v>15</v>
      </c>
      <c r="AG49" s="37" t="s">
        <v>16</v>
      </c>
      <c r="AH49" s="15" t="s">
        <v>17</v>
      </c>
    </row>
    <row r="50" spans="1:38" x14ac:dyDescent="0.35">
      <c r="A50" s="38">
        <v>44692</v>
      </c>
      <c r="B50" s="39" t="s">
        <v>26</v>
      </c>
      <c r="C50" s="39"/>
      <c r="D50" s="45">
        <v>129653</v>
      </c>
      <c r="E50" s="39"/>
      <c r="F50" s="39"/>
      <c r="G50" s="39">
        <v>65</v>
      </c>
      <c r="H50" s="40">
        <v>25650</v>
      </c>
      <c r="I50" s="41">
        <v>0.5</v>
      </c>
      <c r="J50" s="42">
        <f>K50/H50</f>
        <v>0.4969785575048733</v>
      </c>
      <c r="K50" s="40">
        <v>12747.5</v>
      </c>
      <c r="L50" s="40"/>
      <c r="M50" s="40"/>
      <c r="N50" s="40"/>
      <c r="O50" s="40"/>
      <c r="P50" s="40"/>
      <c r="Q50" s="40"/>
      <c r="R50" s="40"/>
      <c r="S50" s="40"/>
      <c r="T50" s="40"/>
      <c r="U50" s="43">
        <v>285</v>
      </c>
      <c r="V50" s="43">
        <f>H50*U50*I50/15</f>
        <v>243675</v>
      </c>
      <c r="W50" s="43">
        <v>327.12</v>
      </c>
      <c r="X50" s="43">
        <v>277997.46999999997</v>
      </c>
      <c r="Y50" s="43">
        <v>3900</v>
      </c>
      <c r="Z50" s="43">
        <v>6652</v>
      </c>
      <c r="AA50" s="43"/>
      <c r="AB50" s="43">
        <v>1852.5</v>
      </c>
      <c r="AC50" s="43">
        <v>1950</v>
      </c>
      <c r="AD50" s="43">
        <v>172.64</v>
      </c>
      <c r="AE50" s="43">
        <v>555.99</v>
      </c>
      <c r="AF50" s="43">
        <f>V50+Y50+Z50+AA50+AB50+AC50+AD50</f>
        <v>258202.14</v>
      </c>
      <c r="AG50" s="43">
        <f>(H50*J50*W50/15)-AE50</f>
        <v>277441.49000000005</v>
      </c>
      <c r="AH50" s="26">
        <f>AG50-AF50</f>
        <v>19239.350000000035</v>
      </c>
    </row>
    <row r="51" spans="1:38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6">
        <f>AH50/G50</f>
        <v>295.99000000000052</v>
      </c>
    </row>
    <row r="52" spans="1:38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7">
        <f>AH50/AG50</f>
        <v>6.934561229468611E-2</v>
      </c>
    </row>
    <row r="53" spans="1:38" x14ac:dyDescent="0.35">
      <c r="AJ53" s="1">
        <f>G4+F10+G16+G21+G26+F32+G38+F44+G50+F56+G62+F69+F75+G81</f>
        <v>1184</v>
      </c>
      <c r="AK53" s="50" t="s">
        <v>22</v>
      </c>
      <c r="AL53" t="s">
        <v>72</v>
      </c>
    </row>
    <row r="54" spans="1:38" x14ac:dyDescent="0.35">
      <c r="AJ54" s="11">
        <f>AH4+AH10+AH16+AH26+AH21+AH32+AH38+AH44+AH50+AH56+AH62+AH69+AH75+AH81</f>
        <v>498552.89301333332</v>
      </c>
      <c r="AK54" s="11">
        <f>AJ54*30%</f>
        <v>149565.86790399998</v>
      </c>
    </row>
    <row r="55" spans="1:38" x14ac:dyDescent="0.35">
      <c r="A55" s="37" t="s">
        <v>1</v>
      </c>
      <c r="B55" s="37" t="s">
        <v>2</v>
      </c>
      <c r="C55" s="37" t="s">
        <v>110</v>
      </c>
      <c r="D55" s="37" t="s">
        <v>66</v>
      </c>
      <c r="E55" s="37" t="s">
        <v>32</v>
      </c>
      <c r="F55" s="37" t="s">
        <v>137</v>
      </c>
      <c r="G55" s="37" t="s">
        <v>138</v>
      </c>
      <c r="H55" s="37" t="s">
        <v>4</v>
      </c>
      <c r="I55" s="37" t="s">
        <v>5</v>
      </c>
      <c r="J55" s="37" t="s">
        <v>6</v>
      </c>
      <c r="K55" s="37" t="s">
        <v>7</v>
      </c>
      <c r="L55" s="37" t="s">
        <v>279</v>
      </c>
      <c r="M55" s="37" t="s">
        <v>280</v>
      </c>
      <c r="N55" s="37" t="s">
        <v>281</v>
      </c>
      <c r="O55" s="37" t="s">
        <v>282</v>
      </c>
      <c r="P55" s="37" t="s">
        <v>283</v>
      </c>
      <c r="Q55" s="37" t="s">
        <v>284</v>
      </c>
      <c r="R55" s="37" t="s">
        <v>904</v>
      </c>
      <c r="S55" s="37" t="s">
        <v>285</v>
      </c>
      <c r="T55" s="37" t="s">
        <v>289</v>
      </c>
      <c r="U55" s="37" t="s">
        <v>8</v>
      </c>
      <c r="V55" s="37" t="s">
        <v>9</v>
      </c>
      <c r="W55" s="37" t="s">
        <v>10</v>
      </c>
      <c r="X55" s="37" t="s">
        <v>100</v>
      </c>
      <c r="Y55" s="37" t="s">
        <v>106</v>
      </c>
      <c r="Z55" s="37" t="s">
        <v>12</v>
      </c>
      <c r="AA55" s="37" t="s">
        <v>11</v>
      </c>
      <c r="AB55" s="37" t="s">
        <v>13</v>
      </c>
      <c r="AC55" s="37" t="s">
        <v>74</v>
      </c>
      <c r="AD55" s="37" t="s">
        <v>21</v>
      </c>
      <c r="AE55" s="37" t="s">
        <v>14</v>
      </c>
      <c r="AF55" s="37" t="s">
        <v>15</v>
      </c>
      <c r="AG55" s="37" t="s">
        <v>16</v>
      </c>
      <c r="AH55" s="15" t="s">
        <v>17</v>
      </c>
    </row>
    <row r="56" spans="1:38" x14ac:dyDescent="0.35">
      <c r="A56" s="38">
        <v>44692</v>
      </c>
      <c r="B56" s="39" t="s">
        <v>90</v>
      </c>
      <c r="C56" s="39"/>
      <c r="D56" s="45">
        <v>129652</v>
      </c>
      <c r="E56" s="39"/>
      <c r="F56" s="39">
        <v>30</v>
      </c>
      <c r="G56" s="64"/>
      <c r="H56" s="40">
        <v>17570</v>
      </c>
      <c r="I56" s="41">
        <v>0.53</v>
      </c>
      <c r="J56" s="42">
        <f>K56/H56</f>
        <v>0.52464997154240189</v>
      </c>
      <c r="K56" s="40">
        <v>9218.1</v>
      </c>
      <c r="L56" s="40"/>
      <c r="M56" s="40"/>
      <c r="N56" s="40"/>
      <c r="O56" s="40"/>
      <c r="P56" s="40"/>
      <c r="Q56" s="40"/>
      <c r="R56" s="40"/>
      <c r="S56" s="40"/>
      <c r="T56" s="40"/>
      <c r="U56" s="43">
        <v>300</v>
      </c>
      <c r="V56" s="43">
        <f>H56*U56*I56/15</f>
        <v>186242</v>
      </c>
      <c r="W56" s="43">
        <v>333.56</v>
      </c>
      <c r="X56" s="43">
        <v>204985.96</v>
      </c>
      <c r="Y56" s="43">
        <v>3000</v>
      </c>
      <c r="Z56" s="43">
        <v>2973.6</v>
      </c>
      <c r="AA56" s="43"/>
      <c r="AB56" s="43">
        <v>900</v>
      </c>
      <c r="AC56" s="43"/>
      <c r="AD56" s="43">
        <v>172.64</v>
      </c>
      <c r="AE56" s="43">
        <v>409.98</v>
      </c>
      <c r="AF56" s="43">
        <f>V56+Y56+Z56+AA56+AB56+AC56+AD56</f>
        <v>193288.24000000002</v>
      </c>
      <c r="AG56" s="43">
        <f>(H56*J56*W56/15)-AE56</f>
        <v>204575.98240000004</v>
      </c>
      <c r="AH56" s="26">
        <f>AG56-AF56</f>
        <v>11287.742400000017</v>
      </c>
    </row>
    <row r="57" spans="1:38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6">
        <f>AH56/F56</f>
        <v>376.25808000000058</v>
      </c>
    </row>
    <row r="58" spans="1:38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7">
        <f>AH56/AG56</f>
        <v>5.5176283489278333E-2</v>
      </c>
    </row>
    <row r="61" spans="1:38" x14ac:dyDescent="0.35">
      <c r="A61" s="37" t="s">
        <v>1</v>
      </c>
      <c r="B61" s="37" t="s">
        <v>2</v>
      </c>
      <c r="C61" s="37" t="s">
        <v>110</v>
      </c>
      <c r="D61" s="37" t="s">
        <v>66</v>
      </c>
      <c r="E61" s="37" t="s">
        <v>32</v>
      </c>
      <c r="F61" s="37" t="s">
        <v>137</v>
      </c>
      <c r="G61" s="37" t="s">
        <v>138</v>
      </c>
      <c r="H61" s="37" t="s">
        <v>4</v>
      </c>
      <c r="I61" s="37" t="s">
        <v>5</v>
      </c>
      <c r="J61" s="37" t="s">
        <v>6</v>
      </c>
      <c r="K61" s="37" t="s">
        <v>7</v>
      </c>
      <c r="L61" s="37" t="s">
        <v>279</v>
      </c>
      <c r="M61" s="37" t="s">
        <v>280</v>
      </c>
      <c r="N61" s="37" t="s">
        <v>281</v>
      </c>
      <c r="O61" s="37" t="s">
        <v>282</v>
      </c>
      <c r="P61" s="37" t="s">
        <v>283</v>
      </c>
      <c r="Q61" s="37" t="s">
        <v>284</v>
      </c>
      <c r="R61" s="37" t="s">
        <v>904</v>
      </c>
      <c r="S61" s="37" t="s">
        <v>285</v>
      </c>
      <c r="T61" s="37" t="s">
        <v>289</v>
      </c>
      <c r="U61" s="37" t="s">
        <v>8</v>
      </c>
      <c r="V61" s="37" t="s">
        <v>9</v>
      </c>
      <c r="W61" s="37" t="s">
        <v>10</v>
      </c>
      <c r="X61" s="37" t="s">
        <v>100</v>
      </c>
      <c r="Y61" s="37" t="s">
        <v>106</v>
      </c>
      <c r="Z61" s="37" t="s">
        <v>12</v>
      </c>
      <c r="AA61" s="37" t="s">
        <v>11</v>
      </c>
      <c r="AB61" s="37" t="s">
        <v>13</v>
      </c>
      <c r="AC61" s="37" t="s">
        <v>74</v>
      </c>
      <c r="AD61" s="37" t="s">
        <v>21</v>
      </c>
      <c r="AE61" s="37" t="s">
        <v>14</v>
      </c>
      <c r="AF61" s="37" t="s">
        <v>15</v>
      </c>
      <c r="AG61" s="37" t="s">
        <v>16</v>
      </c>
      <c r="AH61" s="15" t="s">
        <v>17</v>
      </c>
    </row>
    <row r="62" spans="1:38" x14ac:dyDescent="0.35">
      <c r="A62" s="38">
        <v>44692</v>
      </c>
      <c r="B62" s="39" t="s">
        <v>75</v>
      </c>
      <c r="C62" s="39"/>
      <c r="D62" s="45">
        <v>129661</v>
      </c>
      <c r="E62" s="39"/>
      <c r="F62" s="39"/>
      <c r="G62" s="39">
        <v>130</v>
      </c>
      <c r="H62" s="40">
        <v>48100</v>
      </c>
      <c r="I62" s="41">
        <v>0.5</v>
      </c>
      <c r="J62" s="42">
        <f>K62/H62</f>
        <v>0.49460498960498961</v>
      </c>
      <c r="K62" s="40">
        <v>23790.5</v>
      </c>
      <c r="L62" s="40"/>
      <c r="M62" s="40"/>
      <c r="N62" s="40"/>
      <c r="O62" s="40"/>
      <c r="P62" s="40"/>
      <c r="Q62" s="40"/>
      <c r="R62" s="40"/>
      <c r="S62" s="40"/>
      <c r="T62" s="40"/>
      <c r="U62" s="43">
        <v>280</v>
      </c>
      <c r="V62" s="43">
        <f>H62*U62*I62/15</f>
        <v>448933.33333333331</v>
      </c>
      <c r="W62" s="43">
        <v>325.20999999999998</v>
      </c>
      <c r="X62" s="43">
        <v>515793.9</v>
      </c>
      <c r="Y62" s="43">
        <v>7800</v>
      </c>
      <c r="Z62" s="43">
        <v>21324.799999999999</v>
      </c>
      <c r="AA62" s="43"/>
      <c r="AB62" s="43">
        <v>3640</v>
      </c>
      <c r="AC62" s="43">
        <v>3900</v>
      </c>
      <c r="AD62" s="43">
        <v>172.64</v>
      </c>
      <c r="AE62" s="43">
        <v>1031.58</v>
      </c>
      <c r="AF62" s="43">
        <f>V62+Y62+Z62+AA62+AB62+AC62+AD62</f>
        <v>485770.77333333332</v>
      </c>
      <c r="AG62" s="43">
        <f>(H62*J62*W62/15)-AE62</f>
        <v>514762.32033333334</v>
      </c>
      <c r="AH62" s="26">
        <f>AG62-AF62</f>
        <v>28991.54700000002</v>
      </c>
    </row>
    <row r="63" spans="1:38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6">
        <f>AH62/G62</f>
        <v>223.01190000000017</v>
      </c>
    </row>
    <row r="64" spans="1:38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7">
        <f>AH62/AG62</f>
        <v>5.6320258602507271E-2</v>
      </c>
    </row>
    <row r="68" spans="1:34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32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11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</row>
    <row r="69" spans="1:34" x14ac:dyDescent="0.35">
      <c r="A69" s="20">
        <v>44694</v>
      </c>
      <c r="B69" s="21" t="s">
        <v>93</v>
      </c>
      <c r="C69" s="21"/>
      <c r="D69" s="44">
        <v>130010</v>
      </c>
      <c r="E69" s="21"/>
      <c r="F69" s="21">
        <v>216</v>
      </c>
      <c r="H69" s="22">
        <v>112318.66</v>
      </c>
      <c r="I69" s="33">
        <v>0.5</v>
      </c>
      <c r="J69" s="24">
        <f>K69/H69</f>
        <v>0.49214440414442262</v>
      </c>
      <c r="K69" s="22">
        <v>55277</v>
      </c>
      <c r="L69" s="22"/>
      <c r="M69" s="22"/>
      <c r="N69" s="22"/>
      <c r="O69" s="22"/>
      <c r="P69" s="22"/>
      <c r="Q69" s="22"/>
      <c r="R69" s="22"/>
      <c r="S69" s="22"/>
      <c r="T69" s="22"/>
      <c r="U69" s="25">
        <v>290</v>
      </c>
      <c r="V69" s="25">
        <f>H69*U69*I69/15</f>
        <v>1085747.0466666666</v>
      </c>
      <c r="W69" s="25">
        <v>331.81</v>
      </c>
      <c r="X69" s="25">
        <v>1220534.07</v>
      </c>
      <c r="Y69" s="25"/>
      <c r="Z69" s="25">
        <v>71735.33</v>
      </c>
      <c r="AA69" s="25"/>
      <c r="AB69" s="25">
        <v>21714.94</v>
      </c>
      <c r="AC69" s="25">
        <f>F69*30</f>
        <v>6480</v>
      </c>
      <c r="AD69" s="25">
        <v>828.66</v>
      </c>
      <c r="AE69" s="25">
        <v>2445.52</v>
      </c>
      <c r="AF69" s="25">
        <f>V69+Y69+Z69+AA69+AB69+AC69+AD69</f>
        <v>1186505.9766666666</v>
      </c>
      <c r="AG69" s="25">
        <f>(H69*W69*J69/15)-AE69</f>
        <v>1220318.5713333334</v>
      </c>
      <c r="AH69" s="26">
        <f>AG69-AF69</f>
        <v>33812.594666666817</v>
      </c>
    </row>
    <row r="70" spans="1:34" x14ac:dyDescent="0.35">
      <c r="A70" s="21"/>
      <c r="B70" s="21"/>
      <c r="C70" s="21"/>
      <c r="D70" s="21"/>
      <c r="E70" s="21"/>
      <c r="F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5"/>
      <c r="AA70" s="21"/>
      <c r="AB70" s="21"/>
      <c r="AC70" s="21"/>
      <c r="AD70" s="25"/>
      <c r="AE70" s="21"/>
      <c r="AF70" s="21"/>
      <c r="AG70" s="21"/>
      <c r="AH70" s="26">
        <f>AH69/F69</f>
        <v>156.53979012345749</v>
      </c>
    </row>
    <row r="71" spans="1:34" x14ac:dyDescent="0.35">
      <c r="A71" s="21"/>
      <c r="B71" s="21"/>
      <c r="C71" s="21"/>
      <c r="D71" s="21"/>
      <c r="E71" s="21"/>
      <c r="F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AH69/AG69</f>
        <v>2.7708006303405516E-2</v>
      </c>
    </row>
    <row r="74" spans="1:34" x14ac:dyDescent="0.35">
      <c r="A74" s="14" t="s">
        <v>1</v>
      </c>
      <c r="B74" s="14" t="s">
        <v>2</v>
      </c>
      <c r="C74" s="14" t="s">
        <v>110</v>
      </c>
      <c r="D74" s="14" t="s">
        <v>66</v>
      </c>
      <c r="E74" s="14" t="s">
        <v>32</v>
      </c>
      <c r="F74" s="14" t="s">
        <v>137</v>
      </c>
      <c r="G74" s="14" t="s">
        <v>138</v>
      </c>
      <c r="H74" s="14" t="s">
        <v>4</v>
      </c>
      <c r="I74" s="14" t="s">
        <v>5</v>
      </c>
      <c r="J74" s="14" t="s">
        <v>6</v>
      </c>
      <c r="K74" s="14" t="s">
        <v>7</v>
      </c>
      <c r="L74" s="14" t="s">
        <v>279</v>
      </c>
      <c r="M74" s="14" t="s">
        <v>280</v>
      </c>
      <c r="N74" s="14" t="s">
        <v>281</v>
      </c>
      <c r="O74" s="14" t="s">
        <v>282</v>
      </c>
      <c r="P74" s="14" t="s">
        <v>283</v>
      </c>
      <c r="Q74" s="14" t="s">
        <v>284</v>
      </c>
      <c r="R74" s="14" t="s">
        <v>904</v>
      </c>
      <c r="S74" s="14" t="s">
        <v>285</v>
      </c>
      <c r="T74" s="14" t="s">
        <v>289</v>
      </c>
      <c r="U74" s="14" t="s">
        <v>8</v>
      </c>
      <c r="V74" s="14" t="s">
        <v>9</v>
      </c>
      <c r="W74" s="14" t="s">
        <v>10</v>
      </c>
      <c r="X74" s="14" t="s">
        <v>100</v>
      </c>
      <c r="Y74" s="14" t="s">
        <v>106</v>
      </c>
      <c r="Z74" s="14" t="s">
        <v>12</v>
      </c>
      <c r="AA74" s="14" t="s">
        <v>11</v>
      </c>
      <c r="AB74" s="14" t="s">
        <v>13</v>
      </c>
      <c r="AC74" s="14" t="s">
        <v>74</v>
      </c>
      <c r="AD74" s="14" t="s">
        <v>21</v>
      </c>
      <c r="AE74" s="14" t="s">
        <v>14</v>
      </c>
      <c r="AF74" s="14" t="s">
        <v>15</v>
      </c>
      <c r="AG74" s="14" t="s">
        <v>16</v>
      </c>
      <c r="AH74" s="15" t="s">
        <v>17</v>
      </c>
    </row>
    <row r="75" spans="1:34" x14ac:dyDescent="0.35">
      <c r="A75" s="20">
        <v>44694</v>
      </c>
      <c r="B75" s="21" t="s">
        <v>93</v>
      </c>
      <c r="C75" s="21"/>
      <c r="D75" s="44">
        <v>130008</v>
      </c>
      <c r="E75" s="21"/>
      <c r="F75" s="21">
        <v>108</v>
      </c>
      <c r="H75" s="22">
        <v>56159.34</v>
      </c>
      <c r="I75" s="33">
        <v>0.5</v>
      </c>
      <c r="J75" s="24">
        <f>K75/H75</f>
        <v>0.47396390342194195</v>
      </c>
      <c r="K75" s="22">
        <v>26617.5</v>
      </c>
      <c r="L75" s="22"/>
      <c r="M75" s="22"/>
      <c r="N75" s="22"/>
      <c r="O75" s="22"/>
      <c r="P75" s="22"/>
      <c r="Q75" s="22"/>
      <c r="R75" s="22"/>
      <c r="S75" s="22"/>
      <c r="T75" s="22"/>
      <c r="U75" s="25">
        <v>290</v>
      </c>
      <c r="V75" s="25">
        <f>H75*U75*I75/15</f>
        <v>542873.62</v>
      </c>
      <c r="W75" s="25">
        <v>340.48</v>
      </c>
      <c r="X75" s="25">
        <v>603102.78</v>
      </c>
      <c r="Y75" s="25"/>
      <c r="Z75" s="25">
        <v>35867.67</v>
      </c>
      <c r="AA75" s="25"/>
      <c r="AB75" s="25">
        <v>10857.47</v>
      </c>
      <c r="AC75" s="25">
        <f>F75*30</f>
        <v>3240</v>
      </c>
      <c r="AD75" s="25">
        <v>414.34</v>
      </c>
      <c r="AE75" s="25">
        <v>1208.3499999999999</v>
      </c>
      <c r="AF75" s="25">
        <f>V75+Y75+Z75+AA75+AB75+AC75+AD75</f>
        <v>593253.1</v>
      </c>
      <c r="AG75" s="25">
        <f>(H75*W75*J75/15)-AE75</f>
        <v>602973.41</v>
      </c>
      <c r="AH75" s="26">
        <f>AG75-AF75</f>
        <v>9720.3100000000559</v>
      </c>
    </row>
    <row r="76" spans="1:34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5"/>
      <c r="AC76" s="21"/>
      <c r="AD76" s="21"/>
      <c r="AE76" s="21"/>
      <c r="AF76" s="21"/>
      <c r="AG76" s="21"/>
      <c r="AH76" s="26">
        <f>AH75/F75</f>
        <v>90.002870370370886</v>
      </c>
    </row>
    <row r="77" spans="1:34" x14ac:dyDescent="0.35">
      <c r="A77" s="21"/>
      <c r="B77" s="21"/>
      <c r="C77" s="21"/>
      <c r="D77" s="21"/>
      <c r="E77" s="21"/>
      <c r="F77" s="21"/>
      <c r="G77" s="21"/>
      <c r="H77" s="22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5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7">
        <f>AH75/AG75</f>
        <v>1.612062793946429E-2</v>
      </c>
    </row>
    <row r="80" spans="1:34" x14ac:dyDescent="0.35">
      <c r="A80" s="14" t="s">
        <v>1</v>
      </c>
      <c r="B80" s="14" t="s">
        <v>2</v>
      </c>
      <c r="C80" s="14" t="s">
        <v>110</v>
      </c>
      <c r="D80" s="14" t="s">
        <v>66</v>
      </c>
      <c r="E80" s="14" t="s">
        <v>32</v>
      </c>
      <c r="F80" s="14" t="s">
        <v>137</v>
      </c>
      <c r="G80" s="14" t="s">
        <v>138</v>
      </c>
      <c r="H80" s="14" t="s">
        <v>4</v>
      </c>
      <c r="I80" s="14" t="s">
        <v>5</v>
      </c>
      <c r="J80" s="14" t="s">
        <v>6</v>
      </c>
      <c r="K80" s="14" t="s">
        <v>7</v>
      </c>
      <c r="L80" s="14" t="s">
        <v>279</v>
      </c>
      <c r="M80" s="14" t="s">
        <v>280</v>
      </c>
      <c r="N80" s="14" t="s">
        <v>281</v>
      </c>
      <c r="O80" s="14" t="s">
        <v>282</v>
      </c>
      <c r="P80" s="14" t="s">
        <v>283</v>
      </c>
      <c r="Q80" s="14" t="s">
        <v>284</v>
      </c>
      <c r="R80" s="14" t="s">
        <v>904</v>
      </c>
      <c r="S80" s="14" t="s">
        <v>285</v>
      </c>
      <c r="T80" s="14" t="s">
        <v>289</v>
      </c>
      <c r="U80" s="14" t="s">
        <v>8</v>
      </c>
      <c r="V80" s="14" t="s">
        <v>9</v>
      </c>
      <c r="W80" s="14" t="s">
        <v>10</v>
      </c>
      <c r="X80" s="14" t="s">
        <v>100</v>
      </c>
      <c r="Y80" s="14" t="s">
        <v>106</v>
      </c>
      <c r="Z80" s="14" t="s">
        <v>12</v>
      </c>
      <c r="AA80" s="14" t="s">
        <v>11</v>
      </c>
      <c r="AB80" s="14" t="s">
        <v>13</v>
      </c>
      <c r="AC80" s="14" t="s">
        <v>74</v>
      </c>
      <c r="AD80" s="14" t="s">
        <v>21</v>
      </c>
      <c r="AE80" s="14" t="s">
        <v>14</v>
      </c>
      <c r="AF80" s="14" t="s">
        <v>15</v>
      </c>
      <c r="AG80" s="14" t="s">
        <v>16</v>
      </c>
      <c r="AH80" s="15" t="s">
        <v>17</v>
      </c>
    </row>
    <row r="81" spans="1:34" x14ac:dyDescent="0.35">
      <c r="A81" s="20">
        <v>44694</v>
      </c>
      <c r="B81" s="21" t="s">
        <v>94</v>
      </c>
      <c r="C81" s="21"/>
      <c r="D81" s="44">
        <v>130011</v>
      </c>
      <c r="E81" s="21"/>
      <c r="F81" s="21"/>
      <c r="G81" s="21">
        <v>120</v>
      </c>
      <c r="H81" s="22">
        <v>45640</v>
      </c>
      <c r="I81" s="33">
        <v>0.5</v>
      </c>
      <c r="J81" s="24">
        <f>K81/H81</f>
        <v>0.51406660823838735</v>
      </c>
      <c r="K81" s="22">
        <v>23462</v>
      </c>
      <c r="L81" s="22"/>
      <c r="M81" s="22"/>
      <c r="N81" s="22"/>
      <c r="O81" s="22"/>
      <c r="P81" s="22"/>
      <c r="Q81" s="22"/>
      <c r="R81" s="22"/>
      <c r="S81" s="22"/>
      <c r="T81" s="22"/>
      <c r="U81" s="25">
        <v>280</v>
      </c>
      <c r="V81" s="25">
        <f>H81*U81*I81/15</f>
        <v>425973.33333333331</v>
      </c>
      <c r="W81" s="25">
        <v>325.81</v>
      </c>
      <c r="X81" s="25">
        <v>508371.6</v>
      </c>
      <c r="Y81" s="25">
        <v>7200</v>
      </c>
      <c r="Z81" s="25">
        <v>23184.799999999999</v>
      </c>
      <c r="AA81" s="25"/>
      <c r="AB81" s="25">
        <v>3360</v>
      </c>
      <c r="AC81" s="25">
        <f>G81*30</f>
        <v>3600</v>
      </c>
      <c r="AD81" s="25">
        <v>460.38</v>
      </c>
      <c r="AE81" s="25">
        <v>1019.21</v>
      </c>
      <c r="AF81" s="25">
        <f>V81+Y81+Z81+AA81+AB81+AC81+AD81</f>
        <v>463778.51333333331</v>
      </c>
      <c r="AG81" s="25">
        <f>(H81*W81*J81/15)-AE81</f>
        <v>508591.07133333327</v>
      </c>
      <c r="AH81" s="26">
        <f>AG81-AF81</f>
        <v>44812.557999999961</v>
      </c>
    </row>
    <row r="82" spans="1:34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6">
        <f>AH81/G81</f>
        <v>373.43798333333302</v>
      </c>
    </row>
    <row r="83" spans="1:34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55"/>
      <c r="AA83" s="21"/>
      <c r="AB83" s="21"/>
      <c r="AC83" s="21"/>
      <c r="AD83" s="21"/>
      <c r="AE83" s="21"/>
      <c r="AF83" s="21"/>
      <c r="AG83" s="21"/>
      <c r="AH83" s="27">
        <f>AH81/AG81</f>
        <v>8.8111177183111761E-2</v>
      </c>
    </row>
    <row r="84" spans="1:34" x14ac:dyDescent="0.35">
      <c r="Z84" s="55"/>
    </row>
    <row r="85" spans="1:34" x14ac:dyDescent="0.35">
      <c r="Z85" s="3"/>
    </row>
    <row r="87" spans="1:34" ht="15" thickBot="1" x14ac:dyDescent="0.4"/>
    <row r="88" spans="1:34" ht="16" thickBot="1" x14ac:dyDescent="0.4">
      <c r="A88" s="377" t="s">
        <v>83</v>
      </c>
      <c r="B88" s="378"/>
      <c r="C88" s="378"/>
      <c r="D88" s="378"/>
      <c r="E88" s="378"/>
      <c r="F88" s="378"/>
      <c r="G88" s="378"/>
      <c r="H88" s="378"/>
      <c r="I88" s="378"/>
      <c r="J88" s="378"/>
      <c r="K88" s="378"/>
      <c r="L88" s="46"/>
      <c r="M88" s="46"/>
      <c r="N88" s="46"/>
      <c r="O88" s="46"/>
      <c r="P88" s="46"/>
      <c r="Q88" s="46"/>
      <c r="R88" s="46"/>
      <c r="S88" s="46"/>
      <c r="T88" s="46"/>
      <c r="U88" s="30"/>
      <c r="V88" s="31">
        <f>V4+V10+V16+V21+V26+V32+V38+V44+V50+V56+V62+V69+V75+V81</f>
        <v>5286749.5599999996</v>
      </c>
      <c r="W88" s="30"/>
      <c r="X88" s="30"/>
      <c r="Y88" s="31">
        <f t="shared" ref="Y88:AG88" si="0">Y4+Y10+Y16+Y21+Y26+Y32+Y38+Y44+Y50+Y56+Y62+Y69+Y75+Y81</f>
        <v>47800</v>
      </c>
      <c r="Z88" s="31">
        <f t="shared" si="0"/>
        <v>228050.2</v>
      </c>
      <c r="AA88" s="31">
        <f t="shared" si="0"/>
        <v>1250</v>
      </c>
      <c r="AB88" s="31">
        <f t="shared" si="0"/>
        <v>56824.91</v>
      </c>
      <c r="AC88" s="31">
        <f t="shared" si="0"/>
        <v>28020</v>
      </c>
      <c r="AD88" s="31">
        <f t="shared" si="0"/>
        <v>4289.79</v>
      </c>
      <c r="AE88" s="31">
        <f t="shared" si="0"/>
        <v>12306.79</v>
      </c>
      <c r="AF88" s="31">
        <f t="shared" si="0"/>
        <v>5652984.4600000009</v>
      </c>
      <c r="AG88" s="31">
        <f t="shared" si="0"/>
        <v>6151537.3530133339</v>
      </c>
      <c r="AH88" s="32"/>
    </row>
  </sheetData>
  <mergeCells count="2">
    <mergeCell ref="U2:AC2"/>
    <mergeCell ref="A88:K8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"/>
  <dimension ref="A1:AL83"/>
  <sheetViews>
    <sheetView zoomScale="70" zoomScaleNormal="70" workbookViewId="0">
      <selection activeCell="A24" sqref="A24:U24"/>
    </sheetView>
  </sheetViews>
  <sheetFormatPr defaultRowHeight="14.5" x14ac:dyDescent="0.35"/>
  <cols>
    <col min="1" max="1" width="14" customWidth="1"/>
    <col min="2" max="2" width="20.54296875" customWidth="1"/>
    <col min="3" max="3" width="16.453125" customWidth="1"/>
    <col min="4" max="4" width="14" customWidth="1"/>
    <col min="7" max="7" width="10.7265625" customWidth="1"/>
    <col min="8" max="8" width="11.26953125" customWidth="1"/>
    <col min="10" max="10" width="16" customWidth="1"/>
    <col min="11" max="11" width="16.7265625" customWidth="1"/>
    <col min="12" max="16" width="6" bestFit="1" customWidth="1"/>
    <col min="17" max="18" width="11.1796875" bestFit="1" customWidth="1"/>
    <col min="19" max="19" width="3.7265625" bestFit="1" customWidth="1"/>
    <col min="20" max="20" width="3.7265625" customWidth="1"/>
    <col min="21" max="21" width="15.1796875" customWidth="1"/>
    <col min="22" max="22" width="15.81640625" customWidth="1"/>
    <col min="23" max="24" width="14.54296875" customWidth="1"/>
    <col min="25" max="25" width="13.26953125" bestFit="1" customWidth="1"/>
    <col min="26" max="26" width="13.7265625" customWidth="1"/>
    <col min="27" max="27" width="14.1796875" customWidth="1"/>
    <col min="28" max="28" width="12.54296875" customWidth="1"/>
    <col min="29" max="29" width="12.7265625" bestFit="1" customWidth="1"/>
    <col min="30" max="30" width="12" bestFit="1" customWidth="1"/>
    <col min="31" max="31" width="12.1796875" customWidth="1"/>
    <col min="32" max="32" width="17.26953125" customWidth="1"/>
    <col min="33" max="33" width="16.1796875" customWidth="1"/>
    <col min="34" max="34" width="13.54296875" customWidth="1"/>
    <col min="36" max="36" width="13.453125" bestFit="1" customWidth="1"/>
    <col min="37" max="37" width="1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44697</v>
      </c>
      <c r="B4" s="21" t="s">
        <v>95</v>
      </c>
      <c r="C4" s="21"/>
      <c r="D4" s="44">
        <v>130236</v>
      </c>
      <c r="E4" s="21"/>
      <c r="F4" s="21"/>
      <c r="G4" s="21">
        <v>65</v>
      </c>
      <c r="H4" s="22">
        <v>24674</v>
      </c>
      <c r="I4" s="23">
        <v>0.5</v>
      </c>
      <c r="J4" s="24">
        <f>K4/H4</f>
        <v>0.47691902407392395</v>
      </c>
      <c r="K4" s="22">
        <v>11767.5</v>
      </c>
      <c r="L4" s="22"/>
      <c r="M4" s="22"/>
      <c r="N4" s="22"/>
      <c r="O4" s="22"/>
      <c r="P4" s="22"/>
      <c r="Q4" s="22"/>
      <c r="R4" s="22"/>
      <c r="S4" s="22"/>
      <c r="T4" s="22"/>
      <c r="U4" s="25">
        <v>280</v>
      </c>
      <c r="V4" s="25">
        <f>H4*U4*I4/15</f>
        <v>230290.66666666666</v>
      </c>
      <c r="W4" s="25">
        <v>329.13</v>
      </c>
      <c r="X4" s="25">
        <v>258202.48</v>
      </c>
      <c r="Y4" s="25"/>
      <c r="Z4" s="25">
        <v>6310.8</v>
      </c>
      <c r="AA4" s="25"/>
      <c r="AB4" s="25">
        <v>1820</v>
      </c>
      <c r="AC4" s="25">
        <f>G4*30</f>
        <v>1950</v>
      </c>
      <c r="AD4" s="25">
        <f>IF(F4="",G4*3.83,F4*3.83)</f>
        <v>248.95000000000002</v>
      </c>
      <c r="AE4" s="25">
        <v>516.4</v>
      </c>
      <c r="AF4" s="25">
        <f>V4+Y4+Z4+AA4+AB4+AC4+AD4</f>
        <v>240620.41666666666</v>
      </c>
      <c r="AG4" s="25">
        <f>(H4*W4*J4/15)-AE4</f>
        <v>257686.08499999999</v>
      </c>
      <c r="AH4" s="26">
        <f>AG4-AF4</f>
        <v>17065.668333333335</v>
      </c>
    </row>
    <row r="5" spans="1:38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AH4/G4</f>
        <v>262.54874358974359</v>
      </c>
      <c r="AJ5" s="11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AH4/AG4</f>
        <v>6.6226580815698044E-2</v>
      </c>
      <c r="AJ6" s="1"/>
    </row>
    <row r="7" spans="1:38" x14ac:dyDescent="0.35">
      <c r="AJ7" s="11"/>
    </row>
    <row r="8" spans="1:38" x14ac:dyDescent="0.35">
      <c r="AJ8" s="1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8" x14ac:dyDescent="0.35">
      <c r="A10" s="20">
        <v>44697</v>
      </c>
      <c r="B10" s="21" t="s">
        <v>96</v>
      </c>
      <c r="C10" s="21"/>
      <c r="D10" s="44">
        <v>130012</v>
      </c>
      <c r="E10" s="21"/>
      <c r="F10" s="21"/>
      <c r="G10" s="21">
        <v>60</v>
      </c>
      <c r="H10" s="22">
        <v>23200</v>
      </c>
      <c r="I10" s="33">
        <v>0.5</v>
      </c>
      <c r="J10" s="24">
        <f>K10/H10</f>
        <v>0.50213362068965517</v>
      </c>
      <c r="K10" s="22">
        <v>11649.5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270</v>
      </c>
      <c r="V10" s="25">
        <f>H10*U10*I10/15</f>
        <v>208800</v>
      </c>
      <c r="W10" s="25">
        <v>326.68</v>
      </c>
      <c r="X10" s="25">
        <v>253710.57</v>
      </c>
      <c r="Y10" s="25">
        <v>3600</v>
      </c>
      <c r="Z10" s="25">
        <f>Z12+Z13</f>
        <v>10203</v>
      </c>
      <c r="AA10" s="25"/>
      <c r="AB10" s="25">
        <v>1620</v>
      </c>
      <c r="AC10" s="25">
        <v>1800</v>
      </c>
      <c r="AD10" s="25">
        <f>IF(F10="",G10*3.83,F10*3.83)</f>
        <v>229.8</v>
      </c>
      <c r="AE10" s="25">
        <v>507.41</v>
      </c>
      <c r="AF10" s="25">
        <f>V10+Y10+Z10+AA10+AB10+AC10+AD10</f>
        <v>226252.79999999999</v>
      </c>
      <c r="AG10" s="25">
        <f>(H10*W10*J10/15)-AE10</f>
        <v>253203.16733333335</v>
      </c>
      <c r="AH10" s="26">
        <f>AG10-AF10</f>
        <v>26950.367333333357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 t="s">
        <v>99</v>
      </c>
      <c r="AA11" s="21"/>
      <c r="AB11" s="21"/>
      <c r="AC11" s="21"/>
      <c r="AD11" s="21"/>
      <c r="AE11" s="21" t="s">
        <v>42</v>
      </c>
      <c r="AF11" s="21"/>
      <c r="AG11" s="21"/>
      <c r="AH11" s="26">
        <f>AH10/G10</f>
        <v>449.17278888888927</v>
      </c>
      <c r="AJ11" s="6"/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5">
        <v>1200</v>
      </c>
      <c r="AA12" s="21"/>
      <c r="AB12" s="21"/>
      <c r="AC12" s="21"/>
      <c r="AD12" s="21"/>
      <c r="AE12" s="21"/>
      <c r="AF12" s="21"/>
      <c r="AG12" s="21"/>
      <c r="AH12" s="27">
        <f>AH10/AG10</f>
        <v>0.10643771804739756</v>
      </c>
      <c r="AJ12" s="6"/>
    </row>
    <row r="13" spans="1:38" x14ac:dyDescent="0.35">
      <c r="Z13" s="6">
        <v>9003</v>
      </c>
    </row>
    <row r="15" spans="1:38" x14ac:dyDescent="0.35">
      <c r="A15" s="37" t="s">
        <v>1</v>
      </c>
      <c r="B15" s="37" t="s">
        <v>2</v>
      </c>
      <c r="C15" s="37" t="s">
        <v>110</v>
      </c>
      <c r="D15" s="37" t="s">
        <v>66</v>
      </c>
      <c r="E15" s="37" t="s">
        <v>38</v>
      </c>
      <c r="F15" s="37" t="s">
        <v>137</v>
      </c>
      <c r="G15" s="37" t="s">
        <v>138</v>
      </c>
      <c r="H15" s="37" t="s">
        <v>4</v>
      </c>
      <c r="I15" s="37" t="s">
        <v>5</v>
      </c>
      <c r="J15" s="37" t="s">
        <v>6</v>
      </c>
      <c r="K15" s="37" t="s">
        <v>7</v>
      </c>
      <c r="L15" s="37" t="s">
        <v>279</v>
      </c>
      <c r="M15" s="37" t="s">
        <v>280</v>
      </c>
      <c r="N15" s="37" t="s">
        <v>281</v>
      </c>
      <c r="O15" s="37" t="s">
        <v>282</v>
      </c>
      <c r="P15" s="37" t="s">
        <v>283</v>
      </c>
      <c r="Q15" s="37" t="s">
        <v>284</v>
      </c>
      <c r="R15" s="37" t="s">
        <v>904</v>
      </c>
      <c r="S15" s="37" t="s">
        <v>285</v>
      </c>
      <c r="T15" s="37" t="s">
        <v>289</v>
      </c>
      <c r="U15" s="37" t="s">
        <v>8</v>
      </c>
      <c r="V15" s="37" t="s">
        <v>9</v>
      </c>
      <c r="W15" s="37" t="s">
        <v>10</v>
      </c>
      <c r="X15" s="37" t="s">
        <v>100</v>
      </c>
      <c r="Y15" s="37" t="s">
        <v>106</v>
      </c>
      <c r="Z15" s="37" t="s">
        <v>12</v>
      </c>
      <c r="AA15" s="37" t="s">
        <v>11</v>
      </c>
      <c r="AB15" s="37" t="s">
        <v>13</v>
      </c>
      <c r="AC15" s="37" t="s">
        <v>74</v>
      </c>
      <c r="AD15" s="37" t="s">
        <v>21</v>
      </c>
      <c r="AE15" s="37" t="s">
        <v>14</v>
      </c>
      <c r="AF15" s="37" t="s">
        <v>15</v>
      </c>
      <c r="AG15" s="37" t="s">
        <v>16</v>
      </c>
      <c r="AH15" s="15" t="s">
        <v>17</v>
      </c>
      <c r="AJ15" s="1">
        <f>G4+G10+G16+F21+G26+G31+G36</f>
        <v>379</v>
      </c>
      <c r="AK15" s="50" t="s">
        <v>22</v>
      </c>
      <c r="AL15" t="s">
        <v>72</v>
      </c>
    </row>
    <row r="16" spans="1:38" x14ac:dyDescent="0.35">
      <c r="A16" s="38">
        <v>44699</v>
      </c>
      <c r="B16" s="39" t="s">
        <v>98</v>
      </c>
      <c r="C16" s="39"/>
      <c r="D16" s="45">
        <v>130447</v>
      </c>
      <c r="E16" s="39"/>
      <c r="F16" s="39"/>
      <c r="G16" s="39">
        <v>70</v>
      </c>
      <c r="H16" s="40">
        <v>26260</v>
      </c>
      <c r="I16" s="53">
        <v>0.5</v>
      </c>
      <c r="J16" s="42">
        <f>K16/H16</f>
        <v>0.49958111195734956</v>
      </c>
      <c r="K16" s="40">
        <v>13119</v>
      </c>
      <c r="L16" s="40"/>
      <c r="M16" s="40"/>
      <c r="N16" s="40"/>
      <c r="O16" s="40"/>
      <c r="P16" s="40"/>
      <c r="Q16" s="40"/>
      <c r="R16" s="40"/>
      <c r="S16" s="40"/>
      <c r="T16" s="40"/>
      <c r="U16" s="43">
        <v>270</v>
      </c>
      <c r="V16" s="43">
        <f>H16*U16*I16/15</f>
        <v>236340</v>
      </c>
      <c r="W16" s="43">
        <v>325.14</v>
      </c>
      <c r="X16" s="43">
        <v>284367.44</v>
      </c>
      <c r="Y16" s="43">
        <v>4200</v>
      </c>
      <c r="Z16" s="43">
        <v>10296</v>
      </c>
      <c r="AA16" s="43"/>
      <c r="AB16" s="43">
        <v>1890</v>
      </c>
      <c r="AC16" s="43">
        <v>2100</v>
      </c>
      <c r="AD16" s="25">
        <f>IF(F16="",G16*3.83,F16*3.83)</f>
        <v>268.10000000000002</v>
      </c>
      <c r="AE16" s="43">
        <v>568.73</v>
      </c>
      <c r="AF16" s="43">
        <f>V16+Y16+Z16+AA16+AB16+AC16+AD16</f>
        <v>255094.1</v>
      </c>
      <c r="AG16" s="43">
        <f>(H16*W16*J16/15)-AE16</f>
        <v>283798.71400000004</v>
      </c>
      <c r="AH16" s="26">
        <f>AG16-AF16</f>
        <v>28704.614000000031</v>
      </c>
      <c r="AJ16" s="11">
        <f>AH4+AH10+AH16+AH21+AH26+AH31+AH36</f>
        <v>118801.45404000001</v>
      </c>
      <c r="AK16" s="11">
        <f>AJ16*30%</f>
        <v>35640.436212000001</v>
      </c>
    </row>
    <row r="17" spans="1:36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410.06591428571471</v>
      </c>
    </row>
    <row r="18" spans="1:36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AH16/AG16</f>
        <v>0.10114427086515983</v>
      </c>
    </row>
    <row r="20" spans="1:36" x14ac:dyDescent="0.35">
      <c r="A20" s="14" t="s">
        <v>1</v>
      </c>
      <c r="B20" s="14" t="s">
        <v>2</v>
      </c>
      <c r="C20" s="14" t="s">
        <v>110</v>
      </c>
      <c r="D20" s="14" t="s">
        <v>66</v>
      </c>
      <c r="E20" s="14" t="s">
        <v>38</v>
      </c>
      <c r="F20" s="14" t="s">
        <v>137</v>
      </c>
      <c r="G20" s="14" t="s">
        <v>138</v>
      </c>
      <c r="H20" s="14" t="s">
        <v>4</v>
      </c>
      <c r="I20" s="14" t="s">
        <v>5</v>
      </c>
      <c r="J20" s="14" t="s">
        <v>6</v>
      </c>
      <c r="K20" s="14" t="s">
        <v>7</v>
      </c>
      <c r="L20" s="14" t="s">
        <v>279</v>
      </c>
      <c r="M20" s="14" t="s">
        <v>280</v>
      </c>
      <c r="N20" s="14" t="s">
        <v>281</v>
      </c>
      <c r="O20" s="14" t="s">
        <v>282</v>
      </c>
      <c r="P20" s="14" t="s">
        <v>283</v>
      </c>
      <c r="Q20" s="14" t="s">
        <v>284</v>
      </c>
      <c r="R20" s="14" t="s">
        <v>904</v>
      </c>
      <c r="S20" s="14" t="s">
        <v>285</v>
      </c>
      <c r="T20" s="14" t="s">
        <v>289</v>
      </c>
      <c r="U20" s="14" t="s">
        <v>8</v>
      </c>
      <c r="V20" s="14" t="s">
        <v>9</v>
      </c>
      <c r="W20" s="14" t="s">
        <v>10</v>
      </c>
      <c r="X20" s="14" t="s">
        <v>100</v>
      </c>
      <c r="Y20" s="14" t="s">
        <v>106</v>
      </c>
      <c r="Z20" s="14" t="s">
        <v>12</v>
      </c>
      <c r="AA20" s="14" t="s">
        <v>11</v>
      </c>
      <c r="AB20" s="14" t="s">
        <v>13</v>
      </c>
      <c r="AC20" s="14" t="s">
        <v>74</v>
      </c>
      <c r="AD20" s="14" t="s">
        <v>21</v>
      </c>
      <c r="AE20" s="14" t="s">
        <v>14</v>
      </c>
      <c r="AF20" s="14" t="s">
        <v>15</v>
      </c>
      <c r="AG20" s="14" t="s">
        <v>16</v>
      </c>
      <c r="AH20" s="15" t="s">
        <v>17</v>
      </c>
    </row>
    <row r="21" spans="1:36" x14ac:dyDescent="0.35">
      <c r="A21" s="20">
        <v>44701</v>
      </c>
      <c r="B21" s="21" t="s">
        <v>101</v>
      </c>
      <c r="C21" s="21"/>
      <c r="D21" s="44">
        <v>130506</v>
      </c>
      <c r="E21" s="21"/>
      <c r="F21" s="21">
        <v>55</v>
      </c>
      <c r="H21" s="22">
        <v>28553</v>
      </c>
      <c r="I21" s="33">
        <v>0.5</v>
      </c>
      <c r="J21" s="24">
        <f>K21/H21</f>
        <v>0.49283788043287918</v>
      </c>
      <c r="K21" s="22">
        <v>14072</v>
      </c>
      <c r="L21" s="22"/>
      <c r="M21" s="22"/>
      <c r="N21" s="22"/>
      <c r="O21" s="22"/>
      <c r="P21" s="22"/>
      <c r="Q21" s="22"/>
      <c r="R21" s="22"/>
      <c r="S21" s="22"/>
      <c r="T21" s="22"/>
      <c r="U21" s="25">
        <v>280</v>
      </c>
      <c r="V21" s="25">
        <f>H21*U21*I21/15</f>
        <v>266494.66666666669</v>
      </c>
      <c r="W21" s="25">
        <v>323.66000000000003</v>
      </c>
      <c r="X21" s="25">
        <v>303639.82</v>
      </c>
      <c r="Y21" s="25"/>
      <c r="Z21" s="25">
        <v>17543</v>
      </c>
      <c r="AA21" s="25"/>
      <c r="AB21" s="25">
        <v>5329.89</v>
      </c>
      <c r="AC21" s="25">
        <f>F21*30</f>
        <v>1650</v>
      </c>
      <c r="AD21" s="25">
        <f>IF(F21="",G21*3.83,F21*3.83)</f>
        <v>210.65</v>
      </c>
      <c r="AE21" s="25">
        <v>607.27</v>
      </c>
      <c r="AF21" s="25">
        <f>V21+Y21+Z21+AA21+AB21+AC21+AD21</f>
        <v>291228.20666666672</v>
      </c>
      <c r="AG21" s="25">
        <f>(H21*W21*J21/15)-AE21</f>
        <v>303028.96466666664</v>
      </c>
      <c r="AH21" s="26">
        <f>AG21-AF21</f>
        <v>11800.757999999914</v>
      </c>
    </row>
    <row r="22" spans="1:36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5"/>
      <c r="AA22" s="21"/>
      <c r="AB22" s="21"/>
      <c r="AC22" s="21"/>
      <c r="AD22" s="21"/>
      <c r="AE22" s="21"/>
      <c r="AF22" s="21"/>
      <c r="AG22" s="21"/>
      <c r="AH22" s="26">
        <f>AH21/F21</f>
        <v>214.5592363636348</v>
      </c>
      <c r="AJ22" s="6"/>
    </row>
    <row r="23" spans="1:36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7">
        <f>AH21/AG21</f>
        <v>3.8942673394211036E-2</v>
      </c>
      <c r="AJ23" s="6"/>
    </row>
    <row r="25" spans="1:36" x14ac:dyDescent="0.35">
      <c r="A25" s="14" t="s">
        <v>1</v>
      </c>
      <c r="B25" s="14" t="s">
        <v>2</v>
      </c>
      <c r="C25" s="14" t="s">
        <v>110</v>
      </c>
      <c r="D25" s="14" t="s">
        <v>66</v>
      </c>
      <c r="E25" s="14" t="s">
        <v>32</v>
      </c>
      <c r="F25" s="14" t="s">
        <v>137</v>
      </c>
      <c r="G25" s="14" t="s">
        <v>138</v>
      </c>
      <c r="H25" s="14" t="s">
        <v>4</v>
      </c>
      <c r="I25" s="14" t="s">
        <v>5</v>
      </c>
      <c r="J25" s="14" t="s">
        <v>6</v>
      </c>
      <c r="K25" s="14" t="s">
        <v>7</v>
      </c>
      <c r="L25" s="14" t="s">
        <v>279</v>
      </c>
      <c r="M25" s="14" t="s">
        <v>280</v>
      </c>
      <c r="N25" s="14" t="s">
        <v>281</v>
      </c>
      <c r="O25" s="14" t="s">
        <v>282</v>
      </c>
      <c r="P25" s="14" t="s">
        <v>283</v>
      </c>
      <c r="Q25" s="14" t="s">
        <v>284</v>
      </c>
      <c r="R25" s="14" t="s">
        <v>904</v>
      </c>
      <c r="S25" s="14" t="s">
        <v>285</v>
      </c>
      <c r="T25" s="14" t="s">
        <v>289</v>
      </c>
      <c r="U25" s="14" t="s">
        <v>8</v>
      </c>
      <c r="V25" s="14" t="s">
        <v>9</v>
      </c>
      <c r="W25" s="14" t="s">
        <v>10</v>
      </c>
      <c r="X25" s="14" t="s">
        <v>100</v>
      </c>
      <c r="Y25" s="14" t="s">
        <v>106</v>
      </c>
      <c r="Z25" s="14" t="s">
        <v>12</v>
      </c>
      <c r="AA25" s="14" t="s">
        <v>11</v>
      </c>
      <c r="AB25" s="14" t="s">
        <v>13</v>
      </c>
      <c r="AC25" s="14" t="s">
        <v>74</v>
      </c>
      <c r="AD25" s="14" t="s">
        <v>21</v>
      </c>
      <c r="AE25" s="14" t="s">
        <v>14</v>
      </c>
      <c r="AF25" s="14" t="s">
        <v>15</v>
      </c>
      <c r="AG25" s="14" t="s">
        <v>16</v>
      </c>
      <c r="AH25" s="15" t="s">
        <v>17</v>
      </c>
    </row>
    <row r="26" spans="1:36" x14ac:dyDescent="0.35">
      <c r="A26" s="20">
        <v>44701</v>
      </c>
      <c r="B26" s="21" t="s">
        <v>88</v>
      </c>
      <c r="C26" s="21"/>
      <c r="D26" s="44">
        <v>130509</v>
      </c>
      <c r="E26" s="21"/>
      <c r="F26" s="21"/>
      <c r="G26" s="21">
        <v>66</v>
      </c>
      <c r="H26" s="22">
        <v>22800</v>
      </c>
      <c r="I26" s="33">
        <v>0.5</v>
      </c>
      <c r="J26" s="24">
        <f>K26/H26</f>
        <v>0.50888991228070179</v>
      </c>
      <c r="K26" s="22">
        <v>11602.69</v>
      </c>
      <c r="L26" s="22"/>
      <c r="M26" s="22"/>
      <c r="N26" s="22"/>
      <c r="O26" s="22"/>
      <c r="P26" s="22"/>
      <c r="Q26" s="22"/>
      <c r="R26" s="22"/>
      <c r="S26" s="22"/>
      <c r="T26" s="22"/>
      <c r="U26" s="25">
        <v>270</v>
      </c>
      <c r="V26" s="25">
        <f>H26*U26*I26/15</f>
        <v>205200</v>
      </c>
      <c r="W26" s="25">
        <v>314.72000000000003</v>
      </c>
      <c r="X26" s="25">
        <v>242951.6</v>
      </c>
      <c r="Y26" s="25">
        <v>3960</v>
      </c>
      <c r="Z26" s="25">
        <v>11519.71</v>
      </c>
      <c r="AA26" s="25"/>
      <c r="AB26" s="25">
        <v>1782</v>
      </c>
      <c r="AC26" s="25">
        <v>1980</v>
      </c>
      <c r="AD26" s="25">
        <f>IF(F26="",G26*3.83,F26*3.83)</f>
        <v>252.78</v>
      </c>
      <c r="AE26" s="25">
        <v>486.87</v>
      </c>
      <c r="AF26" s="25">
        <f>V26+Y26+Z26+AA26+AB26+AC26+AD26</f>
        <v>224694.49</v>
      </c>
      <c r="AG26" s="25">
        <f>(H26*W26*J26/15)-AE26</f>
        <v>242953.03645333339</v>
      </c>
      <c r="AH26" s="26">
        <f>AG26-AF26</f>
        <v>18258.546453333402</v>
      </c>
    </row>
    <row r="27" spans="1:36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6">
        <f>AH26/G26</f>
        <v>276.64464323232426</v>
      </c>
    </row>
    <row r="28" spans="1:36" x14ac:dyDescent="0.3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7">
        <f>AH26/AG26</f>
        <v>7.5152575657725998E-2</v>
      </c>
      <c r="AJ28" s="6"/>
    </row>
    <row r="29" spans="1:36" x14ac:dyDescent="0.35">
      <c r="AJ29" s="6"/>
    </row>
    <row r="30" spans="1:36" x14ac:dyDescent="0.35">
      <c r="A30" s="14" t="s">
        <v>1</v>
      </c>
      <c r="B30" s="14" t="s">
        <v>2</v>
      </c>
      <c r="C30" s="14" t="s">
        <v>110</v>
      </c>
      <c r="D30" s="14" t="s">
        <v>66</v>
      </c>
      <c r="E30" s="14" t="s">
        <v>32</v>
      </c>
      <c r="F30" s="14" t="s">
        <v>137</v>
      </c>
      <c r="G30" s="14" t="s">
        <v>138</v>
      </c>
      <c r="H30" s="14" t="s">
        <v>4</v>
      </c>
      <c r="I30" s="14" t="s">
        <v>5</v>
      </c>
      <c r="J30" s="14" t="s">
        <v>6</v>
      </c>
      <c r="K30" s="14" t="s">
        <v>7</v>
      </c>
      <c r="L30" s="14" t="s">
        <v>279</v>
      </c>
      <c r="M30" s="14" t="s">
        <v>280</v>
      </c>
      <c r="N30" s="14" t="s">
        <v>281</v>
      </c>
      <c r="O30" s="14" t="s">
        <v>282</v>
      </c>
      <c r="P30" s="14" t="s">
        <v>283</v>
      </c>
      <c r="Q30" s="14" t="s">
        <v>284</v>
      </c>
      <c r="R30" s="14" t="s">
        <v>904</v>
      </c>
      <c r="S30" s="14" t="s">
        <v>285</v>
      </c>
      <c r="T30" s="14" t="s">
        <v>289</v>
      </c>
      <c r="U30" s="14" t="s">
        <v>8</v>
      </c>
      <c r="V30" s="14" t="s">
        <v>9</v>
      </c>
      <c r="W30" s="14" t="s">
        <v>10</v>
      </c>
      <c r="X30" s="14" t="s">
        <v>100</v>
      </c>
      <c r="Y30" s="14" t="s">
        <v>106</v>
      </c>
      <c r="Z30" s="14" t="s">
        <v>12</v>
      </c>
      <c r="AA30" s="14" t="s">
        <v>11</v>
      </c>
      <c r="AB30" s="14" t="s">
        <v>13</v>
      </c>
      <c r="AC30" s="14" t="s">
        <v>74</v>
      </c>
      <c r="AD30" s="14" t="s">
        <v>21</v>
      </c>
      <c r="AE30" s="14" t="s">
        <v>14</v>
      </c>
      <c r="AF30" s="14" t="s">
        <v>15</v>
      </c>
      <c r="AG30" s="14" t="s">
        <v>16</v>
      </c>
      <c r="AH30" s="15" t="s">
        <v>17</v>
      </c>
    </row>
    <row r="31" spans="1:36" x14ac:dyDescent="0.35">
      <c r="A31" s="20">
        <v>44701</v>
      </c>
      <c r="B31" s="21" t="s">
        <v>102</v>
      </c>
      <c r="C31" s="21"/>
      <c r="D31" s="44">
        <v>130509</v>
      </c>
      <c r="E31" s="21"/>
      <c r="F31" s="21"/>
      <c r="G31" s="21">
        <v>43</v>
      </c>
      <c r="H31" s="22">
        <v>15380</v>
      </c>
      <c r="I31" s="33">
        <v>0.5</v>
      </c>
      <c r="J31" s="24">
        <f>K31/H31</f>
        <v>0.49150390117035109</v>
      </c>
      <c r="K31" s="22">
        <v>7559.33</v>
      </c>
      <c r="L31" s="22"/>
      <c r="M31" s="22"/>
      <c r="N31" s="22"/>
      <c r="O31" s="22"/>
      <c r="P31" s="22"/>
      <c r="Q31" s="22"/>
      <c r="R31" s="22"/>
      <c r="S31" s="22"/>
      <c r="T31" s="22"/>
      <c r="U31" s="25">
        <v>260</v>
      </c>
      <c r="V31" s="25">
        <f>H31*U31*I31/15</f>
        <v>133293.33333333334</v>
      </c>
      <c r="W31" s="25">
        <v>314.72000000000003</v>
      </c>
      <c r="X31" s="25">
        <v>158286.70000000001</v>
      </c>
      <c r="Y31" s="25">
        <v>2580</v>
      </c>
      <c r="Z31" s="25">
        <v>7505.26</v>
      </c>
      <c r="AA31" s="25"/>
      <c r="AB31" s="25">
        <v>1118</v>
      </c>
      <c r="AC31" s="25">
        <v>1290</v>
      </c>
      <c r="AD31" s="25">
        <f>IF(F31="",G31*3.83,F31*3.83)</f>
        <v>164.69</v>
      </c>
      <c r="AE31" s="25">
        <v>317.2</v>
      </c>
      <c r="AF31" s="25">
        <f>V31+Y31+Z31+AA31+AB31+AC31+AD31</f>
        <v>145951.28333333335</v>
      </c>
      <c r="AG31" s="25">
        <f>(H31*W31*J31/15)-AE31</f>
        <v>158287.62250666667</v>
      </c>
      <c r="AH31" s="26">
        <f>AG31-AF31</f>
        <v>12336.339173333312</v>
      </c>
    </row>
    <row r="32" spans="1:36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6">
        <f>AH31/G31</f>
        <v>286.89160868217004</v>
      </c>
    </row>
    <row r="33" spans="1:36" x14ac:dyDescent="0.3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7">
        <f>AH31/AG31</f>
        <v>7.793622127853829E-2</v>
      </c>
    </row>
    <row r="34" spans="1:36" x14ac:dyDescent="0.35">
      <c r="AJ34" s="6"/>
    </row>
    <row r="35" spans="1:36" x14ac:dyDescent="0.35">
      <c r="A35" s="14" t="s">
        <v>1</v>
      </c>
      <c r="B35" s="14" t="s">
        <v>2</v>
      </c>
      <c r="C35" s="14" t="s">
        <v>110</v>
      </c>
      <c r="D35" s="14" t="s">
        <v>66</v>
      </c>
      <c r="E35" s="14" t="s">
        <v>32</v>
      </c>
      <c r="F35" s="14" t="s">
        <v>137</v>
      </c>
      <c r="G35" s="14" t="s">
        <v>138</v>
      </c>
      <c r="H35" s="14" t="s">
        <v>4</v>
      </c>
      <c r="I35" s="14" t="s">
        <v>5</v>
      </c>
      <c r="J35" s="14" t="s">
        <v>6</v>
      </c>
      <c r="K35" s="14" t="s">
        <v>7</v>
      </c>
      <c r="L35" s="14" t="s">
        <v>279</v>
      </c>
      <c r="M35" s="14" t="s">
        <v>280</v>
      </c>
      <c r="N35" s="14" t="s">
        <v>281</v>
      </c>
      <c r="O35" s="14" t="s">
        <v>282</v>
      </c>
      <c r="P35" s="14" t="s">
        <v>283</v>
      </c>
      <c r="Q35" s="14" t="s">
        <v>284</v>
      </c>
      <c r="R35" s="14" t="s">
        <v>904</v>
      </c>
      <c r="S35" s="14" t="s">
        <v>285</v>
      </c>
      <c r="T35" s="14" t="s">
        <v>289</v>
      </c>
      <c r="U35" s="14" t="s">
        <v>8</v>
      </c>
      <c r="V35" s="14" t="s">
        <v>9</v>
      </c>
      <c r="W35" s="14" t="s">
        <v>10</v>
      </c>
      <c r="X35" s="14" t="s">
        <v>100</v>
      </c>
      <c r="Y35" s="14" t="s">
        <v>106</v>
      </c>
      <c r="Z35" s="14" t="s">
        <v>12</v>
      </c>
      <c r="AA35" s="14" t="s">
        <v>11</v>
      </c>
      <c r="AB35" s="14" t="s">
        <v>13</v>
      </c>
      <c r="AC35" s="14" t="s">
        <v>74</v>
      </c>
      <c r="AD35" s="14" t="s">
        <v>21</v>
      </c>
      <c r="AE35" s="14" t="s">
        <v>14</v>
      </c>
      <c r="AF35" s="14" t="s">
        <v>15</v>
      </c>
      <c r="AG35" s="14" t="s">
        <v>16</v>
      </c>
      <c r="AH35" s="15" t="s">
        <v>17</v>
      </c>
      <c r="AJ35" s="6"/>
    </row>
    <row r="36" spans="1:36" x14ac:dyDescent="0.35">
      <c r="A36" s="20">
        <v>44701</v>
      </c>
      <c r="B36" s="21" t="s">
        <v>103</v>
      </c>
      <c r="C36" s="21"/>
      <c r="D36" s="44">
        <v>130509</v>
      </c>
      <c r="E36" s="21"/>
      <c r="F36" s="21"/>
      <c r="G36" s="21">
        <v>20</v>
      </c>
      <c r="H36" s="22">
        <v>7400</v>
      </c>
      <c r="I36" s="33">
        <v>0.5</v>
      </c>
      <c r="J36" s="24">
        <f>K36/H36</f>
        <v>0.47567027027027026</v>
      </c>
      <c r="K36" s="22">
        <v>3519.96</v>
      </c>
      <c r="L36" s="22"/>
      <c r="M36" s="22"/>
      <c r="N36" s="22"/>
      <c r="O36" s="22"/>
      <c r="P36" s="22"/>
      <c r="Q36" s="22"/>
      <c r="R36" s="22"/>
      <c r="S36" s="22"/>
      <c r="T36" s="22"/>
      <c r="U36" s="25">
        <v>260</v>
      </c>
      <c r="V36" s="25">
        <f>H36*U36*I36/15</f>
        <v>64133.333333333336</v>
      </c>
      <c r="W36" s="25">
        <v>314.72000000000003</v>
      </c>
      <c r="X36" s="25">
        <v>73621.7</v>
      </c>
      <c r="Y36" s="25">
        <v>1200</v>
      </c>
      <c r="Z36" s="25">
        <v>3490.83</v>
      </c>
      <c r="AA36" s="25"/>
      <c r="AB36" s="25">
        <v>520</v>
      </c>
      <c r="AC36" s="25">
        <v>600</v>
      </c>
      <c r="AD36" s="25">
        <f>IF(F36="",G36*3.83,F36*3.83)</f>
        <v>76.599999999999994</v>
      </c>
      <c r="AE36" s="25">
        <v>147.53</v>
      </c>
      <c r="AF36" s="25">
        <f>V36+Y36+Z36+AA36+AB36+AC36+AD36</f>
        <v>70020.763333333336</v>
      </c>
      <c r="AG36" s="25">
        <f>(H36*W36*J36/15)-AE36</f>
        <v>73705.924079999997</v>
      </c>
      <c r="AH36" s="26">
        <f>AG36-AF36</f>
        <v>3685.160746666661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5"/>
      <c r="AA37" s="21"/>
      <c r="AB37" s="21"/>
      <c r="AC37" s="21"/>
      <c r="AD37" s="21"/>
      <c r="AE37" s="21"/>
      <c r="AF37" s="21"/>
      <c r="AG37" s="21"/>
      <c r="AH37" s="26">
        <f>AH36/G36</f>
        <v>184.25803733333305</v>
      </c>
    </row>
    <row r="38" spans="1:36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7">
        <f>AH36/AG36</f>
        <v>4.9998162192048612E-2</v>
      </c>
    </row>
    <row r="39" spans="1:36" x14ac:dyDescent="0.3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48"/>
    </row>
    <row r="40" spans="1:36" ht="15" thickBot="1" x14ac:dyDescent="0.4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47"/>
      <c r="AJ40" s="6"/>
    </row>
    <row r="41" spans="1:36" ht="16" thickBot="1" x14ac:dyDescent="0.4">
      <c r="A41" s="377" t="s">
        <v>97</v>
      </c>
      <c r="B41" s="378"/>
      <c r="C41" s="378"/>
      <c r="D41" s="378"/>
      <c r="E41" s="378"/>
      <c r="F41" s="378"/>
      <c r="G41" s="378"/>
      <c r="H41" s="378"/>
      <c r="I41" s="378"/>
      <c r="J41" s="378"/>
      <c r="K41" s="378"/>
      <c r="L41" s="46"/>
      <c r="M41" s="46"/>
      <c r="N41" s="46"/>
      <c r="O41" s="46"/>
      <c r="P41" s="46"/>
      <c r="Q41" s="46"/>
      <c r="R41" s="46"/>
      <c r="S41" s="46"/>
      <c r="T41" s="46"/>
      <c r="U41" s="30"/>
      <c r="V41" s="31">
        <f>V4+V10+V16+V21+V26+V31+V36</f>
        <v>1344551.9999999998</v>
      </c>
      <c r="W41" s="30"/>
      <c r="X41" s="30"/>
      <c r="Y41" s="31">
        <f t="shared" ref="Y41:AG41" si="0">Y4+Y10+Y16+Y21+Y26+Y31+Y36</f>
        <v>15540</v>
      </c>
      <c r="Z41" s="31">
        <f t="shared" si="0"/>
        <v>66868.600000000006</v>
      </c>
      <c r="AA41" s="31">
        <f t="shared" si="0"/>
        <v>0</v>
      </c>
      <c r="AB41" s="31">
        <f t="shared" si="0"/>
        <v>14079.89</v>
      </c>
      <c r="AC41" s="31">
        <f t="shared" si="0"/>
        <v>11370</v>
      </c>
      <c r="AD41" s="31">
        <f t="shared" si="0"/>
        <v>1451.57</v>
      </c>
      <c r="AE41" s="31">
        <f t="shared" si="0"/>
        <v>3151.41</v>
      </c>
      <c r="AF41" s="31">
        <f t="shared" si="0"/>
        <v>1453862.0600000003</v>
      </c>
      <c r="AG41" s="31">
        <f t="shared" si="0"/>
        <v>1572663.5140400003</v>
      </c>
      <c r="AH41" s="32"/>
      <c r="AJ41" s="6"/>
    </row>
    <row r="43" spans="1:36" x14ac:dyDescent="0.3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54"/>
    </row>
    <row r="44" spans="1:36" x14ac:dyDescent="0.35">
      <c r="A44" s="20"/>
      <c r="B44" s="21"/>
      <c r="C44" s="21"/>
      <c r="D44" s="44"/>
      <c r="E44" s="21"/>
      <c r="F44" s="21"/>
      <c r="G44" s="21"/>
      <c r="H44" s="22"/>
      <c r="I44" s="23"/>
      <c r="J44" s="24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48"/>
    </row>
    <row r="45" spans="1:36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48"/>
    </row>
    <row r="46" spans="1:36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5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47"/>
    </row>
    <row r="49" spans="1:34" x14ac:dyDescent="0.3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54"/>
    </row>
    <row r="50" spans="1:34" x14ac:dyDescent="0.35">
      <c r="A50" s="20"/>
      <c r="B50" s="21"/>
      <c r="C50" s="21"/>
      <c r="D50" s="44"/>
      <c r="E50" s="21"/>
      <c r="F50" s="21"/>
      <c r="G50" s="21"/>
      <c r="H50" s="22"/>
      <c r="I50" s="23"/>
      <c r="J50" s="24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48"/>
    </row>
    <row r="51" spans="1:34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48"/>
    </row>
    <row r="52" spans="1:34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5" spans="1:34" x14ac:dyDescent="0.3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54"/>
    </row>
    <row r="56" spans="1:34" x14ac:dyDescent="0.35">
      <c r="A56" s="20"/>
      <c r="B56" s="21"/>
      <c r="C56" s="21"/>
      <c r="D56" s="44"/>
      <c r="E56" s="21"/>
      <c r="F56" s="21"/>
      <c r="G56" s="21"/>
      <c r="H56" s="22"/>
      <c r="I56" s="23"/>
      <c r="J56" s="24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48"/>
    </row>
    <row r="57" spans="1:34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8"/>
    </row>
    <row r="58" spans="1:34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47"/>
    </row>
    <row r="61" spans="1:34" x14ac:dyDescent="0.3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54"/>
    </row>
    <row r="62" spans="1:34" x14ac:dyDescent="0.35">
      <c r="A62" s="20"/>
      <c r="B62" s="21"/>
      <c r="C62" s="21"/>
      <c r="D62" s="44"/>
      <c r="E62" s="21"/>
      <c r="F62" s="21"/>
      <c r="G62" s="21"/>
      <c r="H62" s="22"/>
      <c r="I62" s="23"/>
      <c r="J62" s="24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48"/>
    </row>
    <row r="63" spans="1:34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48"/>
    </row>
    <row r="64" spans="1:34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47"/>
    </row>
    <row r="68" spans="1:34" x14ac:dyDescent="0.3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54"/>
    </row>
    <row r="69" spans="1:34" x14ac:dyDescent="0.35">
      <c r="A69" s="20"/>
      <c r="B69" s="21"/>
      <c r="C69" s="21"/>
      <c r="D69" s="44"/>
      <c r="E69" s="21"/>
      <c r="F69" s="21"/>
      <c r="G69" s="21"/>
      <c r="H69" s="22"/>
      <c r="I69" s="33"/>
      <c r="J69" s="24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48"/>
    </row>
    <row r="70" spans="1:34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48"/>
    </row>
    <row r="71" spans="1:34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47"/>
    </row>
    <row r="74" spans="1:34" x14ac:dyDescent="0.3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54"/>
    </row>
    <row r="75" spans="1:34" x14ac:dyDescent="0.35">
      <c r="A75" s="20"/>
      <c r="B75" s="21"/>
      <c r="C75" s="21"/>
      <c r="D75" s="44"/>
      <c r="E75" s="21"/>
      <c r="F75" s="21"/>
      <c r="G75" s="21"/>
      <c r="H75" s="22"/>
      <c r="I75" s="33"/>
      <c r="J75" s="24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48"/>
    </row>
    <row r="76" spans="1:34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48"/>
    </row>
    <row r="77" spans="1:34" x14ac:dyDescent="0.35">
      <c r="A77" s="21"/>
      <c r="B77" s="21"/>
      <c r="C77" s="21"/>
      <c r="D77" s="21"/>
      <c r="E77" s="21"/>
      <c r="F77" s="21"/>
      <c r="G77" s="21"/>
      <c r="H77" s="22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5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80" spans="1:34" x14ac:dyDescent="0.3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54"/>
    </row>
    <row r="81" spans="1:34" x14ac:dyDescent="0.35">
      <c r="A81" s="20"/>
      <c r="B81" s="21"/>
      <c r="C81" s="21"/>
      <c r="D81" s="44"/>
      <c r="E81" s="21"/>
      <c r="F81" s="21"/>
      <c r="G81" s="21"/>
      <c r="H81" s="22"/>
      <c r="I81" s="33"/>
      <c r="J81" s="24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48"/>
    </row>
    <row r="82" spans="1:34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8"/>
    </row>
    <row r="83" spans="1:34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47"/>
    </row>
  </sheetData>
  <mergeCells count="2">
    <mergeCell ref="U2:AC2"/>
    <mergeCell ref="A41:K4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"/>
  <dimension ref="A1:AL35"/>
  <sheetViews>
    <sheetView zoomScale="80" zoomScaleNormal="80" workbookViewId="0">
      <selection activeCell="A24" sqref="A24:U24"/>
    </sheetView>
  </sheetViews>
  <sheetFormatPr defaultRowHeight="14.5" x14ac:dyDescent="0.35"/>
  <cols>
    <col min="1" max="1" width="12.1796875" customWidth="1"/>
    <col min="2" max="2" width="21.453125" customWidth="1"/>
    <col min="3" max="3" width="16.726562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" bestFit="1" customWidth="1"/>
    <col min="17" max="18" width="11.179687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2.72656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44704</v>
      </c>
      <c r="B4" s="21" t="s">
        <v>26</v>
      </c>
      <c r="C4" s="21"/>
      <c r="D4" s="44">
        <v>130507</v>
      </c>
      <c r="E4" s="21"/>
      <c r="F4" s="21"/>
      <c r="G4" s="21">
        <v>130</v>
      </c>
      <c r="H4" s="22">
        <v>52700</v>
      </c>
      <c r="I4" s="23">
        <v>0.5</v>
      </c>
      <c r="J4" s="24">
        <f>K4/H4</f>
        <v>0.51622390891840608</v>
      </c>
      <c r="K4" s="22">
        <v>27205</v>
      </c>
      <c r="L4" s="22"/>
      <c r="M4" s="22"/>
      <c r="N4" s="22"/>
      <c r="O4" s="22"/>
      <c r="P4" s="22"/>
      <c r="Q4" s="22"/>
      <c r="R4" s="22"/>
      <c r="S4" s="22"/>
      <c r="T4" s="22"/>
      <c r="U4" s="25">
        <v>270</v>
      </c>
      <c r="V4" s="25">
        <f>H4*U4*I4/15</f>
        <v>474300</v>
      </c>
      <c r="W4" s="25">
        <v>320.12</v>
      </c>
      <c r="X4" s="25">
        <v>580583.12</v>
      </c>
      <c r="Y4" s="25">
        <f>G4*60</f>
        <v>7800</v>
      </c>
      <c r="Z4" s="25">
        <v>15519.2</v>
      </c>
      <c r="AA4" s="25"/>
      <c r="AB4" s="25">
        <v>3510</v>
      </c>
      <c r="AC4" s="25">
        <f>G4*30</f>
        <v>3900</v>
      </c>
      <c r="AD4" s="25">
        <f>IF(F4="",G4*3.83,F4*3.83)</f>
        <v>497.90000000000003</v>
      </c>
      <c r="AE4" s="25">
        <v>1161.17</v>
      </c>
      <c r="AF4" s="25">
        <f>V4+Y4+Z4+AA4+AB4+AC4+AD4</f>
        <v>505527.10000000003</v>
      </c>
      <c r="AG4" s="25">
        <f>(H4*W4*J4/15)-AE4</f>
        <v>579429.80333333323</v>
      </c>
      <c r="AH4" s="26">
        <f>AG4-AF4</f>
        <v>73902.703333333193</v>
      </c>
    </row>
    <row r="5" spans="1:38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AH4/G4</f>
        <v>568.48233333333224</v>
      </c>
      <c r="AJ5" s="11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AH4/AG4</f>
        <v>0.12754384208093381</v>
      </c>
      <c r="AJ6" s="1"/>
    </row>
    <row r="7" spans="1:38" x14ac:dyDescent="0.35">
      <c r="AJ7" s="11"/>
    </row>
    <row r="8" spans="1:38" x14ac:dyDescent="0.35">
      <c r="AJ8" s="1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8" x14ac:dyDescent="0.35">
      <c r="A10" s="20">
        <v>44704</v>
      </c>
      <c r="B10" s="21" t="s">
        <v>75</v>
      </c>
      <c r="C10" s="21"/>
      <c r="D10" s="44">
        <v>130508</v>
      </c>
      <c r="E10" s="21"/>
      <c r="F10" s="21"/>
      <c r="G10" s="21">
        <v>130</v>
      </c>
      <c r="H10" s="22">
        <v>48000</v>
      </c>
      <c r="I10" s="33">
        <v>0.5</v>
      </c>
      <c r="J10" s="24">
        <f>K10/H10</f>
        <v>0.49862499999999998</v>
      </c>
      <c r="K10" s="22">
        <v>23934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260</v>
      </c>
      <c r="V10" s="25">
        <f>H10*U10*I10/15</f>
        <v>416000</v>
      </c>
      <c r="W10" s="25">
        <v>317.45999999999998</v>
      </c>
      <c r="X10" s="25">
        <v>506540.4</v>
      </c>
      <c r="Y10" s="25"/>
      <c r="Z10" s="25">
        <v>26785.599999999999</v>
      </c>
      <c r="AA10" s="25"/>
      <c r="AB10" s="25">
        <v>3380</v>
      </c>
      <c r="AC10" s="25">
        <f>G10*30</f>
        <v>3900</v>
      </c>
      <c r="AD10" s="25">
        <f>IF(F10="",G10*3.83,F10*3.83)</f>
        <v>497.90000000000003</v>
      </c>
      <c r="AE10" s="25">
        <v>1013.46</v>
      </c>
      <c r="AF10" s="25">
        <f>V10+Y10+Z10+AA10+AB10+AC10+AD10</f>
        <v>450563.5</v>
      </c>
      <c r="AG10" s="25">
        <f>(H10*W10*J10/15)-AE10</f>
        <v>505525.7159999999</v>
      </c>
      <c r="AH10" s="26">
        <f>AG10-AF10</f>
        <v>54962.215999999898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AH10/G10</f>
        <v>422.78627692307612</v>
      </c>
      <c r="AJ11" s="6"/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AH10/AG10</f>
        <v>0.10872288839209103</v>
      </c>
      <c r="AJ12" s="6"/>
    </row>
    <row r="15" spans="1:38" x14ac:dyDescent="0.35">
      <c r="A15" s="37" t="s">
        <v>1</v>
      </c>
      <c r="B15" s="37" t="s">
        <v>2</v>
      </c>
      <c r="C15" s="37" t="s">
        <v>110</v>
      </c>
      <c r="D15" s="37" t="s">
        <v>66</v>
      </c>
      <c r="E15" s="37" t="s">
        <v>38</v>
      </c>
      <c r="F15" s="37" t="s">
        <v>137</v>
      </c>
      <c r="G15" s="37" t="s">
        <v>138</v>
      </c>
      <c r="H15" s="37" t="s">
        <v>4</v>
      </c>
      <c r="I15" s="37" t="s">
        <v>5</v>
      </c>
      <c r="J15" s="37" t="s">
        <v>6</v>
      </c>
      <c r="K15" s="37" t="s">
        <v>7</v>
      </c>
      <c r="L15" s="37" t="s">
        <v>279</v>
      </c>
      <c r="M15" s="37" t="s">
        <v>280</v>
      </c>
      <c r="N15" s="37" t="s">
        <v>281</v>
      </c>
      <c r="O15" s="37" t="s">
        <v>282</v>
      </c>
      <c r="P15" s="37" t="s">
        <v>283</v>
      </c>
      <c r="Q15" s="37" t="s">
        <v>284</v>
      </c>
      <c r="R15" s="37" t="s">
        <v>904</v>
      </c>
      <c r="S15" s="37" t="s">
        <v>285</v>
      </c>
      <c r="T15" s="37" t="s">
        <v>289</v>
      </c>
      <c r="U15" s="37" t="s">
        <v>8</v>
      </c>
      <c r="V15" s="37" t="s">
        <v>9</v>
      </c>
      <c r="W15" s="37" t="s">
        <v>10</v>
      </c>
      <c r="X15" s="37" t="s">
        <v>100</v>
      </c>
      <c r="Y15" s="37" t="s">
        <v>106</v>
      </c>
      <c r="Z15" s="37" t="s">
        <v>12</v>
      </c>
      <c r="AA15" s="37" t="s">
        <v>11</v>
      </c>
      <c r="AB15" s="37" t="s">
        <v>13</v>
      </c>
      <c r="AC15" s="37" t="s">
        <v>74</v>
      </c>
      <c r="AD15" s="37" t="s">
        <v>21</v>
      </c>
      <c r="AE15" s="37" t="s">
        <v>14</v>
      </c>
      <c r="AF15" s="37" t="s">
        <v>15</v>
      </c>
      <c r="AG15" s="37" t="s">
        <v>16</v>
      </c>
      <c r="AH15" s="15" t="s">
        <v>17</v>
      </c>
      <c r="AJ15" s="1">
        <f>G4+G10+G16+G21+G26+G31</f>
        <v>636</v>
      </c>
      <c r="AK15" s="50" t="s">
        <v>22</v>
      </c>
      <c r="AL15" t="s">
        <v>72</v>
      </c>
    </row>
    <row r="16" spans="1:38" x14ac:dyDescent="0.35">
      <c r="A16" s="38">
        <v>44706</v>
      </c>
      <c r="B16" s="39" t="s">
        <v>104</v>
      </c>
      <c r="C16" s="39"/>
      <c r="D16" s="45">
        <v>130505</v>
      </c>
      <c r="E16" s="39"/>
      <c r="F16" s="39"/>
      <c r="G16" s="39">
        <v>116</v>
      </c>
      <c r="H16" s="40">
        <v>55966</v>
      </c>
      <c r="I16" s="53">
        <v>0.5</v>
      </c>
      <c r="J16" s="42">
        <f>K16/H16</f>
        <v>0.51111389057642143</v>
      </c>
      <c r="K16" s="40">
        <v>28605</v>
      </c>
      <c r="L16" s="40"/>
      <c r="M16" s="40"/>
      <c r="N16" s="40"/>
      <c r="O16" s="40"/>
      <c r="P16" s="40"/>
      <c r="Q16" s="40"/>
      <c r="R16" s="40"/>
      <c r="S16" s="40"/>
      <c r="T16" s="40"/>
      <c r="U16" s="43">
        <v>270</v>
      </c>
      <c r="V16" s="43">
        <f>H16*U16*I16/15</f>
        <v>503694</v>
      </c>
      <c r="W16" s="43">
        <v>322.63</v>
      </c>
      <c r="X16" s="43">
        <v>615255.41</v>
      </c>
      <c r="Y16" s="43">
        <f>G16*100</f>
        <v>11600</v>
      </c>
      <c r="Z16" s="43">
        <v>13720</v>
      </c>
      <c r="AA16" s="43"/>
      <c r="AB16" s="43">
        <v>3132</v>
      </c>
      <c r="AC16" s="43"/>
      <c r="AD16" s="43">
        <f>IF(F16="",G16*3.83,F16*3.83)</f>
        <v>444.28000000000003</v>
      </c>
      <c r="AE16" s="43">
        <v>1230.51</v>
      </c>
      <c r="AF16" s="43">
        <f>V16+Y16+Z16+AA16+AB16+AC16+AD16</f>
        <v>532590.28</v>
      </c>
      <c r="AG16" s="43">
        <f>(H16*W16*J16/15)-AE16</f>
        <v>614024.9</v>
      </c>
      <c r="AH16" s="26">
        <f>AG16-AF16</f>
        <v>81434.62</v>
      </c>
      <c r="AJ16" s="11">
        <f>AH4+AH10+AH16+AH21+AH26+AH31</f>
        <v>343965.3926666663</v>
      </c>
      <c r="AK16" s="11">
        <f>AJ16*30%</f>
        <v>103189.61779999989</v>
      </c>
    </row>
    <row r="17" spans="1:36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702.02258620689656</v>
      </c>
    </row>
    <row r="18" spans="1:36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AH16/AG16</f>
        <v>0.13262429585510294</v>
      </c>
    </row>
    <row r="20" spans="1:36" x14ac:dyDescent="0.35">
      <c r="A20" s="14" t="s">
        <v>1</v>
      </c>
      <c r="B20" s="14" t="s">
        <v>2</v>
      </c>
      <c r="C20" s="14" t="s">
        <v>110</v>
      </c>
      <c r="D20" s="14" t="s">
        <v>66</v>
      </c>
      <c r="E20" s="14" t="s">
        <v>38</v>
      </c>
      <c r="F20" s="14" t="s">
        <v>137</v>
      </c>
      <c r="G20" s="14" t="s">
        <v>138</v>
      </c>
      <c r="H20" s="14" t="s">
        <v>4</v>
      </c>
      <c r="I20" s="14" t="s">
        <v>5</v>
      </c>
      <c r="J20" s="14" t="s">
        <v>6</v>
      </c>
      <c r="K20" s="14" t="s">
        <v>7</v>
      </c>
      <c r="L20" s="14" t="s">
        <v>279</v>
      </c>
      <c r="M20" s="14" t="s">
        <v>280</v>
      </c>
      <c r="N20" s="14" t="s">
        <v>281</v>
      </c>
      <c r="O20" s="14" t="s">
        <v>282</v>
      </c>
      <c r="P20" s="14" t="s">
        <v>283</v>
      </c>
      <c r="Q20" s="14" t="s">
        <v>284</v>
      </c>
      <c r="R20" s="14" t="s">
        <v>904</v>
      </c>
      <c r="S20" s="14" t="s">
        <v>285</v>
      </c>
      <c r="T20" s="14" t="s">
        <v>289</v>
      </c>
      <c r="U20" s="14" t="s">
        <v>8</v>
      </c>
      <c r="V20" s="14" t="s">
        <v>9</v>
      </c>
      <c r="W20" s="14" t="s">
        <v>10</v>
      </c>
      <c r="X20" s="14" t="s">
        <v>100</v>
      </c>
      <c r="Y20" s="14" t="s">
        <v>106</v>
      </c>
      <c r="Z20" s="14" t="s">
        <v>12</v>
      </c>
      <c r="AA20" s="14" t="s">
        <v>11</v>
      </c>
      <c r="AB20" s="14" t="s">
        <v>13</v>
      </c>
      <c r="AC20" s="14" t="s">
        <v>74</v>
      </c>
      <c r="AD20" s="14" t="s">
        <v>21</v>
      </c>
      <c r="AE20" s="14" t="s">
        <v>14</v>
      </c>
      <c r="AF20" s="14" t="s">
        <v>15</v>
      </c>
      <c r="AG20" s="14" t="s">
        <v>16</v>
      </c>
      <c r="AH20" s="15" t="s">
        <v>17</v>
      </c>
    </row>
    <row r="21" spans="1:36" x14ac:dyDescent="0.35">
      <c r="A21" s="20">
        <v>44706</v>
      </c>
      <c r="B21" s="21" t="s">
        <v>105</v>
      </c>
      <c r="C21" s="21"/>
      <c r="D21" s="44">
        <v>130504</v>
      </c>
      <c r="E21" s="21"/>
      <c r="F21" s="21"/>
      <c r="G21" s="21">
        <v>130</v>
      </c>
      <c r="H21" s="22">
        <v>50040</v>
      </c>
      <c r="I21" s="33">
        <v>0.5</v>
      </c>
      <c r="J21" s="24">
        <f>K21/H21</f>
        <v>0.52313149480415666</v>
      </c>
      <c r="K21" s="22">
        <v>26177.5</v>
      </c>
      <c r="L21" s="22"/>
      <c r="M21" s="22"/>
      <c r="N21" s="22"/>
      <c r="O21" s="22"/>
      <c r="P21" s="22"/>
      <c r="Q21" s="22"/>
      <c r="R21" s="22"/>
      <c r="S21" s="22"/>
      <c r="T21" s="22"/>
      <c r="U21" s="25">
        <v>260</v>
      </c>
      <c r="V21" s="25">
        <f>H21*U21*I21/15</f>
        <v>433680</v>
      </c>
      <c r="W21" s="25">
        <v>323.85000000000002</v>
      </c>
      <c r="X21" s="25">
        <v>565169.92000000004</v>
      </c>
      <c r="Y21" s="25">
        <f>G21*60</f>
        <v>7800</v>
      </c>
      <c r="Z21" s="25">
        <v>12447.4</v>
      </c>
      <c r="AA21" s="25"/>
      <c r="AB21" s="25">
        <v>3380</v>
      </c>
      <c r="AC21" s="25">
        <f>G21*30</f>
        <v>3900</v>
      </c>
      <c r="AD21" s="25">
        <f>IF(F21="",G21*3.83,F21*3.83)</f>
        <v>497.90000000000003</v>
      </c>
      <c r="AE21" s="25">
        <v>1130.33</v>
      </c>
      <c r="AF21" s="25">
        <f>V21+Y21+Z21+AA21+AB21+AC21+AD21</f>
        <v>461705.30000000005</v>
      </c>
      <c r="AG21" s="25">
        <f>(H21*W21*J21/15)-AE21</f>
        <v>564041.89500000002</v>
      </c>
      <c r="AH21" s="26">
        <f>AG21-AF21</f>
        <v>102336.59499999997</v>
      </c>
    </row>
    <row r="22" spans="1:36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5"/>
      <c r="AA22" s="21"/>
      <c r="AB22" s="21"/>
      <c r="AC22" s="21"/>
      <c r="AD22" s="21"/>
      <c r="AE22" s="21"/>
      <c r="AF22" s="21"/>
      <c r="AG22" s="21"/>
      <c r="AH22" s="26">
        <f>AH21/G21</f>
        <v>787.20457692307673</v>
      </c>
      <c r="AJ22" s="6"/>
    </row>
    <row r="23" spans="1:36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7">
        <f>AH21/AG21</f>
        <v>0.18143438618154414</v>
      </c>
      <c r="AJ23" s="6"/>
    </row>
    <row r="25" spans="1:36" x14ac:dyDescent="0.35">
      <c r="A25" s="14" t="s">
        <v>1</v>
      </c>
      <c r="B25" s="14" t="s">
        <v>2</v>
      </c>
      <c r="C25" s="14" t="s">
        <v>110</v>
      </c>
      <c r="D25" s="14" t="s">
        <v>66</v>
      </c>
      <c r="E25" s="14" t="s">
        <v>32</v>
      </c>
      <c r="F25" s="14" t="s">
        <v>137</v>
      </c>
      <c r="G25" s="14" t="s">
        <v>138</v>
      </c>
      <c r="H25" s="14" t="s">
        <v>4</v>
      </c>
      <c r="I25" s="14" t="s">
        <v>5</v>
      </c>
      <c r="J25" s="14" t="s">
        <v>6</v>
      </c>
      <c r="K25" s="14" t="s">
        <v>7</v>
      </c>
      <c r="L25" s="14" t="s">
        <v>279</v>
      </c>
      <c r="M25" s="14" t="s">
        <v>280</v>
      </c>
      <c r="N25" s="14" t="s">
        <v>281</v>
      </c>
      <c r="O25" s="14" t="s">
        <v>282</v>
      </c>
      <c r="P25" s="14" t="s">
        <v>283</v>
      </c>
      <c r="Q25" s="14" t="s">
        <v>284</v>
      </c>
      <c r="R25" s="14" t="s">
        <v>904</v>
      </c>
      <c r="S25" s="14" t="s">
        <v>285</v>
      </c>
      <c r="T25" s="14" t="s">
        <v>289</v>
      </c>
      <c r="U25" s="14" t="s">
        <v>8</v>
      </c>
      <c r="V25" s="14" t="s">
        <v>9</v>
      </c>
      <c r="W25" s="14" t="s">
        <v>10</v>
      </c>
      <c r="X25" s="14" t="s">
        <v>100</v>
      </c>
      <c r="Y25" s="14" t="s">
        <v>106</v>
      </c>
      <c r="Z25" s="14" t="s">
        <v>12</v>
      </c>
      <c r="AA25" s="14" t="s">
        <v>11</v>
      </c>
      <c r="AB25" s="14" t="s">
        <v>13</v>
      </c>
      <c r="AC25" s="14" t="s">
        <v>74</v>
      </c>
      <c r="AD25" s="14" t="s">
        <v>21</v>
      </c>
      <c r="AE25" s="14" t="s">
        <v>14</v>
      </c>
      <c r="AF25" s="14" t="s">
        <v>15</v>
      </c>
      <c r="AG25" s="14" t="s">
        <v>16</v>
      </c>
      <c r="AH25" s="15" t="s">
        <v>17</v>
      </c>
    </row>
    <row r="26" spans="1:36" x14ac:dyDescent="0.35">
      <c r="A26" s="20">
        <v>44708</v>
      </c>
      <c r="B26" s="21" t="s">
        <v>75</v>
      </c>
      <c r="C26" s="21"/>
      <c r="D26" s="44">
        <v>130732</v>
      </c>
      <c r="E26" s="21"/>
      <c r="F26" s="21"/>
      <c r="G26" s="21">
        <v>65</v>
      </c>
      <c r="H26" s="22">
        <v>24200</v>
      </c>
      <c r="I26" s="33">
        <v>0.5</v>
      </c>
      <c r="J26" s="24">
        <f>K26/H26</f>
        <v>0.47767561983471074</v>
      </c>
      <c r="K26" s="22">
        <v>11559.75</v>
      </c>
      <c r="L26" s="22"/>
      <c r="M26" s="22"/>
      <c r="N26" s="22"/>
      <c r="O26" s="22"/>
      <c r="P26" s="22"/>
      <c r="Q26" s="22"/>
      <c r="R26" s="22"/>
      <c r="S26" s="22"/>
      <c r="T26" s="22"/>
      <c r="U26" s="25">
        <v>260</v>
      </c>
      <c r="V26" s="25">
        <f>H26*U26*I26/15</f>
        <v>209733.33333333334</v>
      </c>
      <c r="W26" s="25">
        <v>319.64999999999998</v>
      </c>
      <c r="X26" s="25">
        <v>246340.48000000001</v>
      </c>
      <c r="Y26" s="25">
        <f>G26*60</f>
        <v>3900</v>
      </c>
      <c r="Z26" s="25">
        <v>11797.4</v>
      </c>
      <c r="AA26" s="25"/>
      <c r="AB26" s="25">
        <v>1690</v>
      </c>
      <c r="AC26" s="25">
        <f>G26*30</f>
        <v>1950</v>
      </c>
      <c r="AD26" s="25">
        <f>IF(F26="",G26*3.83,F26*3.83)</f>
        <v>248.95000000000002</v>
      </c>
      <c r="AE26" s="25">
        <v>492.66</v>
      </c>
      <c r="AF26" s="25">
        <f>V26+Y26+Z26+AA26+AB26+AC26+AD26</f>
        <v>229319.68333333335</v>
      </c>
      <c r="AG26" s="25">
        <f>(H26*W26*J26/15)-AE26</f>
        <v>245845.61249999996</v>
      </c>
      <c r="AH26" s="26">
        <f>AG26-AF26</f>
        <v>16525.92916666661</v>
      </c>
    </row>
    <row r="27" spans="1:36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6">
        <f>AH26/G26</f>
        <v>254.24506410256325</v>
      </c>
    </row>
    <row r="28" spans="1:36" x14ac:dyDescent="0.3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7">
        <f>AH26/AG26</f>
        <v>6.7220761024021178E-2</v>
      </c>
      <c r="AJ28" s="6"/>
    </row>
    <row r="29" spans="1:36" x14ac:dyDescent="0.35">
      <c r="AJ29" s="6"/>
    </row>
    <row r="30" spans="1:36" x14ac:dyDescent="0.35">
      <c r="A30" s="37" t="s">
        <v>1</v>
      </c>
      <c r="B30" s="37" t="s">
        <v>2</v>
      </c>
      <c r="C30" s="37" t="s">
        <v>110</v>
      </c>
      <c r="D30" s="37" t="s">
        <v>66</v>
      </c>
      <c r="E30" s="37" t="s">
        <v>32</v>
      </c>
      <c r="F30" s="37" t="s">
        <v>137</v>
      </c>
      <c r="G30" s="37" t="s">
        <v>138</v>
      </c>
      <c r="H30" s="37" t="s">
        <v>4</v>
      </c>
      <c r="I30" s="37" t="s">
        <v>5</v>
      </c>
      <c r="J30" s="37" t="s">
        <v>6</v>
      </c>
      <c r="K30" s="37" t="s">
        <v>7</v>
      </c>
      <c r="L30" s="37" t="s">
        <v>279</v>
      </c>
      <c r="M30" s="37" t="s">
        <v>280</v>
      </c>
      <c r="N30" s="37" t="s">
        <v>281</v>
      </c>
      <c r="O30" s="37" t="s">
        <v>282</v>
      </c>
      <c r="P30" s="37" t="s">
        <v>283</v>
      </c>
      <c r="Q30" s="37" t="s">
        <v>284</v>
      </c>
      <c r="R30" s="37" t="s">
        <v>904</v>
      </c>
      <c r="S30" s="37" t="s">
        <v>285</v>
      </c>
      <c r="T30" s="37" t="s">
        <v>289</v>
      </c>
      <c r="U30" s="37" t="s">
        <v>8</v>
      </c>
      <c r="V30" s="37" t="s">
        <v>9</v>
      </c>
      <c r="W30" s="37" t="s">
        <v>10</v>
      </c>
      <c r="X30" s="37" t="s">
        <v>100</v>
      </c>
      <c r="Y30" s="37" t="s">
        <v>106</v>
      </c>
      <c r="Z30" s="37" t="s">
        <v>12</v>
      </c>
      <c r="AA30" s="37" t="s">
        <v>11</v>
      </c>
      <c r="AB30" s="37" t="s">
        <v>13</v>
      </c>
      <c r="AC30" s="37" t="s">
        <v>74</v>
      </c>
      <c r="AD30" s="37" t="s">
        <v>21</v>
      </c>
      <c r="AE30" s="37" t="s">
        <v>14</v>
      </c>
      <c r="AF30" s="37" t="s">
        <v>15</v>
      </c>
      <c r="AG30" s="37" t="s">
        <v>16</v>
      </c>
      <c r="AH30" s="15" t="s">
        <v>17</v>
      </c>
    </row>
    <row r="31" spans="1:36" x14ac:dyDescent="0.35">
      <c r="A31" s="38">
        <v>44708</v>
      </c>
      <c r="B31" s="39" t="s">
        <v>107</v>
      </c>
      <c r="C31" s="39"/>
      <c r="D31" s="45">
        <v>130732</v>
      </c>
      <c r="E31" s="39"/>
      <c r="F31" s="39"/>
      <c r="G31" s="39">
        <v>65</v>
      </c>
      <c r="H31" s="40">
        <v>24380</v>
      </c>
      <c r="I31" s="53">
        <v>0.5</v>
      </c>
      <c r="J31" s="42">
        <f>K31/H31</f>
        <v>0.47414889253486464</v>
      </c>
      <c r="K31" s="40">
        <v>11559.75</v>
      </c>
      <c r="L31" s="40"/>
      <c r="M31" s="40"/>
      <c r="N31" s="40"/>
      <c r="O31" s="40"/>
      <c r="P31" s="40"/>
      <c r="Q31" s="40"/>
      <c r="R31" s="40"/>
      <c r="S31" s="40"/>
      <c r="T31" s="40"/>
      <c r="U31" s="43">
        <v>260</v>
      </c>
      <c r="V31" s="43">
        <f>H31*U31*I31/15</f>
        <v>211293.33333333334</v>
      </c>
      <c r="W31" s="43">
        <v>319.64999999999998</v>
      </c>
      <c r="X31" s="43">
        <v>246340.48000000001</v>
      </c>
      <c r="Y31" s="43">
        <f>G31*60</f>
        <v>3900</v>
      </c>
      <c r="Z31" s="43">
        <v>11960</v>
      </c>
      <c r="AA31" s="43"/>
      <c r="AB31" s="43">
        <v>1690</v>
      </c>
      <c r="AC31" s="43">
        <f>G31*30</f>
        <v>1950</v>
      </c>
      <c r="AD31" s="43">
        <f>IF(F31="",G31*3.83,F31*3.83)</f>
        <v>248.95000000000002</v>
      </c>
      <c r="AE31" s="43">
        <v>492.66</v>
      </c>
      <c r="AF31" s="43">
        <f>V31+Y31+Z31+AA31+AB31+AC31+AD31</f>
        <v>231042.28333333335</v>
      </c>
      <c r="AG31" s="43">
        <f>(H31*W31*J31/15)-AE31</f>
        <v>245845.61249999996</v>
      </c>
      <c r="AH31" s="26">
        <f>AG31-AF31</f>
        <v>14803.329166666605</v>
      </c>
    </row>
    <row r="32" spans="1:36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5"/>
      <c r="Y32" s="21"/>
      <c r="Z32" s="21"/>
      <c r="AA32" s="21"/>
      <c r="AB32" s="21"/>
      <c r="AC32" s="21"/>
      <c r="AD32" s="21"/>
      <c r="AE32" s="21"/>
      <c r="AF32" s="21"/>
      <c r="AG32" s="21"/>
      <c r="AH32" s="26">
        <f>AH31/G31</f>
        <v>227.74352564102469</v>
      </c>
    </row>
    <row r="33" spans="1:36" x14ac:dyDescent="0.3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7">
        <f>AH31/AG31</f>
        <v>6.0213924568886121E-2</v>
      </c>
    </row>
    <row r="34" spans="1:36" ht="15" thickBot="1" x14ac:dyDescent="0.4">
      <c r="AJ34" s="6"/>
    </row>
    <row r="35" spans="1:36" ht="16" thickBot="1" x14ac:dyDescent="0.4">
      <c r="A35" s="377" t="s">
        <v>108</v>
      </c>
      <c r="B35" s="378"/>
      <c r="C35" s="378"/>
      <c r="D35" s="378"/>
      <c r="E35" s="378"/>
      <c r="F35" s="378"/>
      <c r="G35" s="378"/>
      <c r="H35" s="378"/>
      <c r="I35" s="378"/>
      <c r="J35" s="378"/>
      <c r="K35" s="378"/>
      <c r="L35" s="46"/>
      <c r="M35" s="46"/>
      <c r="N35" s="46"/>
      <c r="O35" s="46"/>
      <c r="P35" s="46"/>
      <c r="Q35" s="46"/>
      <c r="R35" s="46"/>
      <c r="S35" s="46"/>
      <c r="T35" s="46"/>
      <c r="U35" s="30"/>
      <c r="V35" s="31">
        <f>V4+V10+V16+V21+V26+V31</f>
        <v>2248700.6666666665</v>
      </c>
      <c r="W35" s="30"/>
      <c r="X35" s="30"/>
      <c r="Y35" s="31">
        <f t="shared" ref="Y35:AG35" si="0">Y4+Y10+Y16+Y21+Y26+Y31</f>
        <v>35000</v>
      </c>
      <c r="Z35" s="31">
        <f t="shared" si="0"/>
        <v>92229.599999999991</v>
      </c>
      <c r="AA35" s="31">
        <f t="shared" si="0"/>
        <v>0</v>
      </c>
      <c r="AB35" s="31">
        <f t="shared" si="0"/>
        <v>16782</v>
      </c>
      <c r="AC35" s="31">
        <f t="shared" si="0"/>
        <v>15600</v>
      </c>
      <c r="AD35" s="31">
        <f t="shared" si="0"/>
        <v>2435.88</v>
      </c>
      <c r="AE35" s="31">
        <f t="shared" si="0"/>
        <v>5520.79</v>
      </c>
      <c r="AF35" s="31">
        <f t="shared" si="0"/>
        <v>2410748.1466666665</v>
      </c>
      <c r="AG35" s="31">
        <f t="shared" si="0"/>
        <v>2754713.5393333328</v>
      </c>
      <c r="AH35" s="32"/>
      <c r="AJ35" s="6"/>
    </row>
  </sheetData>
  <mergeCells count="2">
    <mergeCell ref="U2:AC2"/>
    <mergeCell ref="A35:K3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1"/>
  <dimension ref="A1:AL28"/>
  <sheetViews>
    <sheetView zoomScale="85" zoomScaleNormal="85" workbookViewId="0">
      <selection activeCell="A24" sqref="A24:U24"/>
    </sheetView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" bestFit="1" customWidth="1"/>
    <col min="17" max="18" width="11.179687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5.269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44712</v>
      </c>
      <c r="B4" s="21" t="s">
        <v>109</v>
      </c>
      <c r="C4" s="21" t="s">
        <v>111</v>
      </c>
      <c r="D4" s="44">
        <v>131021</v>
      </c>
      <c r="E4" s="21"/>
      <c r="F4" s="21"/>
      <c r="G4" s="21">
        <v>60</v>
      </c>
      <c r="H4" s="22">
        <v>26752</v>
      </c>
      <c r="I4" s="23">
        <v>0.5</v>
      </c>
      <c r="J4" s="24">
        <f>K4/H4</f>
        <v>0.51809210526315785</v>
      </c>
      <c r="K4" s="22">
        <v>13860</v>
      </c>
      <c r="L4" s="22"/>
      <c r="M4" s="22"/>
      <c r="N4" s="22"/>
      <c r="O4" s="22"/>
      <c r="P4" s="22"/>
      <c r="Q4" s="22"/>
      <c r="R4" s="22"/>
      <c r="S4" s="22"/>
      <c r="T4" s="22"/>
      <c r="U4" s="25">
        <v>265</v>
      </c>
      <c r="V4" s="25">
        <f>H4*U4*I4/15</f>
        <v>236309.33333333334</v>
      </c>
      <c r="W4" s="25">
        <v>330.05</v>
      </c>
      <c r="X4" s="25">
        <v>304967.95</v>
      </c>
      <c r="Y4" s="25">
        <f>G4*60</f>
        <v>3600</v>
      </c>
      <c r="Z4" s="25">
        <v>4975</v>
      </c>
      <c r="AA4" s="25"/>
      <c r="AB4" s="25">
        <v>1590</v>
      </c>
      <c r="AC4" s="25">
        <f>G4*30</f>
        <v>1800</v>
      </c>
      <c r="AD4" s="25">
        <f>IF(F4="",G4*3.83,F4*3.83)</f>
        <v>229.8</v>
      </c>
      <c r="AE4" s="25">
        <v>609.94000000000005</v>
      </c>
      <c r="AF4" s="25">
        <f>V4+Y4+Z4+AA4+AB4+AC4+AD4</f>
        <v>248504.13333333333</v>
      </c>
      <c r="AG4" s="25">
        <f>IFERROR(IFERROR((H4*W4*J4/15)-AE4,""),"")</f>
        <v>304356.25999999995</v>
      </c>
      <c r="AH4" s="26">
        <f>IFERROR(AG4-AF4,"")</f>
        <v>55852.12666666662</v>
      </c>
    </row>
    <row r="5" spans="1:38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IFERROR(AH4/G4,"")</f>
        <v>930.86877777777704</v>
      </c>
      <c r="AJ5" s="11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0.18350904517839267</v>
      </c>
      <c r="AJ6" s="1"/>
    </row>
    <row r="7" spans="1:38" x14ac:dyDescent="0.35">
      <c r="AJ7" s="11"/>
    </row>
    <row r="8" spans="1:38" x14ac:dyDescent="0.35">
      <c r="AJ8" s="1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8" x14ac:dyDescent="0.35">
      <c r="A10" s="20">
        <v>44712</v>
      </c>
      <c r="B10" s="21" t="s">
        <v>112</v>
      </c>
      <c r="C10" s="21" t="s">
        <v>113</v>
      </c>
      <c r="D10" s="44">
        <v>130733</v>
      </c>
      <c r="E10" s="21"/>
      <c r="F10" s="21"/>
      <c r="G10" s="21">
        <v>60</v>
      </c>
      <c r="H10" s="22">
        <v>22595</v>
      </c>
      <c r="I10" s="33">
        <v>0.5</v>
      </c>
      <c r="J10" s="24">
        <f>K10/H10</f>
        <v>0.49380393892454083</v>
      </c>
      <c r="K10" s="22">
        <v>11157.5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265</v>
      </c>
      <c r="V10" s="25">
        <f>H10*U10*I10/15</f>
        <v>199589.16666666666</v>
      </c>
      <c r="W10" s="25">
        <v>323.01</v>
      </c>
      <c r="X10" s="25">
        <v>240261.7</v>
      </c>
      <c r="Y10" s="25">
        <f>G10*60</f>
        <v>3600</v>
      </c>
      <c r="Z10" s="25">
        <v>6409</v>
      </c>
      <c r="AA10" s="25"/>
      <c r="AB10" s="25">
        <v>1590</v>
      </c>
      <c r="AC10" s="25">
        <f>G10*30</f>
        <v>1800</v>
      </c>
      <c r="AD10" s="25">
        <f>IF(F10="",G10*3.83,F10*3.83)</f>
        <v>229.8</v>
      </c>
      <c r="AE10" s="25">
        <v>480.5</v>
      </c>
      <c r="AF10" s="25">
        <f>V10+Y10+Z10+AA10+AB10+AC10+AD10</f>
        <v>213217.96666666665</v>
      </c>
      <c r="AG10" s="25">
        <f>IFERROR(IFERROR((H10*W10*J10/15)-AE10,""),"")</f>
        <v>239785.10500000001</v>
      </c>
      <c r="AH10" s="26">
        <f>IFERROR(AG10-AF10,"")</f>
        <v>26567.138333333365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IFERROR(AH10/G10,"")</f>
        <v>442.78563888888942</v>
      </c>
      <c r="AJ11" s="6"/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0.11079561565483129</v>
      </c>
      <c r="AJ12" s="6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38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J15" s="1">
        <f>G4+G10+G16+G21</f>
        <v>375</v>
      </c>
      <c r="AK15" s="50" t="s">
        <v>22</v>
      </c>
      <c r="AL15" t="s">
        <v>72</v>
      </c>
    </row>
    <row r="16" spans="1:38" x14ac:dyDescent="0.35">
      <c r="A16" s="20">
        <v>44713</v>
      </c>
      <c r="B16" s="21" t="s">
        <v>115</v>
      </c>
      <c r="C16" s="21" t="s">
        <v>116</v>
      </c>
      <c r="D16" s="44">
        <v>130736</v>
      </c>
      <c r="E16" s="21"/>
      <c r="F16" s="21"/>
      <c r="G16" s="21">
        <v>120</v>
      </c>
      <c r="H16" s="22">
        <v>50750</v>
      </c>
      <c r="I16" s="33">
        <v>0.5</v>
      </c>
      <c r="J16" s="24">
        <f>K16/H16</f>
        <v>0.50264039408867001</v>
      </c>
      <c r="K16" s="22">
        <v>25509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260</v>
      </c>
      <c r="V16" s="25">
        <f>H16*U16*I16/15</f>
        <v>439833.33333333331</v>
      </c>
      <c r="W16" s="25">
        <v>322.95</v>
      </c>
      <c r="X16" s="25">
        <v>549205.62</v>
      </c>
      <c r="Y16" s="25">
        <v>0</v>
      </c>
      <c r="Z16" s="25">
        <v>25241.599999999999</v>
      </c>
      <c r="AA16" s="25">
        <v>2650</v>
      </c>
      <c r="AB16" s="25">
        <v>3120</v>
      </c>
      <c r="AC16" s="25">
        <f>G16*30</f>
        <v>3600</v>
      </c>
      <c r="AD16" s="25">
        <f>IF(F16="",G16*3.83,F16*3.83)</f>
        <v>459.6</v>
      </c>
      <c r="AE16" s="25">
        <v>1008.41</v>
      </c>
      <c r="AF16" s="25">
        <f>V16+Y16+Z16+AA16+AB16+AC16+AD16</f>
        <v>474904.53333333327</v>
      </c>
      <c r="AG16" s="25">
        <f>IFERROR(IFERROR((H16*W16*J16/15)-AE16,""),"")</f>
        <v>548200.36</v>
      </c>
      <c r="AH16" s="26">
        <f>IFERROR(AG16-AF16,"")</f>
        <v>73295.826666666719</v>
      </c>
      <c r="AJ16" s="11">
        <f>AH4+AH10+AH16+AH21</f>
        <v>224073.90666666688</v>
      </c>
      <c r="AK16" s="11">
        <f>AJ16*30%</f>
        <v>67222.172000000064</v>
      </c>
    </row>
    <row r="17" spans="1:38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IFERROR(AH16/G16,"")</f>
        <v>610.79855555555594</v>
      </c>
      <c r="AK17" s="381" t="s">
        <v>114</v>
      </c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0.13370262410383443</v>
      </c>
      <c r="AK18" s="381"/>
    </row>
    <row r="19" spans="1:38" x14ac:dyDescent="0.35">
      <c r="AK19" s="381"/>
    </row>
    <row r="20" spans="1:38" x14ac:dyDescent="0.35">
      <c r="A20" s="37" t="s">
        <v>1</v>
      </c>
      <c r="B20" s="37" t="s">
        <v>2</v>
      </c>
      <c r="C20" s="37" t="s">
        <v>110</v>
      </c>
      <c r="D20" s="37" t="s">
        <v>66</v>
      </c>
      <c r="E20" s="37" t="s">
        <v>38</v>
      </c>
      <c r="F20" s="37" t="s">
        <v>137</v>
      </c>
      <c r="G20" s="37" t="s">
        <v>138</v>
      </c>
      <c r="H20" s="37" t="s">
        <v>4</v>
      </c>
      <c r="I20" s="37" t="s">
        <v>5</v>
      </c>
      <c r="J20" s="37" t="s">
        <v>6</v>
      </c>
      <c r="K20" s="37" t="s">
        <v>7</v>
      </c>
      <c r="L20" s="37" t="s">
        <v>279</v>
      </c>
      <c r="M20" s="37" t="s">
        <v>280</v>
      </c>
      <c r="N20" s="37" t="s">
        <v>281</v>
      </c>
      <c r="O20" s="37" t="s">
        <v>282</v>
      </c>
      <c r="P20" s="37" t="s">
        <v>283</v>
      </c>
      <c r="Q20" s="37" t="s">
        <v>284</v>
      </c>
      <c r="R20" s="37" t="s">
        <v>904</v>
      </c>
      <c r="S20" s="37" t="s">
        <v>285</v>
      </c>
      <c r="T20" s="37" t="s">
        <v>289</v>
      </c>
      <c r="U20" s="37" t="s">
        <v>8</v>
      </c>
      <c r="V20" s="37" t="s">
        <v>9</v>
      </c>
      <c r="W20" s="37" t="s">
        <v>10</v>
      </c>
      <c r="X20" s="37" t="s">
        <v>100</v>
      </c>
      <c r="Y20" s="37" t="s">
        <v>106</v>
      </c>
      <c r="Z20" s="37" t="s">
        <v>12</v>
      </c>
      <c r="AA20" s="37" t="s">
        <v>11</v>
      </c>
      <c r="AB20" s="37" t="s">
        <v>13</v>
      </c>
      <c r="AC20" s="37" t="s">
        <v>74</v>
      </c>
      <c r="AD20" s="37" t="s">
        <v>21</v>
      </c>
      <c r="AE20" s="37" t="s">
        <v>14</v>
      </c>
      <c r="AF20" s="37" t="s">
        <v>15</v>
      </c>
      <c r="AG20" s="37" t="s">
        <v>16</v>
      </c>
      <c r="AH20" s="15" t="s">
        <v>17</v>
      </c>
      <c r="AK20" s="381"/>
    </row>
    <row r="21" spans="1:38" x14ac:dyDescent="0.35">
      <c r="A21" s="38">
        <v>44715</v>
      </c>
      <c r="B21" s="39" t="s">
        <v>118</v>
      </c>
      <c r="C21" s="39" t="s">
        <v>119</v>
      </c>
      <c r="D21" s="45">
        <v>131088</v>
      </c>
      <c r="E21" s="39"/>
      <c r="F21" s="39"/>
      <c r="G21" s="39">
        <v>135</v>
      </c>
      <c r="H21" s="40">
        <v>49460</v>
      </c>
      <c r="I21" s="53">
        <v>0.5</v>
      </c>
      <c r="J21" s="42">
        <f>K21/H21</f>
        <v>0.51096845936109991</v>
      </c>
      <c r="K21" s="40">
        <v>25272.5</v>
      </c>
      <c r="L21" s="40"/>
      <c r="M21" s="40"/>
      <c r="N21" s="40"/>
      <c r="O21" s="40"/>
      <c r="P21" s="40"/>
      <c r="Q21" s="40"/>
      <c r="R21" s="40"/>
      <c r="S21" s="40"/>
      <c r="T21" s="40"/>
      <c r="U21" s="43">
        <v>260</v>
      </c>
      <c r="V21" s="43">
        <f>H21*U21*I21/15</f>
        <v>428653.33333333331</v>
      </c>
      <c r="W21" s="43">
        <v>315.37</v>
      </c>
      <c r="X21" s="43">
        <v>531345.6</v>
      </c>
      <c r="Y21" s="43">
        <f>G21*60</f>
        <v>8100</v>
      </c>
      <c r="Z21" s="43">
        <v>17094</v>
      </c>
      <c r="AA21" s="43"/>
      <c r="AB21" s="43">
        <v>3510</v>
      </c>
      <c r="AC21" s="43">
        <f>G21*30</f>
        <v>4050</v>
      </c>
      <c r="AD21" s="43">
        <f>IF(F21="",G21*3.83,F21*3.83)</f>
        <v>517.04999999999995</v>
      </c>
      <c r="AE21" s="43">
        <v>1062.69</v>
      </c>
      <c r="AF21" s="43">
        <f>V21+Y21+Z21+AA21+AB21+AC21+AD21</f>
        <v>461924.3833333333</v>
      </c>
      <c r="AG21" s="43">
        <f>IFERROR(IFERROR((H21*W21*J21/15)-AE21,""),"")</f>
        <v>530283.19833333348</v>
      </c>
      <c r="AH21" s="26">
        <f>IFERROR(AG21-AF21,"")</f>
        <v>68358.815000000177</v>
      </c>
      <c r="AK21" s="381"/>
    </row>
    <row r="22" spans="1:38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5"/>
      <c r="AA22" s="21"/>
      <c r="AB22" s="21"/>
      <c r="AC22" s="21"/>
      <c r="AD22" s="21"/>
      <c r="AE22" s="21"/>
      <c r="AF22" s="21"/>
      <c r="AG22" s="21"/>
      <c r="AH22" s="26">
        <f>IFERROR(AH21/G21,"")</f>
        <v>506.36159259259392</v>
      </c>
      <c r="AJ22" s="6"/>
      <c r="AK22" s="57">
        <v>12447.5</v>
      </c>
      <c r="AL22" t="s">
        <v>117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7">
        <f>IFERROR(AH21/AG21,"")</f>
        <v>0.12891001490307477</v>
      </c>
      <c r="AJ23" s="6"/>
    </row>
    <row r="24" spans="1:38" x14ac:dyDescent="0.35">
      <c r="AJ24" s="382" t="s">
        <v>127</v>
      </c>
      <c r="AK24" s="58">
        <v>408.7</v>
      </c>
    </row>
    <row r="25" spans="1:38" ht="15" thickBot="1" x14ac:dyDescent="0.4">
      <c r="AJ25" s="382"/>
      <c r="AK25" s="58">
        <f>AK22*30%</f>
        <v>3734.25</v>
      </c>
    </row>
    <row r="26" spans="1:38" ht="16" thickBot="1" x14ac:dyDescent="0.4">
      <c r="A26" s="377" t="s">
        <v>120</v>
      </c>
      <c r="B26" s="378"/>
      <c r="C26" s="378"/>
      <c r="D26" s="378"/>
      <c r="E26" s="378"/>
      <c r="F26" s="378"/>
      <c r="G26" s="378"/>
      <c r="H26" s="378"/>
      <c r="I26" s="378"/>
      <c r="J26" s="378"/>
      <c r="K26" s="378"/>
      <c r="L26" s="46"/>
      <c r="M26" s="46"/>
      <c r="N26" s="46"/>
      <c r="O26" s="46"/>
      <c r="P26" s="46"/>
      <c r="Q26" s="46"/>
      <c r="R26" s="46"/>
      <c r="S26" s="46"/>
      <c r="T26" s="46"/>
      <c r="U26" s="30"/>
      <c r="V26" s="31">
        <f>V4+V10+V16+V21</f>
        <v>1304385.1666666665</v>
      </c>
      <c r="W26" s="30"/>
      <c r="X26" s="30"/>
      <c r="Y26" s="31">
        <f t="shared" ref="Y26:AF26" si="0">Y4+Y10+Y16+Y21</f>
        <v>15300</v>
      </c>
      <c r="Z26" s="31">
        <f t="shared" si="0"/>
        <v>53719.6</v>
      </c>
      <c r="AA26" s="31">
        <f t="shared" si="0"/>
        <v>2650</v>
      </c>
      <c r="AB26" s="31">
        <f t="shared" si="0"/>
        <v>9810</v>
      </c>
      <c r="AC26" s="31">
        <f t="shared" si="0"/>
        <v>11250</v>
      </c>
      <c r="AD26" s="31">
        <f t="shared" si="0"/>
        <v>1436.25</v>
      </c>
      <c r="AE26" s="31">
        <f t="shared" si="0"/>
        <v>3161.54</v>
      </c>
      <c r="AF26" s="31">
        <f t="shared" si="0"/>
        <v>1398551.0166666666</v>
      </c>
      <c r="AG26" s="31">
        <f>SUM(AG4+AG10+AG16+AG21)</f>
        <v>1622624.9233333336</v>
      </c>
      <c r="AH26" s="32"/>
      <c r="AJ26" s="19"/>
      <c r="AK26" s="59">
        <f>SUM(AK24:AK25)</f>
        <v>4142.95</v>
      </c>
    </row>
    <row r="27" spans="1:38" x14ac:dyDescent="0.35">
      <c r="AJ27" s="60" t="s">
        <v>128</v>
      </c>
      <c r="AK27" s="13">
        <f>AK16</f>
        <v>67222.172000000064</v>
      </c>
    </row>
    <row r="28" spans="1:38" x14ac:dyDescent="0.35">
      <c r="AJ28" s="61" t="s">
        <v>129</v>
      </c>
      <c r="AK28" s="62">
        <f>AK27-AK26</f>
        <v>63079.222000000067</v>
      </c>
    </row>
  </sheetData>
  <mergeCells count="4">
    <mergeCell ref="U2:AC2"/>
    <mergeCell ref="A26:K26"/>
    <mergeCell ref="AK17:AK21"/>
    <mergeCell ref="AJ24:AJ25"/>
  </mergeCells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"/>
  <dimension ref="A1:AL30"/>
  <sheetViews>
    <sheetView topLeftCell="C1" zoomScale="85" zoomScaleNormal="85" workbookViewId="0">
      <selection activeCell="X26" sqref="X26"/>
    </sheetView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" bestFit="1" customWidth="1"/>
    <col min="17" max="18" width="11.179687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3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37" t="s">
        <v>1</v>
      </c>
      <c r="B3" s="37" t="s">
        <v>2</v>
      </c>
      <c r="C3" s="37" t="s">
        <v>110</v>
      </c>
      <c r="D3" s="37" t="s">
        <v>66</v>
      </c>
      <c r="E3" s="37" t="s">
        <v>32</v>
      </c>
      <c r="F3" s="37" t="s">
        <v>137</v>
      </c>
      <c r="G3" s="37" t="s">
        <v>138</v>
      </c>
      <c r="H3" s="37" t="s">
        <v>4</v>
      </c>
      <c r="I3" s="37" t="s">
        <v>5</v>
      </c>
      <c r="J3" s="37" t="s">
        <v>6</v>
      </c>
      <c r="K3" s="37" t="s">
        <v>7</v>
      </c>
      <c r="L3" s="37" t="s">
        <v>279</v>
      </c>
      <c r="M3" s="37" t="s">
        <v>280</v>
      </c>
      <c r="N3" s="37" t="s">
        <v>281</v>
      </c>
      <c r="O3" s="37" t="s">
        <v>282</v>
      </c>
      <c r="P3" s="37" t="s">
        <v>283</v>
      </c>
      <c r="Q3" s="37" t="s">
        <v>284</v>
      </c>
      <c r="R3" s="37" t="s">
        <v>904</v>
      </c>
      <c r="S3" s="37" t="s">
        <v>285</v>
      </c>
      <c r="T3" s="37" t="s">
        <v>289</v>
      </c>
      <c r="U3" s="37" t="s">
        <v>8</v>
      </c>
      <c r="V3" s="37" t="s">
        <v>9</v>
      </c>
      <c r="W3" s="37" t="s">
        <v>10</v>
      </c>
      <c r="X3" s="37" t="s">
        <v>100</v>
      </c>
      <c r="Y3" s="37" t="s">
        <v>106</v>
      </c>
      <c r="Z3" s="37" t="s">
        <v>12</v>
      </c>
      <c r="AA3" s="37" t="s">
        <v>258</v>
      </c>
      <c r="AB3" s="37" t="s">
        <v>13</v>
      </c>
      <c r="AC3" s="37" t="s">
        <v>74</v>
      </c>
      <c r="AD3" s="37" t="s">
        <v>21</v>
      </c>
      <c r="AE3" s="37" t="s">
        <v>14</v>
      </c>
      <c r="AF3" s="37" t="s">
        <v>15</v>
      </c>
      <c r="AG3" s="37" t="s">
        <v>16</v>
      </c>
      <c r="AH3" s="15" t="s">
        <v>17</v>
      </c>
    </row>
    <row r="4" spans="1:38" x14ac:dyDescent="0.35">
      <c r="A4" s="38">
        <v>44718</v>
      </c>
      <c r="B4" s="39" t="s">
        <v>122</v>
      </c>
      <c r="C4" s="39" t="s">
        <v>125</v>
      </c>
      <c r="D4" s="45">
        <v>131090</v>
      </c>
      <c r="E4" s="39"/>
      <c r="F4" s="39"/>
      <c r="G4" s="39">
        <v>65</v>
      </c>
      <c r="H4" s="40">
        <v>25721</v>
      </c>
      <c r="I4" s="41">
        <v>0.5</v>
      </c>
      <c r="J4" s="42">
        <f>K4/H4</f>
        <v>0.52178181252672917</v>
      </c>
      <c r="K4" s="40">
        <v>13420.75</v>
      </c>
      <c r="L4" s="40"/>
      <c r="M4" s="40"/>
      <c r="N4" s="40"/>
      <c r="O4" s="40"/>
      <c r="P4" s="40"/>
      <c r="Q4" s="40"/>
      <c r="R4" s="40"/>
      <c r="S4" s="40"/>
      <c r="T4" s="40"/>
      <c r="U4" s="43">
        <v>260</v>
      </c>
      <c r="V4" s="43">
        <f>H4*U4*I4/15</f>
        <v>222915.33333333334</v>
      </c>
      <c r="W4" s="43">
        <v>315.85000000000002</v>
      </c>
      <c r="X4" s="43">
        <v>282598.92</v>
      </c>
      <c r="Y4" s="43">
        <f>G4*60</f>
        <v>3900</v>
      </c>
      <c r="Z4" s="43">
        <v>11505.6</v>
      </c>
      <c r="AA4" s="43"/>
      <c r="AB4" s="43">
        <v>1690</v>
      </c>
      <c r="AC4" s="43">
        <f>G4*30</f>
        <v>1950</v>
      </c>
      <c r="AD4" s="43">
        <f>IF(F4="",G4*3.83,F4*3.83)</f>
        <v>248.95000000000002</v>
      </c>
      <c r="AE4" s="43">
        <v>565.19000000000005</v>
      </c>
      <c r="AF4" s="43">
        <f>V4+Y4+Z4+AA4+AB4+AC4+AD4</f>
        <v>242209.88333333336</v>
      </c>
      <c r="AG4" s="43">
        <f>IFERROR(IFERROR((H4*W4*J4/15)-AE4,""),"")</f>
        <v>282031.06916666665</v>
      </c>
      <c r="AH4" s="26">
        <f>IFERROR(AG4-AF4,"")</f>
        <v>39821.185833333293</v>
      </c>
    </row>
    <row r="5" spans="1:38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IFERROR(AH4/G4,"")</f>
        <v>612.63362820512759</v>
      </c>
      <c r="AJ5" s="11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0.14119432284888056</v>
      </c>
      <c r="AJ6" s="1"/>
    </row>
    <row r="7" spans="1:38" x14ac:dyDescent="0.35">
      <c r="AJ7" s="11"/>
    </row>
    <row r="8" spans="1:38" x14ac:dyDescent="0.35">
      <c r="AJ8" s="1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8" x14ac:dyDescent="0.35">
      <c r="A10" s="20">
        <v>44718</v>
      </c>
      <c r="B10" s="21" t="s">
        <v>123</v>
      </c>
      <c r="C10" s="21" t="s">
        <v>124</v>
      </c>
      <c r="D10" s="44">
        <v>131090</v>
      </c>
      <c r="E10" s="21"/>
      <c r="F10" s="21"/>
      <c r="G10" s="21">
        <v>65</v>
      </c>
      <c r="H10" s="22">
        <v>27020</v>
      </c>
      <c r="I10" s="33">
        <v>0.5</v>
      </c>
      <c r="J10" s="24">
        <f>K10/H10</f>
        <v>0.49669689119170984</v>
      </c>
      <c r="K10" s="22">
        <v>13420.75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265</v>
      </c>
      <c r="V10" s="25">
        <f>H10*U10*I10/15</f>
        <v>238676.66666666666</v>
      </c>
      <c r="W10" s="25">
        <v>315.85000000000002</v>
      </c>
      <c r="X10" s="25">
        <v>282598.92</v>
      </c>
      <c r="Y10" s="25">
        <f>G10*60</f>
        <v>3900</v>
      </c>
      <c r="Z10" s="25">
        <v>11836.4</v>
      </c>
      <c r="AA10" s="25"/>
      <c r="AB10" s="25">
        <v>1722.5</v>
      </c>
      <c r="AC10" s="25">
        <f>G10*30</f>
        <v>1950</v>
      </c>
      <c r="AD10" s="25">
        <f>IF(F10="",G10*3.83,F10*3.83)</f>
        <v>248.95000000000002</v>
      </c>
      <c r="AE10" s="25">
        <v>565.19000000000005</v>
      </c>
      <c r="AF10" s="25">
        <f>V10+Y10+Z10+AA10+AB10+AC10+AD10</f>
        <v>258334.51666666666</v>
      </c>
      <c r="AG10" s="25">
        <f>IFERROR(IFERROR((H10*W10*J10/15)-AE10,""),"")</f>
        <v>282031.06916666665</v>
      </c>
      <c r="AH10" s="26">
        <f>IFERROR(AG10-AF10,"")</f>
        <v>23696.552499999991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IFERROR(AH10/G10,"")</f>
        <v>364.56234615384602</v>
      </c>
      <c r="AJ11" s="6"/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8.4021071047305357E-2</v>
      </c>
      <c r="AJ12" s="6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38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J15" s="1">
        <f>G4+G10+G16+G21+G26</f>
        <v>393</v>
      </c>
      <c r="AK15" s="50" t="s">
        <v>22</v>
      </c>
      <c r="AL15" t="s">
        <v>72</v>
      </c>
    </row>
    <row r="16" spans="1:38" x14ac:dyDescent="0.35">
      <c r="A16" s="20">
        <v>44719</v>
      </c>
      <c r="B16" s="21" t="s">
        <v>126</v>
      </c>
      <c r="C16" s="21" t="s">
        <v>116</v>
      </c>
      <c r="D16" s="44">
        <v>131087</v>
      </c>
      <c r="E16" s="21"/>
      <c r="F16" s="21"/>
      <c r="G16" s="21">
        <v>63</v>
      </c>
      <c r="H16" s="22">
        <v>24870</v>
      </c>
      <c r="I16" s="33">
        <v>0.5</v>
      </c>
      <c r="J16" s="24">
        <f>K16/H16</f>
        <v>0.52064736630478492</v>
      </c>
      <c r="K16" s="22">
        <v>12948.5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260</v>
      </c>
      <c r="V16" s="25">
        <f>H16*U16*I16/15</f>
        <v>215540</v>
      </c>
      <c r="W16" s="25">
        <v>319.77999999999997</v>
      </c>
      <c r="X16" s="25">
        <v>268008.93</v>
      </c>
      <c r="Y16" s="25">
        <f>G16*60</f>
        <v>3780</v>
      </c>
      <c r="Z16" s="25">
        <v>13227.4</v>
      </c>
      <c r="AA16" s="25"/>
      <c r="AB16" s="25">
        <v>1638</v>
      </c>
      <c r="AC16" s="25">
        <f>G16*30</f>
        <v>1890</v>
      </c>
      <c r="AD16" s="25">
        <f>IF(F16="",G16*3.83,F16*3.83)</f>
        <v>241.29</v>
      </c>
      <c r="AE16" s="25">
        <v>552.09</v>
      </c>
      <c r="AF16" s="25">
        <f>V16+Y16+Z16+AA16+AB16+AC16+AD16</f>
        <v>236316.69</v>
      </c>
      <c r="AG16" s="25">
        <f>IFERROR(IFERROR((H16*W16*J16/15)-AE16,""),"")</f>
        <v>275492.66533333331</v>
      </c>
      <c r="AH16" s="26">
        <f>IFERROR(AG16-AF16,"")</f>
        <v>39175.975333333306</v>
      </c>
      <c r="AJ16" s="11">
        <f>AH4+AH10+AH16+AH21+AH26</f>
        <v>180763.07433333318</v>
      </c>
      <c r="AK16" s="11">
        <f>AJ16*30%</f>
        <v>54228.922299999955</v>
      </c>
    </row>
    <row r="17" spans="1:37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IFERROR(AH16/G16,"")</f>
        <v>621.84087830687793</v>
      </c>
      <c r="AK17" s="63"/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0.14220333338432875</v>
      </c>
      <c r="AK18" s="63"/>
    </row>
    <row r="19" spans="1:37" x14ac:dyDescent="0.35">
      <c r="AK19" s="63"/>
    </row>
    <row r="20" spans="1:37" x14ac:dyDescent="0.35">
      <c r="A20" s="14" t="s">
        <v>1</v>
      </c>
      <c r="B20" s="14" t="s">
        <v>2</v>
      </c>
      <c r="C20" s="14" t="s">
        <v>110</v>
      </c>
      <c r="D20" s="14" t="s">
        <v>66</v>
      </c>
      <c r="E20" s="14" t="s">
        <v>38</v>
      </c>
      <c r="F20" s="14" t="s">
        <v>137</v>
      </c>
      <c r="G20" s="14" t="s">
        <v>138</v>
      </c>
      <c r="H20" s="14" t="s">
        <v>4</v>
      </c>
      <c r="I20" s="14" t="s">
        <v>5</v>
      </c>
      <c r="J20" s="14" t="s">
        <v>6</v>
      </c>
      <c r="K20" s="14" t="s">
        <v>7</v>
      </c>
      <c r="L20" s="14" t="s">
        <v>279</v>
      </c>
      <c r="M20" s="14" t="s">
        <v>280</v>
      </c>
      <c r="N20" s="14" t="s">
        <v>281</v>
      </c>
      <c r="O20" s="14" t="s">
        <v>282</v>
      </c>
      <c r="P20" s="14" t="s">
        <v>283</v>
      </c>
      <c r="Q20" s="14" t="s">
        <v>284</v>
      </c>
      <c r="R20" s="14" t="s">
        <v>904</v>
      </c>
      <c r="S20" s="14" t="s">
        <v>285</v>
      </c>
      <c r="T20" s="14" t="s">
        <v>289</v>
      </c>
      <c r="U20" s="14" t="s">
        <v>8</v>
      </c>
      <c r="V20" s="14" t="s">
        <v>9</v>
      </c>
      <c r="W20" s="14" t="s">
        <v>10</v>
      </c>
      <c r="X20" s="14" t="s">
        <v>100</v>
      </c>
      <c r="Y20" s="14" t="s">
        <v>106</v>
      </c>
      <c r="Z20" s="14" t="s">
        <v>12</v>
      </c>
      <c r="AA20" s="14" t="s">
        <v>91</v>
      </c>
      <c r="AB20" s="14" t="s">
        <v>13</v>
      </c>
      <c r="AC20" s="14" t="s">
        <v>74</v>
      </c>
      <c r="AD20" s="14" t="s">
        <v>21</v>
      </c>
      <c r="AE20" s="14" t="s">
        <v>14</v>
      </c>
      <c r="AF20" s="14" t="s">
        <v>15</v>
      </c>
      <c r="AG20" s="14" t="s">
        <v>16</v>
      </c>
      <c r="AH20" s="15" t="s">
        <v>17</v>
      </c>
      <c r="AK20" s="63"/>
    </row>
    <row r="21" spans="1:37" x14ac:dyDescent="0.35">
      <c r="A21" s="20">
        <v>44720</v>
      </c>
      <c r="B21" s="21" t="s">
        <v>130</v>
      </c>
      <c r="C21" s="21" t="s">
        <v>131</v>
      </c>
      <c r="D21" s="44">
        <v>131441</v>
      </c>
      <c r="E21" s="21"/>
      <c r="F21" s="21"/>
      <c r="G21" s="21">
        <v>70</v>
      </c>
      <c r="H21" s="22">
        <v>26240</v>
      </c>
      <c r="I21" s="33">
        <v>0.5</v>
      </c>
      <c r="J21" s="24">
        <f>K21/H21</f>
        <v>0.51935975609756102</v>
      </c>
      <c r="K21" s="22">
        <v>13628</v>
      </c>
      <c r="L21" s="22"/>
      <c r="M21" s="22"/>
      <c r="N21" s="22"/>
      <c r="O21" s="22"/>
      <c r="P21" s="22"/>
      <c r="Q21" s="22"/>
      <c r="R21" s="22"/>
      <c r="S21" s="22"/>
      <c r="T21" s="22"/>
      <c r="U21" s="25">
        <v>260</v>
      </c>
      <c r="V21" s="25">
        <f>H21*U21*I21/15</f>
        <v>227413.33333333334</v>
      </c>
      <c r="W21" s="25">
        <v>318.92</v>
      </c>
      <c r="X21" s="25">
        <v>297787.7</v>
      </c>
      <c r="Y21" s="25">
        <f>G21*60</f>
        <v>4200</v>
      </c>
      <c r="Z21" s="25">
        <v>10909</v>
      </c>
      <c r="AA21" s="25">
        <v>1300</v>
      </c>
      <c r="AB21" s="25">
        <v>1820</v>
      </c>
      <c r="AC21" s="25">
        <f>G21*30</f>
        <v>2100</v>
      </c>
      <c r="AD21" s="25">
        <f>IF(F21="",G21*3.83,F21*3.83)</f>
        <v>268.10000000000002</v>
      </c>
      <c r="AE21" s="25">
        <v>579.5</v>
      </c>
      <c r="AF21" s="25">
        <f>V21+Y21+Z21+AA21+AB21+AC21+AD21</f>
        <v>248010.43333333335</v>
      </c>
      <c r="AG21" s="25">
        <f>IFERROR(IFERROR((H21*W21*J21/15)-AE21,""),"")</f>
        <v>289169.95066666673</v>
      </c>
      <c r="AH21" s="26">
        <f>IFERROR(AG21-AF21,"")</f>
        <v>41159.517333333381</v>
      </c>
      <c r="AK21" s="63"/>
    </row>
    <row r="22" spans="1:37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5"/>
      <c r="AA22" s="21"/>
      <c r="AB22" s="21"/>
      <c r="AC22" s="21"/>
      <c r="AD22" s="21"/>
      <c r="AE22" s="21"/>
      <c r="AF22" s="21"/>
      <c r="AG22" s="21"/>
      <c r="AH22" s="26">
        <f>IFERROR(AH21/G21,"")</f>
        <v>587.99310476190544</v>
      </c>
      <c r="AJ22" s="6"/>
      <c r="AK22" s="57"/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7">
        <f>IFERROR(AH21/AG21,"")</f>
        <v>0.14233677198630837</v>
      </c>
      <c r="AJ23" s="6"/>
    </row>
    <row r="25" spans="1:37" x14ac:dyDescent="0.35">
      <c r="A25" s="14" t="s">
        <v>1</v>
      </c>
      <c r="B25" s="14" t="s">
        <v>2</v>
      </c>
      <c r="C25" s="14" t="s">
        <v>110</v>
      </c>
      <c r="D25" s="14" t="s">
        <v>66</v>
      </c>
      <c r="E25" s="14" t="s">
        <v>38</v>
      </c>
      <c r="F25" s="14" t="s">
        <v>137</v>
      </c>
      <c r="G25" s="14" t="s">
        <v>138</v>
      </c>
      <c r="H25" s="14" t="s">
        <v>4</v>
      </c>
      <c r="I25" s="14" t="s">
        <v>5</v>
      </c>
      <c r="J25" s="14" t="s">
        <v>6</v>
      </c>
      <c r="K25" s="14" t="s">
        <v>7</v>
      </c>
      <c r="L25" s="14" t="s">
        <v>279</v>
      </c>
      <c r="M25" s="14" t="s">
        <v>280</v>
      </c>
      <c r="N25" s="14" t="s">
        <v>281</v>
      </c>
      <c r="O25" s="14" t="s">
        <v>282</v>
      </c>
      <c r="P25" s="14" t="s">
        <v>283</v>
      </c>
      <c r="Q25" s="14" t="s">
        <v>284</v>
      </c>
      <c r="R25" s="14" t="s">
        <v>904</v>
      </c>
      <c r="S25" s="14" t="s">
        <v>285</v>
      </c>
      <c r="T25" s="14" t="s">
        <v>289</v>
      </c>
      <c r="U25" s="14" t="s">
        <v>8</v>
      </c>
      <c r="V25" s="14" t="s">
        <v>9</v>
      </c>
      <c r="W25" s="14" t="s">
        <v>10</v>
      </c>
      <c r="X25" s="14" t="s">
        <v>100</v>
      </c>
      <c r="Y25" s="14" t="s">
        <v>106</v>
      </c>
      <c r="Z25" s="14" t="s">
        <v>12</v>
      </c>
      <c r="AA25" s="14" t="s">
        <v>11</v>
      </c>
      <c r="AB25" s="14" t="s">
        <v>13</v>
      </c>
      <c r="AC25" s="14" t="s">
        <v>74</v>
      </c>
      <c r="AD25" s="14" t="s">
        <v>21</v>
      </c>
      <c r="AE25" s="14" t="s">
        <v>14</v>
      </c>
      <c r="AF25" s="14" t="s">
        <v>15</v>
      </c>
      <c r="AG25" s="14" t="s">
        <v>16</v>
      </c>
      <c r="AH25" s="15" t="s">
        <v>17</v>
      </c>
      <c r="AJ25" s="6"/>
    </row>
    <row r="26" spans="1:37" x14ac:dyDescent="0.35">
      <c r="A26" s="20">
        <v>44722</v>
      </c>
      <c r="B26" s="21" t="s">
        <v>133</v>
      </c>
      <c r="C26" s="21" t="s">
        <v>132</v>
      </c>
      <c r="D26" s="44">
        <v>131233</v>
      </c>
      <c r="E26" s="21"/>
      <c r="F26" s="21"/>
      <c r="G26" s="21">
        <v>130</v>
      </c>
      <c r="H26" s="22">
        <v>49040</v>
      </c>
      <c r="I26" s="33">
        <v>0.5</v>
      </c>
      <c r="J26" s="24">
        <f>K26/H26</f>
        <v>0.49828711256117453</v>
      </c>
      <c r="K26" s="22">
        <v>24436</v>
      </c>
      <c r="L26" s="22"/>
      <c r="M26" s="22"/>
      <c r="N26" s="22"/>
      <c r="O26" s="22"/>
      <c r="P26" s="22"/>
      <c r="Q26" s="22"/>
      <c r="R26" s="22"/>
      <c r="S26" s="22"/>
      <c r="T26" s="22"/>
      <c r="U26" s="25">
        <v>270</v>
      </c>
      <c r="V26" s="25">
        <f>H26*U26*I26/15</f>
        <v>441360</v>
      </c>
      <c r="W26" s="25">
        <v>317.89999999999998</v>
      </c>
      <c r="X26" s="25">
        <v>517882.93</v>
      </c>
      <c r="Y26" s="25">
        <f>G26*60</f>
        <v>7800</v>
      </c>
      <c r="Z26" s="25">
        <v>22866.799999999999</v>
      </c>
      <c r="AA26" s="25"/>
      <c r="AB26" s="25">
        <v>3510</v>
      </c>
      <c r="AC26" s="25">
        <f>G26*30</f>
        <v>3900</v>
      </c>
      <c r="AD26" s="25">
        <f>IF(F26="",G26*3.83,F26*3.83)</f>
        <v>497.90000000000003</v>
      </c>
      <c r="AE26" s="25">
        <v>1035.75</v>
      </c>
      <c r="AF26" s="25">
        <f>V26+Y26+Z26+AA26+AB26+AC26+AD26</f>
        <v>479934.7</v>
      </c>
      <c r="AG26" s="25">
        <f>IFERROR(IFERROR((H26*W26*J26/15)-AE26,""),"")</f>
        <v>516844.54333333322</v>
      </c>
      <c r="AH26" s="26">
        <f>IFERROR(AG26-AF26,"")</f>
        <v>36909.843333333207</v>
      </c>
      <c r="AJ26" s="6"/>
    </row>
    <row r="27" spans="1:37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5"/>
      <c r="AA27" s="21"/>
      <c r="AB27" s="21"/>
      <c r="AC27" s="21"/>
      <c r="AD27" s="21"/>
      <c r="AE27" s="21"/>
      <c r="AF27" s="21"/>
      <c r="AG27" s="21"/>
      <c r="AH27" s="26">
        <f>IFERROR(AH26/G26,"")</f>
        <v>283.92187179487081</v>
      </c>
    </row>
    <row r="28" spans="1:37" x14ac:dyDescent="0.3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7">
        <f>IFERROR(AH26/AG26,"")</f>
        <v>7.1413820285858395E-2</v>
      </c>
    </row>
    <row r="29" spans="1:37" ht="15" thickBot="1" x14ac:dyDescent="0.4"/>
    <row r="30" spans="1:37" ht="16" thickBot="1" x14ac:dyDescent="0.4">
      <c r="A30" s="377" t="s">
        <v>121</v>
      </c>
      <c r="B30" s="378"/>
      <c r="C30" s="378"/>
      <c r="D30" s="378"/>
      <c r="E30" s="378"/>
      <c r="F30" s="378"/>
      <c r="G30" s="378"/>
      <c r="H30" s="378"/>
      <c r="I30" s="378"/>
      <c r="J30" s="378"/>
      <c r="K30" s="378"/>
      <c r="L30" s="46"/>
      <c r="M30" s="46"/>
      <c r="N30" s="46"/>
      <c r="O30" s="46"/>
      <c r="P30" s="46"/>
      <c r="Q30" s="46"/>
      <c r="R30" s="46"/>
      <c r="S30" s="46"/>
      <c r="T30" s="46"/>
      <c r="U30" s="30"/>
      <c r="V30" s="31">
        <f>V4+V10+V16+V21+V26</f>
        <v>1345905.3333333335</v>
      </c>
      <c r="W30" s="30"/>
      <c r="X30" s="30"/>
      <c r="Y30" s="31">
        <f t="shared" ref="Y30:AF30" si="0">Y4+Y10+Y16+Y21+Y26</f>
        <v>23580</v>
      </c>
      <c r="Z30" s="31">
        <f t="shared" si="0"/>
        <v>70345.2</v>
      </c>
      <c r="AA30" s="31">
        <f t="shared" si="0"/>
        <v>1300</v>
      </c>
      <c r="AB30" s="31">
        <f t="shared" si="0"/>
        <v>10380.5</v>
      </c>
      <c r="AC30" s="31">
        <f t="shared" si="0"/>
        <v>11790</v>
      </c>
      <c r="AD30" s="31">
        <f t="shared" si="0"/>
        <v>1505.19</v>
      </c>
      <c r="AE30" s="31">
        <f t="shared" si="0"/>
        <v>3297.7200000000003</v>
      </c>
      <c r="AF30" s="31">
        <f t="shared" si="0"/>
        <v>1464806.2233333334</v>
      </c>
      <c r="AG30" s="31">
        <f>SUM(AG4+AG10+AG16+AG21+AG26)</f>
        <v>1645569.2976666666</v>
      </c>
      <c r="AH30" s="32"/>
    </row>
  </sheetData>
  <mergeCells count="2">
    <mergeCell ref="U2:AC2"/>
    <mergeCell ref="A30:K3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"/>
  <dimension ref="A1:AL21"/>
  <sheetViews>
    <sheetView zoomScale="85" zoomScaleNormal="85" workbookViewId="0">
      <selection activeCell="A24" sqref="A24:U24"/>
    </sheetView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" bestFit="1" customWidth="1"/>
    <col min="17" max="18" width="11.179687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3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44726</v>
      </c>
      <c r="B4" s="21" t="s">
        <v>135</v>
      </c>
      <c r="C4" s="21" t="s">
        <v>136</v>
      </c>
      <c r="D4" s="44">
        <v>131235</v>
      </c>
      <c r="E4" s="21"/>
      <c r="F4" s="21"/>
      <c r="G4" s="21">
        <v>65</v>
      </c>
      <c r="H4" s="22">
        <v>22420</v>
      </c>
      <c r="I4" s="23">
        <v>0.5</v>
      </c>
      <c r="J4" s="24">
        <f>IFERROR(K4/H4,"")</f>
        <v>0.49830508474576274</v>
      </c>
      <c r="K4" s="22">
        <v>11172</v>
      </c>
      <c r="L4" s="22"/>
      <c r="M4" s="22"/>
      <c r="N4" s="22"/>
      <c r="O4" s="22"/>
      <c r="P4" s="22"/>
      <c r="Q4" s="22"/>
      <c r="R4" s="22"/>
      <c r="S4" s="22"/>
      <c r="T4" s="22"/>
      <c r="U4" s="25">
        <v>265</v>
      </c>
      <c r="V4" s="25">
        <f>H4*U4*I4/15</f>
        <v>198043.33333333334</v>
      </c>
      <c r="W4" s="25">
        <v>317.86</v>
      </c>
      <c r="X4" s="25">
        <v>236741.51</v>
      </c>
      <c r="Y4" s="25">
        <f>G4*60</f>
        <v>3900</v>
      </c>
      <c r="Z4" s="25">
        <v>11532.2</v>
      </c>
      <c r="AA4" s="25"/>
      <c r="AB4" s="25">
        <v>1722.5</v>
      </c>
      <c r="AC4" s="25">
        <f>G4*30</f>
        <v>1950</v>
      </c>
      <c r="AD4" s="25">
        <f>IF(F4="",G4*3.83,F4*3.83)</f>
        <v>248.95000000000002</v>
      </c>
      <c r="AE4" s="25">
        <v>473.49</v>
      </c>
      <c r="AF4" s="25">
        <f>V4+Y4+Z4+AA4+AB4+AC4+AD4</f>
        <v>217396.98333333337</v>
      </c>
      <c r="AG4" s="25">
        <f>IFERROR(IFERROR((H4*W4*J4/15)-AE4,""),"")</f>
        <v>236268.63800000004</v>
      </c>
      <c r="AH4" s="26">
        <f>IFERROR(AG4-AF4,"")</f>
        <v>18871.654666666669</v>
      </c>
    </row>
    <row r="5" spans="1:38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IFERROR(AH4/G4,"")</f>
        <v>290.33314871794875</v>
      </c>
      <c r="AJ5" s="11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7.9873718435142738E-2</v>
      </c>
      <c r="AJ6" s="1"/>
    </row>
    <row r="7" spans="1:38" x14ac:dyDescent="0.35">
      <c r="AJ7" s="11"/>
    </row>
    <row r="8" spans="1:38" x14ac:dyDescent="0.35">
      <c r="AJ8" s="1"/>
    </row>
    <row r="9" spans="1:38" x14ac:dyDescent="0.35">
      <c r="A9" s="37" t="s">
        <v>1</v>
      </c>
      <c r="B9" s="37" t="s">
        <v>2</v>
      </c>
      <c r="C9" s="37" t="s">
        <v>110</v>
      </c>
      <c r="D9" s="37" t="s">
        <v>66</v>
      </c>
      <c r="E9" s="37" t="s">
        <v>32</v>
      </c>
      <c r="F9" s="37" t="s">
        <v>137</v>
      </c>
      <c r="G9" s="37" t="s">
        <v>138</v>
      </c>
      <c r="H9" s="37" t="s">
        <v>4</v>
      </c>
      <c r="I9" s="37" t="s">
        <v>5</v>
      </c>
      <c r="J9" s="37" t="s">
        <v>6</v>
      </c>
      <c r="K9" s="37" t="s">
        <v>7</v>
      </c>
      <c r="L9" s="37" t="s">
        <v>279</v>
      </c>
      <c r="M9" s="37" t="s">
        <v>280</v>
      </c>
      <c r="N9" s="37" t="s">
        <v>281</v>
      </c>
      <c r="O9" s="37" t="s">
        <v>282</v>
      </c>
      <c r="P9" s="37" t="s">
        <v>283</v>
      </c>
      <c r="Q9" s="37" t="s">
        <v>284</v>
      </c>
      <c r="R9" s="37" t="s">
        <v>904</v>
      </c>
      <c r="S9" s="37" t="s">
        <v>285</v>
      </c>
      <c r="T9" s="37" t="s">
        <v>289</v>
      </c>
      <c r="U9" s="37" t="s">
        <v>8</v>
      </c>
      <c r="V9" s="37" t="s">
        <v>9</v>
      </c>
      <c r="W9" s="37" t="s">
        <v>10</v>
      </c>
      <c r="X9" s="37" t="s">
        <v>100</v>
      </c>
      <c r="Y9" s="37" t="s">
        <v>106</v>
      </c>
      <c r="Z9" s="37" t="s">
        <v>12</v>
      </c>
      <c r="AA9" s="37" t="s">
        <v>92</v>
      </c>
      <c r="AB9" s="37" t="s">
        <v>13</v>
      </c>
      <c r="AC9" s="37" t="s">
        <v>74</v>
      </c>
      <c r="AD9" s="37" t="s">
        <v>21</v>
      </c>
      <c r="AE9" s="37" t="s">
        <v>14</v>
      </c>
      <c r="AF9" s="37" t="s">
        <v>15</v>
      </c>
      <c r="AG9" s="37" t="s">
        <v>16</v>
      </c>
      <c r="AH9" s="15" t="s">
        <v>17</v>
      </c>
    </row>
    <row r="10" spans="1:38" x14ac:dyDescent="0.35">
      <c r="A10" s="38">
        <v>44727</v>
      </c>
      <c r="B10" s="39" t="s">
        <v>26</v>
      </c>
      <c r="C10" s="39" t="s">
        <v>141</v>
      </c>
      <c r="D10" s="45">
        <v>131859</v>
      </c>
      <c r="E10" s="39"/>
      <c r="F10" s="39"/>
      <c r="G10" s="39">
        <v>65</v>
      </c>
      <c r="H10" s="40">
        <v>26220</v>
      </c>
      <c r="I10" s="53">
        <v>0.5</v>
      </c>
      <c r="J10" s="42">
        <f>IFERROR(K10/H10,"")</f>
        <v>0.5048436308161709</v>
      </c>
      <c r="K10" s="40">
        <v>13237</v>
      </c>
      <c r="L10" s="40"/>
      <c r="M10" s="40"/>
      <c r="N10" s="40"/>
      <c r="O10" s="40"/>
      <c r="P10" s="40"/>
      <c r="Q10" s="40"/>
      <c r="R10" s="40"/>
      <c r="S10" s="40"/>
      <c r="T10" s="40"/>
      <c r="U10" s="43">
        <v>265</v>
      </c>
      <c r="V10" s="43">
        <f>H10*U10*I10/15</f>
        <v>231610</v>
      </c>
      <c r="W10" s="43">
        <v>322.29000000000002</v>
      </c>
      <c r="X10" s="43">
        <v>260884</v>
      </c>
      <c r="Y10" s="43">
        <f>G10*60</f>
        <v>3900</v>
      </c>
      <c r="Z10" s="43">
        <v>7720.6</v>
      </c>
      <c r="AA10" s="43"/>
      <c r="AB10" s="43">
        <v>1722.5</v>
      </c>
      <c r="AC10" s="43">
        <f>G10*30</f>
        <v>1950</v>
      </c>
      <c r="AD10" s="43">
        <f>IF(F10="",G10*3.83,F10*3.83)</f>
        <v>248.95000000000002</v>
      </c>
      <c r="AE10" s="43">
        <v>570.04</v>
      </c>
      <c r="AF10" s="43">
        <f>V10+Y10+Z10+AA10+AB10+AC10+AD10</f>
        <v>247152.05000000002</v>
      </c>
      <c r="AG10" s="43">
        <f>IFERROR(IFERROR((H10*W10*J10/15)-AE10,""),"")</f>
        <v>283840.14200000005</v>
      </c>
      <c r="AH10" s="26">
        <f>IFERROR(AG10-AF10,"")</f>
        <v>36688.092000000033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IFERROR(AH10/G10,"")</f>
        <v>564.43218461538515</v>
      </c>
      <c r="AJ11" s="6"/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0.12925617828925701</v>
      </c>
      <c r="AJ12" s="6"/>
    </row>
    <row r="15" spans="1:38" x14ac:dyDescent="0.35">
      <c r="A15" s="37" t="s">
        <v>1</v>
      </c>
      <c r="B15" s="37" t="s">
        <v>2</v>
      </c>
      <c r="C15" s="37" t="s">
        <v>110</v>
      </c>
      <c r="D15" s="37" t="s">
        <v>66</v>
      </c>
      <c r="E15" s="37" t="s">
        <v>32</v>
      </c>
      <c r="F15" s="37" t="s">
        <v>137</v>
      </c>
      <c r="G15" s="37" t="s">
        <v>138</v>
      </c>
      <c r="H15" s="37" t="s">
        <v>4</v>
      </c>
      <c r="I15" s="37" t="s">
        <v>5</v>
      </c>
      <c r="J15" s="37" t="s">
        <v>6</v>
      </c>
      <c r="K15" s="37" t="s">
        <v>7</v>
      </c>
      <c r="L15" s="37" t="s">
        <v>279</v>
      </c>
      <c r="M15" s="37" t="s">
        <v>280</v>
      </c>
      <c r="N15" s="37" t="s">
        <v>281</v>
      </c>
      <c r="O15" s="37" t="s">
        <v>282</v>
      </c>
      <c r="P15" s="37" t="s">
        <v>283</v>
      </c>
      <c r="Q15" s="37" t="s">
        <v>284</v>
      </c>
      <c r="R15" s="37" t="s">
        <v>904</v>
      </c>
      <c r="S15" s="37" t="s">
        <v>285</v>
      </c>
      <c r="T15" s="37" t="s">
        <v>289</v>
      </c>
      <c r="U15" s="37" t="s">
        <v>8</v>
      </c>
      <c r="V15" s="37" t="s">
        <v>9</v>
      </c>
      <c r="W15" s="37" t="s">
        <v>10</v>
      </c>
      <c r="X15" s="37" t="s">
        <v>100</v>
      </c>
      <c r="Y15" s="37" t="s">
        <v>106</v>
      </c>
      <c r="Z15" s="37" t="s">
        <v>12</v>
      </c>
      <c r="AA15" s="37" t="s">
        <v>11</v>
      </c>
      <c r="AB15" s="37" t="s">
        <v>13</v>
      </c>
      <c r="AC15" s="37" t="s">
        <v>74</v>
      </c>
      <c r="AD15" s="37" t="s">
        <v>21</v>
      </c>
      <c r="AE15" s="37" t="s">
        <v>14</v>
      </c>
      <c r="AF15" s="37" t="s">
        <v>15</v>
      </c>
      <c r="AG15" s="37" t="s">
        <v>16</v>
      </c>
      <c r="AH15" s="15" t="s">
        <v>17</v>
      </c>
      <c r="AJ15" s="1">
        <f>G4+G10+G16</f>
        <v>325</v>
      </c>
      <c r="AK15" s="50" t="s">
        <v>22</v>
      </c>
      <c r="AL15" t="s">
        <v>72</v>
      </c>
    </row>
    <row r="16" spans="1:38" x14ac:dyDescent="0.35">
      <c r="A16" s="38">
        <v>44729</v>
      </c>
      <c r="B16" s="39" t="s">
        <v>142</v>
      </c>
      <c r="C16" s="39" t="s">
        <v>143</v>
      </c>
      <c r="D16" s="45">
        <v>131534</v>
      </c>
      <c r="E16" s="39"/>
      <c r="F16" s="39"/>
      <c r="G16" s="39">
        <v>195</v>
      </c>
      <c r="H16" s="40">
        <v>71140</v>
      </c>
      <c r="I16" s="53">
        <v>0.5</v>
      </c>
      <c r="J16" s="42">
        <f>IFERROR(K16/H16,"")</f>
        <v>0.47671492831037393</v>
      </c>
      <c r="K16" s="40">
        <v>33913.5</v>
      </c>
      <c r="L16" s="40"/>
      <c r="M16" s="40"/>
      <c r="N16" s="40"/>
      <c r="O16" s="40"/>
      <c r="P16" s="40"/>
      <c r="Q16" s="40"/>
      <c r="R16" s="40"/>
      <c r="S16" s="40"/>
      <c r="T16" s="40"/>
      <c r="U16" s="43">
        <v>260</v>
      </c>
      <c r="V16" s="43">
        <f>H16*U16*I16/15</f>
        <v>616546.66666666663</v>
      </c>
      <c r="W16" s="43">
        <v>321.32</v>
      </c>
      <c r="X16" s="43">
        <v>726469.42</v>
      </c>
      <c r="Y16" s="43">
        <f>G16*60</f>
        <v>11700</v>
      </c>
      <c r="Z16" s="43">
        <v>38262.6</v>
      </c>
      <c r="AA16" s="43"/>
      <c r="AB16" s="43">
        <v>5070</v>
      </c>
      <c r="AC16" s="43">
        <f>G16*30</f>
        <v>5850</v>
      </c>
      <c r="AD16" s="43">
        <f>IF(F16="",G16*3.83,F16*3.83)</f>
        <v>746.85</v>
      </c>
      <c r="AE16" s="43">
        <v>1452.94</v>
      </c>
      <c r="AF16" s="43">
        <f>V16+Y16+Z16+AA16+AB16+AC16+AD16</f>
        <v>678176.11666666658</v>
      </c>
      <c r="AG16" s="43">
        <f>IFERROR(IFERROR((H16*W16*J16/15)-AE16,""),"")</f>
        <v>725019.44800000009</v>
      </c>
      <c r="AH16" s="26">
        <f>IFERROR(AG16-AF16,"")</f>
        <v>46843.33133333351</v>
      </c>
      <c r="AJ16" s="11">
        <f>AH4+AH10+AH16</f>
        <v>102403.07800000021</v>
      </c>
      <c r="AK16" s="11">
        <f>AJ16*30%</f>
        <v>30720.923400000062</v>
      </c>
    </row>
    <row r="17" spans="1:37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IFERROR(AH16/G16,"")</f>
        <v>240.22221196581287</v>
      </c>
      <c r="AK17" s="63"/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6.4609758348625021E-2</v>
      </c>
      <c r="AK18" s="63"/>
    </row>
    <row r="19" spans="1:37" x14ac:dyDescent="0.35">
      <c r="AK19" s="63"/>
    </row>
    <row r="20" spans="1:37" ht="15" thickBot="1" x14ac:dyDescent="0.4"/>
    <row r="21" spans="1:37" ht="16" thickBot="1" x14ac:dyDescent="0.4">
      <c r="A21" s="377" t="s">
        <v>134</v>
      </c>
      <c r="B21" s="378"/>
      <c r="C21" s="378"/>
      <c r="D21" s="378"/>
      <c r="E21" s="378"/>
      <c r="F21" s="378"/>
      <c r="G21" s="378"/>
      <c r="H21" s="378"/>
      <c r="I21" s="378"/>
      <c r="J21" s="378"/>
      <c r="K21" s="378"/>
      <c r="L21" s="46"/>
      <c r="M21" s="46"/>
      <c r="N21" s="46"/>
      <c r="O21" s="46"/>
      <c r="P21" s="46"/>
      <c r="Q21" s="46"/>
      <c r="R21" s="46"/>
      <c r="S21" s="46"/>
      <c r="T21" s="46"/>
      <c r="U21" s="30"/>
      <c r="V21" s="31">
        <f>V4+V10+V16</f>
        <v>1046200</v>
      </c>
      <c r="W21" s="30"/>
      <c r="X21" s="30"/>
      <c r="Y21" s="31">
        <f t="shared" ref="Y21:AF21" si="0">Y4+Y10+Y16</f>
        <v>19500</v>
      </c>
      <c r="Z21" s="31">
        <f t="shared" si="0"/>
        <v>57515.4</v>
      </c>
      <c r="AA21" s="31">
        <f t="shared" si="0"/>
        <v>0</v>
      </c>
      <c r="AB21" s="31">
        <f t="shared" si="0"/>
        <v>8515</v>
      </c>
      <c r="AC21" s="31">
        <f t="shared" si="0"/>
        <v>9750</v>
      </c>
      <c r="AD21" s="31">
        <f t="shared" si="0"/>
        <v>1244.75</v>
      </c>
      <c r="AE21" s="31">
        <f t="shared" si="0"/>
        <v>2496.4700000000003</v>
      </c>
      <c r="AF21" s="31">
        <f t="shared" si="0"/>
        <v>1142725.1499999999</v>
      </c>
      <c r="AG21" s="31" t="str">
        <f>IFERROR(SUM(AG4+AG10+AG16+#REF!+#REF!),"")</f>
        <v/>
      </c>
      <c r="AH21" s="32"/>
    </row>
  </sheetData>
  <mergeCells count="2">
    <mergeCell ref="U2:AC2"/>
    <mergeCell ref="A21:K2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4"/>
  <dimension ref="A1:AL100"/>
  <sheetViews>
    <sheetView zoomScale="85" zoomScaleNormal="85" workbookViewId="0">
      <selection activeCell="A24" sqref="A24:U24"/>
    </sheetView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.453125" bestFit="1" customWidth="1"/>
    <col min="17" max="18" width="11.81640625" bestFit="1" customWidth="1"/>
    <col min="19" max="19" width="4.1796875" bestFit="1" customWidth="1"/>
    <col min="20" max="20" width="4.179687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5" bestFit="1" customWidth="1"/>
    <col min="37" max="37" width="15.7265625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7" x14ac:dyDescent="0.35">
      <c r="A4" s="20">
        <v>44733</v>
      </c>
      <c r="B4" s="21" t="s">
        <v>145</v>
      </c>
      <c r="C4" s="21" t="s">
        <v>146</v>
      </c>
      <c r="D4" s="44">
        <v>7404</v>
      </c>
      <c r="E4" s="21"/>
      <c r="F4" s="21">
        <v>100</v>
      </c>
      <c r="G4" s="21"/>
      <c r="H4" s="22">
        <v>58120</v>
      </c>
      <c r="I4" s="23">
        <v>0.53</v>
      </c>
      <c r="J4" s="24">
        <f>IFERROR(K4/H4,"")</f>
        <v>0.51440984170681348</v>
      </c>
      <c r="K4" s="22">
        <v>29897.5</v>
      </c>
      <c r="L4" s="22"/>
      <c r="M4" s="22"/>
      <c r="N4" s="22"/>
      <c r="O4" s="22"/>
      <c r="P4" s="22"/>
      <c r="Q4" s="22"/>
      <c r="R4" s="22"/>
      <c r="S4" s="22"/>
      <c r="T4" s="22"/>
      <c r="U4" s="25">
        <v>300</v>
      </c>
      <c r="V4" s="25">
        <f>H4*U4*I4/15</f>
        <v>616072</v>
      </c>
      <c r="W4" s="25">
        <v>305</v>
      </c>
      <c r="X4" s="25">
        <v>607915.82999999996</v>
      </c>
      <c r="Y4" s="25">
        <f>F4*80</f>
        <v>8000</v>
      </c>
      <c r="Z4" s="25">
        <v>18772</v>
      </c>
      <c r="AA4" s="25"/>
      <c r="AB4" s="25">
        <f>F4*30</f>
        <v>3000</v>
      </c>
      <c r="AC4" s="25">
        <f>F4*30</f>
        <v>3000</v>
      </c>
      <c r="AD4" s="25">
        <f>IF(F4="",G4*3.83,F4*3.83)</f>
        <v>383</v>
      </c>
      <c r="AE4" s="25">
        <v>1215.83</v>
      </c>
      <c r="AF4" s="25">
        <f>V4+Y4+Z4+AA4+AB4+AC4+AD4</f>
        <v>649227</v>
      </c>
      <c r="AG4" s="25">
        <f>IFERROR(IFERROR((H4*W4*J4/15)-AE4,""),"")</f>
        <v>606700.00333333341</v>
      </c>
      <c r="AH4" s="26">
        <f>IFERROR(AG4-AF4,"")</f>
        <v>-42526.996666666586</v>
      </c>
      <c r="AJ4" s="6">
        <f>AH4*30%</f>
        <v>-12758.098999999975</v>
      </c>
    </row>
    <row r="5" spans="1:37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IFERROR(AH4/F4,"")</f>
        <v>-425.26996666666588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-7.0095593263581016E-2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7" x14ac:dyDescent="0.35">
      <c r="A10" s="20">
        <v>44733</v>
      </c>
      <c r="B10" s="21" t="s">
        <v>147</v>
      </c>
      <c r="C10" s="21" t="s">
        <v>148</v>
      </c>
      <c r="D10" s="44">
        <v>131537</v>
      </c>
      <c r="E10" s="21"/>
      <c r="F10" s="21"/>
      <c r="G10" s="21">
        <v>65</v>
      </c>
      <c r="H10" s="22">
        <v>24230</v>
      </c>
      <c r="I10" s="33">
        <v>0.5</v>
      </c>
      <c r="J10" s="24">
        <f>IFERROR(K10/H10,"")</f>
        <v>0.49702847709451092</v>
      </c>
      <c r="K10" s="22">
        <v>12043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270</v>
      </c>
      <c r="V10" s="25">
        <f>H10*U10*I10/15</f>
        <v>218070</v>
      </c>
      <c r="W10" s="25">
        <v>325.97000000000003</v>
      </c>
      <c r="X10" s="25">
        <v>261711.45</v>
      </c>
      <c r="Y10" s="65">
        <v>0</v>
      </c>
      <c r="Z10" s="25">
        <v>12780.2</v>
      </c>
      <c r="AA10" s="25"/>
      <c r="AB10" s="25">
        <f>G10*27</f>
        <v>1755</v>
      </c>
      <c r="AC10" s="25">
        <f>G10*30</f>
        <v>1950</v>
      </c>
      <c r="AD10" s="25">
        <f>IF(F10="",G10*3.83,F10*3.83)</f>
        <v>248.95000000000002</v>
      </c>
      <c r="AE10" s="25">
        <v>688.11</v>
      </c>
      <c r="AF10" s="25">
        <f>V10+Y10+Z10+AA10+AB10+AC10+AD10</f>
        <v>234804.15000000002</v>
      </c>
      <c r="AG10" s="25">
        <f>IFERROR(IFERROR((H10*W10*J10/15)-AE10,""),"")</f>
        <v>261022.33733333336</v>
      </c>
      <c r="AH10" s="26">
        <f>IFERROR(AG10-AF10,"")</f>
        <v>26218.187333333335</v>
      </c>
      <c r="AJ10" s="6">
        <f>AH10*30%</f>
        <v>7865.4562000000005</v>
      </c>
    </row>
    <row r="11" spans="1:3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IFERROR(AH10/G10,"")</f>
        <v>403.35672820512821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0.10044422864795638</v>
      </c>
      <c r="AJ12" s="6"/>
    </row>
    <row r="15" spans="1:37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7" x14ac:dyDescent="0.35">
      <c r="A16" s="20">
        <v>44733</v>
      </c>
      <c r="B16" s="21" t="s">
        <v>149</v>
      </c>
      <c r="C16" s="21" t="s">
        <v>150</v>
      </c>
      <c r="D16" s="44">
        <v>131536</v>
      </c>
      <c r="E16" s="21"/>
      <c r="F16" s="21">
        <v>100</v>
      </c>
      <c r="G16" s="21"/>
      <c r="H16" s="22">
        <v>50987</v>
      </c>
      <c r="I16" s="33">
        <v>0.53</v>
      </c>
      <c r="J16" s="24">
        <f>IFERROR(K16/H16,"")</f>
        <v>0.53305744601565108</v>
      </c>
      <c r="K16" s="22">
        <v>27179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300</v>
      </c>
      <c r="V16" s="25">
        <f>H16*U16*I16/15</f>
        <v>540462.19999999995</v>
      </c>
      <c r="W16" s="25">
        <v>333.57</v>
      </c>
      <c r="X16" s="25">
        <v>604409.31999999995</v>
      </c>
      <c r="Y16" s="25">
        <f>F16*100</f>
        <v>10000</v>
      </c>
      <c r="Z16" s="25">
        <v>6960</v>
      </c>
      <c r="AA16" s="25"/>
      <c r="AB16" s="25">
        <f>F16*30</f>
        <v>3000</v>
      </c>
      <c r="AC16" s="25">
        <f>G16*30</f>
        <v>0</v>
      </c>
      <c r="AD16" s="25">
        <f>IF(F16="",G16*3.83,F16*3.83)</f>
        <v>383</v>
      </c>
      <c r="AE16" s="25">
        <v>1208.82</v>
      </c>
      <c r="AF16" s="25">
        <f>V16+Y16+Z16+AA16+AB16+AC16+AD16</f>
        <v>560805.19999999995</v>
      </c>
      <c r="AG16" s="25">
        <f>IFERROR(IFERROR((H16*W16*J16/15)-AE16,""),"")</f>
        <v>603197.78200000012</v>
      </c>
      <c r="AH16" s="26">
        <f>IFERROR(AG16-AF16,"")</f>
        <v>42392.58200000017</v>
      </c>
      <c r="AJ16" s="6">
        <f>AH16*30%</f>
        <v>12717.77460000005</v>
      </c>
      <c r="AK16" s="6"/>
    </row>
    <row r="17" spans="1:37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423.92582000000169</v>
      </c>
      <c r="AK17" s="63"/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7.0279737865482E-2</v>
      </c>
      <c r="AK18" s="63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7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11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K21" s="63"/>
    </row>
    <row r="22" spans="1:37" x14ac:dyDescent="0.35">
      <c r="A22" s="20">
        <v>44734</v>
      </c>
      <c r="B22" s="21" t="s">
        <v>151</v>
      </c>
      <c r="C22" s="21" t="s">
        <v>152</v>
      </c>
      <c r="D22" s="44">
        <v>132130</v>
      </c>
      <c r="E22" s="21"/>
      <c r="F22" s="21">
        <v>50</v>
      </c>
      <c r="G22" s="21"/>
      <c r="H22" s="22">
        <v>29645</v>
      </c>
      <c r="I22" s="33">
        <v>0.53</v>
      </c>
      <c r="J22" s="24">
        <f>IFERROR(K22/H22,"")</f>
        <v>0.52583909596896605</v>
      </c>
      <c r="K22" s="22">
        <v>15588.5</v>
      </c>
      <c r="L22" s="22"/>
      <c r="M22" s="22"/>
      <c r="N22" s="22"/>
      <c r="O22" s="22"/>
      <c r="P22" s="22"/>
      <c r="Q22" s="22"/>
      <c r="R22" s="22"/>
      <c r="S22" s="22"/>
      <c r="T22" s="22"/>
      <c r="U22" s="25">
        <v>300</v>
      </c>
      <c r="V22" s="25">
        <f>H22*U22*I22/15</f>
        <v>314237</v>
      </c>
      <c r="W22" s="25">
        <v>333.91</v>
      </c>
      <c r="X22" s="25">
        <v>347012.01</v>
      </c>
      <c r="Y22" s="25">
        <f>F22*100</f>
        <v>5000</v>
      </c>
      <c r="Z22" s="25">
        <v>5053</v>
      </c>
      <c r="AA22" s="25"/>
      <c r="AB22" s="25">
        <v>1500</v>
      </c>
      <c r="AC22" s="25">
        <f>G22*30</f>
        <v>0</v>
      </c>
      <c r="AD22" s="25">
        <f>IF(F22="",G22*3.83,F22*3.83)</f>
        <v>191.5</v>
      </c>
      <c r="AE22" s="25">
        <v>694.03</v>
      </c>
      <c r="AF22" s="25">
        <f>V22+Y22+Z22+AA22+AB22+AC22+AD22</f>
        <v>325981.5</v>
      </c>
      <c r="AG22" s="25">
        <f>IFERROR(IFERROR((H22*W22*J22/15)-AE22,""),"")</f>
        <v>346316.3723333333</v>
      </c>
      <c r="AH22" s="26">
        <f>IFERROR(AG22-AF22,"")</f>
        <v>20334.872333333304</v>
      </c>
      <c r="AJ22" s="6">
        <f>AH22*30%</f>
        <v>6100.4616999999907</v>
      </c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406.69744666666605</v>
      </c>
    </row>
    <row r="24" spans="1:3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5.8717617640556614E-2</v>
      </c>
    </row>
    <row r="25" spans="1:3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7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 t="s">
        <v>32</v>
      </c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11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7" x14ac:dyDescent="0.35">
      <c r="A28" s="20">
        <v>44734</v>
      </c>
      <c r="B28" s="21" t="s">
        <v>153</v>
      </c>
      <c r="C28" s="21" t="s">
        <v>136</v>
      </c>
      <c r="D28" s="44">
        <v>131532</v>
      </c>
      <c r="E28" s="21"/>
      <c r="F28" s="21"/>
      <c r="G28" s="21">
        <v>34</v>
      </c>
      <c r="H28" s="22">
        <v>12500</v>
      </c>
      <c r="I28" s="33">
        <v>0.5</v>
      </c>
      <c r="J28" s="24">
        <f>IFERROR(K28/H28,"")</f>
        <v>0.48798720000000001</v>
      </c>
      <c r="K28" s="22">
        <v>6099.84</v>
      </c>
      <c r="L28" s="22"/>
      <c r="M28" s="22"/>
      <c r="N28" s="22"/>
      <c r="O28" s="22"/>
      <c r="P28" s="22"/>
      <c r="Q28" s="22"/>
      <c r="R28" s="22"/>
      <c r="S28" s="22"/>
      <c r="T28" s="22"/>
      <c r="U28" s="25">
        <v>280</v>
      </c>
      <c r="V28" s="25">
        <f>H28*U28*I28/15</f>
        <v>116666.66666666667</v>
      </c>
      <c r="W28" s="25">
        <v>323.39999999999998</v>
      </c>
      <c r="X28" s="25">
        <v>131510.98000000001</v>
      </c>
      <c r="Y28" s="65">
        <f>F28*100</f>
        <v>0</v>
      </c>
      <c r="Z28" s="25">
        <v>5778.43</v>
      </c>
      <c r="AA28" s="25"/>
      <c r="AB28" s="25">
        <v>952</v>
      </c>
      <c r="AC28" s="25">
        <f>G28*30</f>
        <v>1020</v>
      </c>
      <c r="AD28" s="25">
        <f>IF(F28="",G28*3.83,F28*3.83)</f>
        <v>130.22</v>
      </c>
      <c r="AE28" s="25">
        <v>263.02</v>
      </c>
      <c r="AF28" s="25">
        <f>V28+Y28+Z28+AA28+AB28+AC28+AD28</f>
        <v>124547.31666666668</v>
      </c>
      <c r="AG28" s="25">
        <f>IFERROR(IFERROR((H28*W28*J28/15)-AE28,""),"")</f>
        <v>131249.53039999999</v>
      </c>
      <c r="AH28" s="26">
        <f>IFERROR(AG28-AF28,"")</f>
        <v>6702.2137333333085</v>
      </c>
      <c r="AJ28" s="6">
        <f>AH28*30%</f>
        <v>2010.6641199999924</v>
      </c>
    </row>
    <row r="29" spans="1:37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IFERROR(AH28/G28,"")</f>
        <v>197.12393333333262</v>
      </c>
    </row>
    <row r="30" spans="1:37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5.1064668291821248E-2</v>
      </c>
    </row>
    <row r="31" spans="1:37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7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7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32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11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37" x14ac:dyDescent="0.35">
      <c r="A34" s="20">
        <v>44734</v>
      </c>
      <c r="B34" s="21" t="s">
        <v>154</v>
      </c>
      <c r="C34" s="21" t="s">
        <v>136</v>
      </c>
      <c r="D34" s="44">
        <v>131532</v>
      </c>
      <c r="E34" s="21"/>
      <c r="F34" s="21"/>
      <c r="G34" s="21">
        <v>31</v>
      </c>
      <c r="H34" s="22">
        <v>12180</v>
      </c>
      <c r="I34" s="33">
        <v>0.5</v>
      </c>
      <c r="J34" s="24">
        <f>IFERROR(K34/H34,"")</f>
        <v>0.45661822660098522</v>
      </c>
      <c r="K34" s="22">
        <v>5561.61</v>
      </c>
      <c r="L34" s="22"/>
      <c r="M34" s="22"/>
      <c r="N34" s="22"/>
      <c r="O34" s="22"/>
      <c r="P34" s="22"/>
      <c r="Q34" s="22"/>
      <c r="R34" s="22"/>
      <c r="S34" s="22"/>
      <c r="T34" s="22"/>
      <c r="U34" s="25">
        <v>280</v>
      </c>
      <c r="V34" s="25">
        <f>H34*U34*I34/15</f>
        <v>113680</v>
      </c>
      <c r="W34" s="25">
        <v>323.39999999999998</v>
      </c>
      <c r="X34" s="25">
        <v>119907.07</v>
      </c>
      <c r="Y34" s="25">
        <f>F34*100</f>
        <v>0</v>
      </c>
      <c r="Z34" s="25">
        <v>5268.95</v>
      </c>
      <c r="AA34" s="25"/>
      <c r="AB34" s="25">
        <v>868</v>
      </c>
      <c r="AC34" s="25">
        <f>G34*30</f>
        <v>930</v>
      </c>
      <c r="AD34" s="25">
        <f>IF(F34="",G34*3.83,F34*3.83)</f>
        <v>118.73</v>
      </c>
      <c r="AE34" s="25">
        <v>239.81</v>
      </c>
      <c r="AF34" s="25">
        <f>V34+Y34+Z34+AA34+AB34+AC34+AD34</f>
        <v>120865.68</v>
      </c>
      <c r="AG34" s="25">
        <f>IFERROR(IFERROR((H34*W34*J34/15)-AE34,""),"")</f>
        <v>119668.50159999999</v>
      </c>
      <c r="AH34" s="26">
        <f>IFERROR(AG34-AF34,"")</f>
        <v>-1197.1784000000043</v>
      </c>
      <c r="AJ34" s="6">
        <f>AH34*30%</f>
        <v>-359.15352000000127</v>
      </c>
    </row>
    <row r="35" spans="1:37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IFERROR(AH34/G34,"")</f>
        <v>-38.618658064516268</v>
      </c>
    </row>
    <row r="36" spans="1:37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-1.0004122922852779E-2</v>
      </c>
    </row>
    <row r="37" spans="1:37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7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37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 t="s">
        <v>32</v>
      </c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11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</row>
    <row r="40" spans="1:37" x14ac:dyDescent="0.35">
      <c r="A40" s="20">
        <v>44734</v>
      </c>
      <c r="B40" s="21" t="s">
        <v>155</v>
      </c>
      <c r="C40" s="21" t="s">
        <v>131</v>
      </c>
      <c r="D40" s="44">
        <v>131532</v>
      </c>
      <c r="E40" s="21"/>
      <c r="F40" s="21"/>
      <c r="G40" s="21">
        <v>48</v>
      </c>
      <c r="H40" s="22">
        <v>16990</v>
      </c>
      <c r="I40" s="33">
        <v>0.5</v>
      </c>
      <c r="J40" s="24">
        <f>IFERROR(K40/H40,"")</f>
        <v>0.50685874043555035</v>
      </c>
      <c r="K40" s="22">
        <v>8611.5300000000007</v>
      </c>
      <c r="L40" s="22"/>
      <c r="M40" s="22"/>
      <c r="N40" s="22"/>
      <c r="O40" s="22"/>
      <c r="P40" s="22"/>
      <c r="Q40" s="22"/>
      <c r="R40" s="22"/>
      <c r="S40" s="22"/>
      <c r="T40" s="22"/>
      <c r="U40" s="25">
        <v>280</v>
      </c>
      <c r="V40" s="25">
        <f>H40*U40*I40/15</f>
        <v>158573.33333333334</v>
      </c>
      <c r="W40" s="25">
        <v>323.39999999999998</v>
      </c>
      <c r="X40" s="25">
        <v>185662.56</v>
      </c>
      <c r="Y40" s="65">
        <f>F40*100</f>
        <v>0</v>
      </c>
      <c r="Z40" s="25">
        <v>10300.299999999999</v>
      </c>
      <c r="AA40" s="25"/>
      <c r="AB40" s="25">
        <v>1344</v>
      </c>
      <c r="AC40" s="25">
        <f>G40*30</f>
        <v>1440</v>
      </c>
      <c r="AD40" s="25">
        <f>IF(F40="",G40*3.83,F40*3.83)</f>
        <v>183.84</v>
      </c>
      <c r="AE40" s="25">
        <v>371.32</v>
      </c>
      <c r="AF40" s="25">
        <f>V40+Y40+Z40+AA40+AB40+AC40+AD40</f>
        <v>171841.47333333333</v>
      </c>
      <c r="AG40" s="25">
        <f>IFERROR(IFERROR((H40*W40*J40/15)-AE40,""),"")</f>
        <v>185293.26680000001</v>
      </c>
      <c r="AH40" s="26">
        <f>IFERROR(AG40-AF40,"")</f>
        <v>13451.793466666684</v>
      </c>
      <c r="AJ40" s="6">
        <f>AH40*30%</f>
        <v>4035.5380400000049</v>
      </c>
    </row>
    <row r="41" spans="1:37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IFERROR(AH40/G40,"")</f>
        <v>280.24569722222259</v>
      </c>
    </row>
    <row r="42" spans="1:37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7.259731397140376E-2</v>
      </c>
    </row>
    <row r="44" spans="1:37" x14ac:dyDescent="0.35">
      <c r="AJ44" s="6"/>
      <c r="AK44" s="6"/>
    </row>
    <row r="45" spans="1:37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 t="s">
        <v>32</v>
      </c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11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J45" s="6"/>
      <c r="AK45" s="6"/>
    </row>
    <row r="46" spans="1:37" x14ac:dyDescent="0.35">
      <c r="A46" s="20">
        <v>44735</v>
      </c>
      <c r="B46" s="21" t="s">
        <v>156</v>
      </c>
      <c r="C46" s="21" t="s">
        <v>157</v>
      </c>
      <c r="D46" s="44">
        <v>7408</v>
      </c>
      <c r="E46" s="21"/>
      <c r="F46" s="21">
        <v>50</v>
      </c>
      <c r="G46" s="21"/>
      <c r="H46" s="22">
        <v>31275</v>
      </c>
      <c r="I46" s="33">
        <v>0.5</v>
      </c>
      <c r="J46" s="24">
        <f>IFERROR(K46/H46,"")</f>
        <v>0.48968824940047961</v>
      </c>
      <c r="K46" s="22">
        <v>15315</v>
      </c>
      <c r="L46" s="22"/>
      <c r="M46" s="22"/>
      <c r="N46" s="22"/>
      <c r="O46" s="22"/>
      <c r="P46" s="22"/>
      <c r="Q46" s="22"/>
      <c r="R46" s="22"/>
      <c r="S46" s="22"/>
      <c r="T46" s="22"/>
      <c r="U46" s="25">
        <v>285</v>
      </c>
      <c r="V46" s="25">
        <f>H46*U46*I46/15</f>
        <v>297112.5</v>
      </c>
      <c r="W46" s="25">
        <v>305</v>
      </c>
      <c r="X46" s="25">
        <v>311405</v>
      </c>
      <c r="Y46" s="65">
        <v>0</v>
      </c>
      <c r="Z46" s="25">
        <v>24418</v>
      </c>
      <c r="AA46" s="25"/>
      <c r="AB46" s="25">
        <v>5942.25</v>
      </c>
      <c r="AC46" s="25">
        <f>F46*30</f>
        <v>1500</v>
      </c>
      <c r="AD46" s="25">
        <f>IF(F46="",G46*3.83,F46*3.83)</f>
        <v>191.5</v>
      </c>
      <c r="AE46" s="25">
        <v>622.80999999999995</v>
      </c>
      <c r="AF46" s="25">
        <f>V46+Y46+Z46+AA46+AB46+AC46+AD46</f>
        <v>329164.25</v>
      </c>
      <c r="AG46" s="25">
        <f>IFERROR(IFERROR((H46*W46*J46/15)-AE46,""),"")</f>
        <v>310782.19</v>
      </c>
      <c r="AH46" s="26">
        <f>IFERROR(AG46-AF46,"")</f>
        <v>-18382.059999999998</v>
      </c>
      <c r="AJ46" s="11">
        <f>AH46*30%</f>
        <v>-5514.6179999999995</v>
      </c>
      <c r="AK46" s="11"/>
    </row>
    <row r="47" spans="1:3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IFERROR(AH46/F46,"")</f>
        <v>-367.64119999999997</v>
      </c>
      <c r="AJ47" s="11"/>
      <c r="AK47" s="11"/>
    </row>
    <row r="48" spans="1:3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-5.9147726579827489E-2</v>
      </c>
      <c r="AJ48" s="11"/>
      <c r="AK48" s="11"/>
    </row>
    <row r="49" spans="1:37" x14ac:dyDescent="0.35">
      <c r="AJ49" s="11"/>
      <c r="AK49" s="11"/>
    </row>
    <row r="50" spans="1:37" x14ac:dyDescent="0.35">
      <c r="AJ50" s="11"/>
      <c r="AK50" s="11"/>
    </row>
    <row r="51" spans="1:37" x14ac:dyDescent="0.35">
      <c r="A51" s="37" t="s">
        <v>1</v>
      </c>
      <c r="B51" s="37" t="s">
        <v>2</v>
      </c>
      <c r="C51" s="37" t="s">
        <v>110</v>
      </c>
      <c r="D51" s="37" t="s">
        <v>66</v>
      </c>
      <c r="E51" s="37" t="s">
        <v>32</v>
      </c>
      <c r="F51" s="37" t="s">
        <v>137</v>
      </c>
      <c r="G51" s="37" t="s">
        <v>138</v>
      </c>
      <c r="H51" s="37" t="s">
        <v>4</v>
      </c>
      <c r="I51" s="37" t="s">
        <v>5</v>
      </c>
      <c r="J51" s="37" t="s">
        <v>6</v>
      </c>
      <c r="K51" s="37" t="s">
        <v>7</v>
      </c>
      <c r="L51" s="37" t="s">
        <v>279</v>
      </c>
      <c r="M51" s="37" t="s">
        <v>280</v>
      </c>
      <c r="N51" s="37" t="s">
        <v>281</v>
      </c>
      <c r="O51" s="37" t="s">
        <v>282</v>
      </c>
      <c r="P51" s="37" t="s">
        <v>283</v>
      </c>
      <c r="Q51" s="37" t="s">
        <v>284</v>
      </c>
      <c r="R51" s="37" t="s">
        <v>904</v>
      </c>
      <c r="S51" s="37" t="s">
        <v>285</v>
      </c>
      <c r="T51" s="37" t="s">
        <v>289</v>
      </c>
      <c r="U51" s="37" t="s">
        <v>8</v>
      </c>
      <c r="V51" s="37" t="s">
        <v>9</v>
      </c>
      <c r="W51" s="37" t="s">
        <v>10</v>
      </c>
      <c r="X51" s="37" t="s">
        <v>100</v>
      </c>
      <c r="Y51" s="37" t="s">
        <v>106</v>
      </c>
      <c r="Z51" s="37" t="s">
        <v>12</v>
      </c>
      <c r="AA51" s="37" t="s">
        <v>11</v>
      </c>
      <c r="AB51" s="37" t="s">
        <v>13</v>
      </c>
      <c r="AC51" s="37" t="s">
        <v>74</v>
      </c>
      <c r="AD51" s="37" t="s">
        <v>21</v>
      </c>
      <c r="AE51" s="37" t="s">
        <v>14</v>
      </c>
      <c r="AF51" s="37" t="s">
        <v>15</v>
      </c>
      <c r="AG51" s="37" t="s">
        <v>16</v>
      </c>
      <c r="AH51" s="15" t="s">
        <v>17</v>
      </c>
      <c r="AJ51" s="11"/>
      <c r="AK51" s="11"/>
    </row>
    <row r="52" spans="1:37" x14ac:dyDescent="0.35">
      <c r="A52" s="38">
        <v>44736</v>
      </c>
      <c r="B52" s="39" t="s">
        <v>158</v>
      </c>
      <c r="C52" s="39" t="s">
        <v>159</v>
      </c>
      <c r="D52" s="45">
        <v>7408</v>
      </c>
      <c r="E52" s="39"/>
      <c r="F52" s="39">
        <v>50</v>
      </c>
      <c r="G52" s="39"/>
      <c r="H52" s="40">
        <v>27711</v>
      </c>
      <c r="I52" s="53">
        <v>0.5</v>
      </c>
      <c r="J52" s="42">
        <f>IFERROR(K52/H52,"")</f>
        <v>0.55266861535130452</v>
      </c>
      <c r="K52" s="40">
        <v>15315</v>
      </c>
      <c r="L52" s="40"/>
      <c r="M52" s="40"/>
      <c r="N52" s="40"/>
      <c r="O52" s="40"/>
      <c r="P52" s="40"/>
      <c r="Q52" s="40"/>
      <c r="R52" s="40"/>
      <c r="S52" s="40"/>
      <c r="T52" s="40"/>
      <c r="U52" s="43">
        <v>282</v>
      </c>
      <c r="V52" s="43">
        <f>H52*U52*I52/15</f>
        <v>260483.4</v>
      </c>
      <c r="W52" s="43">
        <v>305</v>
      </c>
      <c r="X52" s="43">
        <v>311405</v>
      </c>
      <c r="Y52" s="43">
        <v>0</v>
      </c>
      <c r="Z52" s="43">
        <v>23368</v>
      </c>
      <c r="AA52" s="43"/>
      <c r="AB52" s="43">
        <v>5209.67</v>
      </c>
      <c r="AC52" s="43">
        <f>F52*30</f>
        <v>1500</v>
      </c>
      <c r="AD52" s="43">
        <f>IF(F52="",G52*3.83,F52*3.83)</f>
        <v>191.5</v>
      </c>
      <c r="AE52" s="43">
        <v>622.80999999999995</v>
      </c>
      <c r="AF52" s="43">
        <f>V52+Y52+Z52+AA52+AB52+AC52+AD52</f>
        <v>290752.57</v>
      </c>
      <c r="AG52" s="43">
        <f>IFERROR(IFERROR((H52*W52*J52/15)-AE52,""),"")</f>
        <v>310782.19</v>
      </c>
      <c r="AH52" s="26">
        <f>IFERROR(AG52-AF52,"")</f>
        <v>20029.619999999995</v>
      </c>
      <c r="AJ52" s="6">
        <f>AH52*30%</f>
        <v>6008.8859999999986</v>
      </c>
      <c r="AK52" s="11"/>
    </row>
    <row r="53" spans="1:3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IFERROR(AH52/F52,"")</f>
        <v>400.59239999999988</v>
      </c>
      <c r="AJ53" s="11"/>
      <c r="AK53" s="11"/>
    </row>
    <row r="54" spans="1:3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6.4449059967046363E-2</v>
      </c>
      <c r="AJ54" s="11"/>
      <c r="AK54" s="11"/>
    </row>
    <row r="55" spans="1:37" x14ac:dyDescent="0.35">
      <c r="AJ55" s="11"/>
      <c r="AK55" s="11"/>
    </row>
    <row r="56" spans="1:37" x14ac:dyDescent="0.35">
      <c r="AJ56" s="11"/>
      <c r="AK56" s="11"/>
    </row>
    <row r="57" spans="1:37" x14ac:dyDescent="0.35">
      <c r="A57" s="37" t="s">
        <v>1</v>
      </c>
      <c r="B57" s="37" t="s">
        <v>2</v>
      </c>
      <c r="C57" s="37" t="s">
        <v>110</v>
      </c>
      <c r="D57" s="37" t="s">
        <v>66</v>
      </c>
      <c r="E57" s="37" t="s">
        <v>32</v>
      </c>
      <c r="F57" s="37" t="s">
        <v>137</v>
      </c>
      <c r="G57" s="37" t="s">
        <v>138</v>
      </c>
      <c r="H57" s="37" t="s">
        <v>4</v>
      </c>
      <c r="I57" s="37" t="s">
        <v>5</v>
      </c>
      <c r="J57" s="37" t="s">
        <v>6</v>
      </c>
      <c r="K57" s="37" t="s">
        <v>7</v>
      </c>
      <c r="L57" s="37" t="s">
        <v>279</v>
      </c>
      <c r="M57" s="37" t="s">
        <v>280</v>
      </c>
      <c r="N57" s="37" t="s">
        <v>281</v>
      </c>
      <c r="O57" s="37" t="s">
        <v>282</v>
      </c>
      <c r="P57" s="37" t="s">
        <v>283</v>
      </c>
      <c r="Q57" s="37" t="s">
        <v>284</v>
      </c>
      <c r="R57" s="37" t="s">
        <v>904</v>
      </c>
      <c r="S57" s="37" t="s">
        <v>285</v>
      </c>
      <c r="T57" s="37" t="s">
        <v>289</v>
      </c>
      <c r="U57" s="37" t="s">
        <v>8</v>
      </c>
      <c r="V57" s="37" t="s">
        <v>9</v>
      </c>
      <c r="W57" s="37" t="s">
        <v>10</v>
      </c>
      <c r="X57" s="37" t="s">
        <v>100</v>
      </c>
      <c r="Y57" s="37" t="s">
        <v>106</v>
      </c>
      <c r="Z57" s="37" t="s">
        <v>12</v>
      </c>
      <c r="AA57" s="37" t="s">
        <v>11</v>
      </c>
      <c r="AB57" s="37" t="s">
        <v>13</v>
      </c>
      <c r="AC57" s="37" t="s">
        <v>74</v>
      </c>
      <c r="AD57" s="37" t="s">
        <v>21</v>
      </c>
      <c r="AE57" s="37" t="s">
        <v>14</v>
      </c>
      <c r="AF57" s="37" t="s">
        <v>15</v>
      </c>
      <c r="AG57" s="37" t="s">
        <v>16</v>
      </c>
      <c r="AH57" s="15" t="s">
        <v>17</v>
      </c>
      <c r="AJ57" s="11"/>
      <c r="AK57" s="11"/>
    </row>
    <row r="58" spans="1:37" x14ac:dyDescent="0.35">
      <c r="A58" s="38">
        <v>44736</v>
      </c>
      <c r="B58" s="39" t="s">
        <v>160</v>
      </c>
      <c r="C58" s="39" t="s">
        <v>161</v>
      </c>
      <c r="D58" s="45">
        <v>132188</v>
      </c>
      <c r="E58" s="39"/>
      <c r="F58" s="39">
        <v>50</v>
      </c>
      <c r="G58" s="39"/>
      <c r="H58" s="40">
        <v>27570</v>
      </c>
      <c r="I58" s="53">
        <v>0.55000000000000004</v>
      </c>
      <c r="J58" s="42">
        <f>IFERROR(K58/H58,"")</f>
        <v>0.55731773667029383</v>
      </c>
      <c r="K58" s="40">
        <v>15365.25</v>
      </c>
      <c r="L58" s="40"/>
      <c r="M58" s="40"/>
      <c r="N58" s="40"/>
      <c r="O58" s="40"/>
      <c r="P58" s="40"/>
      <c r="Q58" s="40"/>
      <c r="R58" s="40"/>
      <c r="S58" s="40"/>
      <c r="T58" s="40"/>
      <c r="U58" s="43">
        <v>305</v>
      </c>
      <c r="V58" s="43">
        <f>H58*U58*I58/15</f>
        <v>308324.5</v>
      </c>
      <c r="W58" s="43">
        <v>333.87</v>
      </c>
      <c r="X58" s="43">
        <v>342000</v>
      </c>
      <c r="Y58" s="43">
        <v>0</v>
      </c>
      <c r="Z58" s="43">
        <v>11356.8</v>
      </c>
      <c r="AA58" s="43"/>
      <c r="AB58" s="43">
        <v>1525</v>
      </c>
      <c r="AC58" s="43">
        <f>F58*30</f>
        <v>1500</v>
      </c>
      <c r="AD58" s="43">
        <f>IF(F58="",G58*3.83,F58*3.83)</f>
        <v>191.5</v>
      </c>
      <c r="AE58" s="43">
        <v>684</v>
      </c>
      <c r="AF58" s="43">
        <f>V58+Y58+Z58+AA58+AB58+AC58+AD58</f>
        <v>322897.8</v>
      </c>
      <c r="AG58" s="43">
        <f>IFERROR(IFERROR((H58*W58*J58/15)-AE58,""),"")</f>
        <v>341315.73450000002</v>
      </c>
      <c r="AH58" s="26">
        <f>IFERROR(AG58-AF58,"")</f>
        <v>18417.934500000032</v>
      </c>
      <c r="AJ58" s="11">
        <f>AH58*30%</f>
        <v>5525.3803500000095</v>
      </c>
      <c r="AK58" s="11"/>
    </row>
    <row r="59" spans="1:3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IFERROR(AH58/F58,"")</f>
        <v>368.35869000000065</v>
      </c>
    </row>
    <row r="60" spans="1:3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5.3961574689724803E-2</v>
      </c>
    </row>
    <row r="63" spans="1:37" x14ac:dyDescent="0.35">
      <c r="A63" s="37" t="s">
        <v>1</v>
      </c>
      <c r="B63" s="37" t="s">
        <v>2</v>
      </c>
      <c r="C63" s="37" t="s">
        <v>110</v>
      </c>
      <c r="D63" s="37" t="s">
        <v>66</v>
      </c>
      <c r="E63" s="37" t="s">
        <v>32</v>
      </c>
      <c r="F63" s="37" t="s">
        <v>137</v>
      </c>
      <c r="G63" s="37" t="s">
        <v>138</v>
      </c>
      <c r="H63" s="37" t="s">
        <v>4</v>
      </c>
      <c r="I63" s="37" t="s">
        <v>5</v>
      </c>
      <c r="J63" s="37" t="s">
        <v>6</v>
      </c>
      <c r="K63" s="37" t="s">
        <v>7</v>
      </c>
      <c r="L63" s="37" t="s">
        <v>279</v>
      </c>
      <c r="M63" s="37" t="s">
        <v>280</v>
      </c>
      <c r="N63" s="37" t="s">
        <v>281</v>
      </c>
      <c r="O63" s="37" t="s">
        <v>282</v>
      </c>
      <c r="P63" s="37" t="s">
        <v>283</v>
      </c>
      <c r="Q63" s="37" t="s">
        <v>284</v>
      </c>
      <c r="R63" s="37" t="s">
        <v>904</v>
      </c>
      <c r="S63" s="37" t="s">
        <v>285</v>
      </c>
      <c r="T63" s="37" t="s">
        <v>289</v>
      </c>
      <c r="U63" s="37" t="s">
        <v>8</v>
      </c>
      <c r="V63" s="37" t="s">
        <v>9</v>
      </c>
      <c r="W63" s="37" t="s">
        <v>10</v>
      </c>
      <c r="X63" s="37" t="s">
        <v>100</v>
      </c>
      <c r="Y63" s="37" t="s">
        <v>106</v>
      </c>
      <c r="Z63" s="37" t="s">
        <v>12</v>
      </c>
      <c r="AA63" s="37" t="s">
        <v>11</v>
      </c>
      <c r="AB63" s="37" t="s">
        <v>13</v>
      </c>
      <c r="AC63" s="37" t="s">
        <v>74</v>
      </c>
      <c r="AD63" s="37" t="s">
        <v>21</v>
      </c>
      <c r="AE63" s="37" t="s">
        <v>14</v>
      </c>
      <c r="AF63" s="37" t="s">
        <v>15</v>
      </c>
      <c r="AG63" s="37" t="s">
        <v>16</v>
      </c>
      <c r="AH63" s="15" t="s">
        <v>17</v>
      </c>
    </row>
    <row r="64" spans="1:37" x14ac:dyDescent="0.35">
      <c r="A64" s="38">
        <v>44736</v>
      </c>
      <c r="B64" s="39" t="s">
        <v>162</v>
      </c>
      <c r="C64" s="39" t="s">
        <v>163</v>
      </c>
      <c r="D64" s="45">
        <v>132188</v>
      </c>
      <c r="E64" s="39"/>
      <c r="F64" s="39">
        <v>50</v>
      </c>
      <c r="G64" s="39"/>
      <c r="H64" s="40">
        <v>27214</v>
      </c>
      <c r="I64" s="53">
        <v>0.54500000000000004</v>
      </c>
      <c r="J64" s="42">
        <f>IFERROR(K64/H64,"")</f>
        <v>0.56460828985081213</v>
      </c>
      <c r="K64" s="40">
        <v>15365.25</v>
      </c>
      <c r="L64" s="40"/>
      <c r="M64" s="40"/>
      <c r="N64" s="40"/>
      <c r="O64" s="40"/>
      <c r="P64" s="40"/>
      <c r="Q64" s="40"/>
      <c r="R64" s="40"/>
      <c r="S64" s="40"/>
      <c r="T64" s="40"/>
      <c r="U64" s="43">
        <v>305</v>
      </c>
      <c r="V64" s="43">
        <f>H64*U64*I64/15</f>
        <v>301576.47666666668</v>
      </c>
      <c r="W64" s="43">
        <v>333.87</v>
      </c>
      <c r="X64" s="43">
        <v>342000</v>
      </c>
      <c r="Y64" s="43">
        <v>0</v>
      </c>
      <c r="Z64" s="43">
        <v>9298.7999999999993</v>
      </c>
      <c r="AA64" s="43"/>
      <c r="AB64" s="43">
        <v>1525</v>
      </c>
      <c r="AC64" s="43">
        <f>F64*30</f>
        <v>1500</v>
      </c>
      <c r="AD64" s="43">
        <f>IF(F64="",G64*3.83,F64*3.83)</f>
        <v>191.5</v>
      </c>
      <c r="AE64" s="43">
        <v>684</v>
      </c>
      <c r="AF64" s="43">
        <f>V64+Y64+Z64+AA64+AB64+AC64+AD64</f>
        <v>314091.77666666667</v>
      </c>
      <c r="AG64" s="43">
        <f>IFERROR(IFERROR((H64*W64*J64/15)-AE64,""),"")</f>
        <v>341315.73450000002</v>
      </c>
      <c r="AH64" s="26">
        <f>IFERROR(AG64-AF64,"")</f>
        <v>27223.957833333348</v>
      </c>
      <c r="AJ64" s="6">
        <f>AH64*30%</f>
        <v>8167.1873500000038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IFERROR(AH64/F64,"")</f>
        <v>544.479156666667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7.9761801410105651E-2</v>
      </c>
    </row>
    <row r="69" spans="1:36" x14ac:dyDescent="0.35">
      <c r="A69" s="37" t="s">
        <v>1</v>
      </c>
      <c r="B69" s="37" t="s">
        <v>2</v>
      </c>
      <c r="C69" s="37" t="s">
        <v>110</v>
      </c>
      <c r="D69" s="37" t="s">
        <v>66</v>
      </c>
      <c r="E69" s="37" t="s">
        <v>32</v>
      </c>
      <c r="F69" s="37" t="s">
        <v>137</v>
      </c>
      <c r="G69" s="37" t="s">
        <v>138</v>
      </c>
      <c r="H69" s="37" t="s">
        <v>4</v>
      </c>
      <c r="I69" s="37" t="s">
        <v>5</v>
      </c>
      <c r="J69" s="37" t="s">
        <v>6</v>
      </c>
      <c r="K69" s="37" t="s">
        <v>7</v>
      </c>
      <c r="L69" s="37" t="s">
        <v>279</v>
      </c>
      <c r="M69" s="37" t="s">
        <v>280</v>
      </c>
      <c r="N69" s="37" t="s">
        <v>281</v>
      </c>
      <c r="O69" s="37" t="s">
        <v>282</v>
      </c>
      <c r="P69" s="37" t="s">
        <v>283</v>
      </c>
      <c r="Q69" s="37" t="s">
        <v>284</v>
      </c>
      <c r="R69" s="37" t="s">
        <v>904</v>
      </c>
      <c r="S69" s="37" t="s">
        <v>285</v>
      </c>
      <c r="T69" s="37" t="s">
        <v>289</v>
      </c>
      <c r="U69" s="37" t="s">
        <v>8</v>
      </c>
      <c r="V69" s="37" t="s">
        <v>9</v>
      </c>
      <c r="W69" s="37" t="s">
        <v>10</v>
      </c>
      <c r="X69" s="37" t="s">
        <v>100</v>
      </c>
      <c r="Y69" s="37" t="s">
        <v>106</v>
      </c>
      <c r="Z69" s="37" t="s">
        <v>12</v>
      </c>
      <c r="AA69" s="37" t="s">
        <v>11</v>
      </c>
      <c r="AB69" s="37" t="s">
        <v>13</v>
      </c>
      <c r="AC69" s="37" t="s">
        <v>74</v>
      </c>
      <c r="AD69" s="37" t="s">
        <v>21</v>
      </c>
      <c r="AE69" s="37" t="s">
        <v>14</v>
      </c>
      <c r="AF69" s="37" t="s">
        <v>15</v>
      </c>
      <c r="AG69" s="37" t="s">
        <v>16</v>
      </c>
      <c r="AH69" s="15" t="s">
        <v>17</v>
      </c>
    </row>
    <row r="70" spans="1:36" x14ac:dyDescent="0.35">
      <c r="A70" s="38">
        <v>44736</v>
      </c>
      <c r="B70" s="39" t="s">
        <v>145</v>
      </c>
      <c r="C70" s="39" t="s">
        <v>146</v>
      </c>
      <c r="D70" s="45">
        <v>7407</v>
      </c>
      <c r="E70" s="39"/>
      <c r="F70" s="39">
        <v>99</v>
      </c>
      <c r="G70" s="39"/>
      <c r="H70" s="40">
        <v>60291</v>
      </c>
      <c r="I70" s="53">
        <v>0.53</v>
      </c>
      <c r="J70" s="42">
        <f>IFERROR(K70/H70,"")</f>
        <v>0.5324177737970841</v>
      </c>
      <c r="K70" s="40">
        <v>32100</v>
      </c>
      <c r="L70" s="40"/>
      <c r="M70" s="40"/>
      <c r="N70" s="40"/>
      <c r="O70" s="40"/>
      <c r="P70" s="40"/>
      <c r="Q70" s="40"/>
      <c r="R70" s="40"/>
      <c r="S70" s="40"/>
      <c r="T70" s="40"/>
      <c r="U70" s="43">
        <v>300</v>
      </c>
      <c r="V70" s="43">
        <f>H70*U70*I70/15</f>
        <v>639084.6</v>
      </c>
      <c r="W70" s="43">
        <v>305</v>
      </c>
      <c r="X70" s="43">
        <v>652462.09</v>
      </c>
      <c r="Y70" s="43">
        <v>0</v>
      </c>
      <c r="Z70" s="43">
        <v>20216</v>
      </c>
      <c r="AA70" s="43"/>
      <c r="AB70" s="43">
        <v>3000</v>
      </c>
      <c r="AC70" s="43">
        <f>F70*30</f>
        <v>2970</v>
      </c>
      <c r="AD70" s="43">
        <f>IF(F70="",G70*3.83,F70*3.83)</f>
        <v>379.17</v>
      </c>
      <c r="AE70" s="43">
        <v>1304.92</v>
      </c>
      <c r="AF70" s="43">
        <f>V70+Y70+Z70+AA70+AB70+AC70+AD70</f>
        <v>665649.77</v>
      </c>
      <c r="AG70" s="43">
        <f>IFERROR(IFERROR((H70*W70*J70/15)-AE70,""),"")</f>
        <v>651395.07999999996</v>
      </c>
      <c r="AH70" s="26">
        <f>IFERROR(AG70-AF70,"")</f>
        <v>-14254.690000000061</v>
      </c>
      <c r="AJ70" s="6">
        <f>AH70*30%</f>
        <v>-4276.4070000000183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IFERROR(AH70/F70,"")</f>
        <v>-143.9867676767683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-2.1883324633032324E-2</v>
      </c>
    </row>
    <row r="75" spans="1:36" x14ac:dyDescent="0.35">
      <c r="A75" s="37" t="s">
        <v>1</v>
      </c>
      <c r="B75" s="37" t="s">
        <v>2</v>
      </c>
      <c r="C75" s="37" t="s">
        <v>110</v>
      </c>
      <c r="D75" s="37" t="s">
        <v>66</v>
      </c>
      <c r="E75" s="37" t="s">
        <v>32</v>
      </c>
      <c r="F75" s="37" t="s">
        <v>137</v>
      </c>
      <c r="G75" s="37" t="s">
        <v>138</v>
      </c>
      <c r="H75" s="37" t="s">
        <v>4</v>
      </c>
      <c r="I75" s="37" t="s">
        <v>5</v>
      </c>
      <c r="J75" s="37" t="s">
        <v>6</v>
      </c>
      <c r="K75" s="37" t="s">
        <v>7</v>
      </c>
      <c r="L75" s="37" t="s">
        <v>279</v>
      </c>
      <c r="M75" s="37" t="s">
        <v>280</v>
      </c>
      <c r="N75" s="37" t="s">
        <v>281</v>
      </c>
      <c r="O75" s="37" t="s">
        <v>282</v>
      </c>
      <c r="P75" s="37" t="s">
        <v>283</v>
      </c>
      <c r="Q75" s="37" t="s">
        <v>284</v>
      </c>
      <c r="R75" s="37" t="s">
        <v>904</v>
      </c>
      <c r="S75" s="37" t="s">
        <v>285</v>
      </c>
      <c r="T75" s="37" t="s">
        <v>289</v>
      </c>
      <c r="U75" s="37" t="s">
        <v>8</v>
      </c>
      <c r="V75" s="37" t="s">
        <v>9</v>
      </c>
      <c r="W75" s="37" t="s">
        <v>10</v>
      </c>
      <c r="X75" s="37" t="s">
        <v>100</v>
      </c>
      <c r="Y75" s="37" t="s">
        <v>106</v>
      </c>
      <c r="Z75" s="37" t="s">
        <v>12</v>
      </c>
      <c r="AA75" s="37" t="s">
        <v>11</v>
      </c>
      <c r="AB75" s="37" t="s">
        <v>13</v>
      </c>
      <c r="AC75" s="37" t="s">
        <v>74</v>
      </c>
      <c r="AD75" s="37" t="s">
        <v>21</v>
      </c>
      <c r="AE75" s="37" t="s">
        <v>14</v>
      </c>
      <c r="AF75" s="37" t="s">
        <v>15</v>
      </c>
      <c r="AG75" s="37" t="s">
        <v>16</v>
      </c>
      <c r="AH75" s="15" t="s">
        <v>17</v>
      </c>
    </row>
    <row r="76" spans="1:36" x14ac:dyDescent="0.35">
      <c r="A76" s="38">
        <v>44736</v>
      </c>
      <c r="B76" s="39" t="s">
        <v>26</v>
      </c>
      <c r="C76" s="39" t="s">
        <v>141</v>
      </c>
      <c r="D76" s="45">
        <v>132189</v>
      </c>
      <c r="E76" s="39"/>
      <c r="F76" s="39">
        <v>50</v>
      </c>
      <c r="G76" s="39"/>
      <c r="H76" s="40">
        <v>26660</v>
      </c>
      <c r="I76" s="53">
        <v>0.52</v>
      </c>
      <c r="J76" s="42">
        <f>IFERROR(K76/H76,"")</f>
        <v>0.50185671417854461</v>
      </c>
      <c r="K76" s="40">
        <v>13379.5</v>
      </c>
      <c r="L76" s="40"/>
      <c r="M76" s="40"/>
      <c r="N76" s="40"/>
      <c r="O76" s="40"/>
      <c r="P76" s="40"/>
      <c r="Q76" s="40"/>
      <c r="R76" s="40"/>
      <c r="S76" s="40"/>
      <c r="T76" s="40"/>
      <c r="U76" s="43">
        <v>300</v>
      </c>
      <c r="V76" s="43">
        <f>H76*U76*I76/15</f>
        <v>277264</v>
      </c>
      <c r="W76" s="43">
        <v>335.17</v>
      </c>
      <c r="X76" s="43">
        <v>374580</v>
      </c>
      <c r="Y76" s="43">
        <f>F76*80</f>
        <v>4000</v>
      </c>
      <c r="Z76" s="43">
        <v>8693.6</v>
      </c>
      <c r="AA76" s="43"/>
      <c r="AB76" s="43">
        <v>1500</v>
      </c>
      <c r="AC76" s="43">
        <f>F76*30</f>
        <v>1500</v>
      </c>
      <c r="AD76" s="43">
        <f>IF(F76="",G76*3.83,F76*3.83)</f>
        <v>191.5</v>
      </c>
      <c r="AE76" s="43">
        <v>597.91</v>
      </c>
      <c r="AF76" s="43">
        <f>V76+Y76+Z76+AA76+AB76+AC76+AD76</f>
        <v>293149.09999999998</v>
      </c>
      <c r="AG76" s="43">
        <f>IFERROR(IFERROR((H76*W76*J76/15)-AE76,""),"")</f>
        <v>298362.55766666675</v>
      </c>
      <c r="AH76" s="26">
        <f>IFERROR(AG76-AF76,"")</f>
        <v>5213.4576666667708</v>
      </c>
      <c r="AJ76" s="6">
        <f>AH76*30%</f>
        <v>1564.0373000000311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IFERROR(AH76/F76,"")</f>
        <v>104.26915333333541</v>
      </c>
    </row>
    <row r="78" spans="1:36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7">
        <f>IFERROR(AH76/AG76,"")</f>
        <v>1.7473565407933295E-2</v>
      </c>
    </row>
    <row r="81" spans="1:38" x14ac:dyDescent="0.35">
      <c r="A81" s="37" t="s">
        <v>1</v>
      </c>
      <c r="B81" s="37" t="s">
        <v>2</v>
      </c>
      <c r="C81" s="37" t="s">
        <v>110</v>
      </c>
      <c r="D81" s="37" t="s">
        <v>66</v>
      </c>
      <c r="E81" s="37" t="s">
        <v>32</v>
      </c>
      <c r="F81" s="37" t="s">
        <v>137</v>
      </c>
      <c r="G81" s="37" t="s">
        <v>138</v>
      </c>
      <c r="H81" s="37" t="s">
        <v>4</v>
      </c>
      <c r="I81" s="37" t="s">
        <v>5</v>
      </c>
      <c r="J81" s="37" t="s">
        <v>6</v>
      </c>
      <c r="K81" s="37" t="s">
        <v>7</v>
      </c>
      <c r="L81" s="37" t="s">
        <v>279</v>
      </c>
      <c r="M81" s="37" t="s">
        <v>280</v>
      </c>
      <c r="N81" s="37" t="s">
        <v>281</v>
      </c>
      <c r="O81" s="37" t="s">
        <v>282</v>
      </c>
      <c r="P81" s="37" t="s">
        <v>283</v>
      </c>
      <c r="Q81" s="37" t="s">
        <v>284</v>
      </c>
      <c r="R81" s="37" t="s">
        <v>904</v>
      </c>
      <c r="S81" s="37" t="s">
        <v>285</v>
      </c>
      <c r="T81" s="37" t="s">
        <v>289</v>
      </c>
      <c r="U81" s="37" t="s">
        <v>8</v>
      </c>
      <c r="V81" s="37" t="s">
        <v>9</v>
      </c>
      <c r="W81" s="37" t="s">
        <v>10</v>
      </c>
      <c r="X81" s="37" t="s">
        <v>100</v>
      </c>
      <c r="Y81" s="37" t="s">
        <v>106</v>
      </c>
      <c r="Z81" s="37" t="s">
        <v>12</v>
      </c>
      <c r="AA81" s="37" t="s">
        <v>11</v>
      </c>
      <c r="AB81" s="37" t="s">
        <v>13</v>
      </c>
      <c r="AC81" s="37" t="s">
        <v>74</v>
      </c>
      <c r="AD81" s="37" t="s">
        <v>21</v>
      </c>
      <c r="AE81" s="37" t="s">
        <v>14</v>
      </c>
      <c r="AF81" s="37" t="s">
        <v>15</v>
      </c>
      <c r="AG81" s="37" t="s">
        <v>16</v>
      </c>
      <c r="AH81" s="15" t="s">
        <v>17</v>
      </c>
    </row>
    <row r="82" spans="1:38" x14ac:dyDescent="0.35">
      <c r="A82" s="38">
        <v>44736</v>
      </c>
      <c r="B82" s="39" t="s">
        <v>164</v>
      </c>
      <c r="C82" s="39" t="s">
        <v>141</v>
      </c>
      <c r="D82" s="45">
        <v>132217</v>
      </c>
      <c r="E82" s="39"/>
      <c r="F82" s="39">
        <v>0</v>
      </c>
      <c r="G82" s="39">
        <v>42</v>
      </c>
      <c r="H82" s="40">
        <v>13940</v>
      </c>
      <c r="I82" s="53">
        <v>0.5</v>
      </c>
      <c r="J82" s="42">
        <f>IFERROR(K82/H82,"")</f>
        <v>0.52674146341463413</v>
      </c>
      <c r="K82" s="40">
        <v>7342.7759999999998</v>
      </c>
      <c r="L82" s="40"/>
      <c r="M82" s="40"/>
      <c r="N82" s="40"/>
      <c r="O82" s="40"/>
      <c r="P82" s="40"/>
      <c r="Q82" s="40"/>
      <c r="R82" s="40"/>
      <c r="S82" s="40"/>
      <c r="T82" s="40"/>
      <c r="U82" s="43">
        <v>285</v>
      </c>
      <c r="V82" s="43">
        <f>H82*U82*I82/15</f>
        <v>132430</v>
      </c>
      <c r="W82" s="43">
        <v>322.63</v>
      </c>
      <c r="X82" s="43">
        <v>157934.28</v>
      </c>
      <c r="Y82" s="43">
        <f>G82*60</f>
        <v>2520</v>
      </c>
      <c r="Z82" s="43">
        <v>5934.01</v>
      </c>
      <c r="AA82" s="43"/>
      <c r="AB82" s="43">
        <v>1197</v>
      </c>
      <c r="AC82" s="43">
        <f>G82*30</f>
        <v>1260</v>
      </c>
      <c r="AD82" s="43">
        <f>IF(F82="",G82*3.83,F82*3.83)</f>
        <v>0</v>
      </c>
      <c r="AE82" s="43">
        <v>315.86</v>
      </c>
      <c r="AF82" s="43">
        <f>V82+Y82+Z82+AA82+AB82+AC82+AD82</f>
        <v>143341.01</v>
      </c>
      <c r="AG82" s="43">
        <f>IFERROR(IFERROR((H82*W82*J82/15)-AE82,""),"")</f>
        <v>157617.46139200003</v>
      </c>
      <c r="AH82" s="26">
        <f>IFERROR(AG82-AF82,"")</f>
        <v>14276.451392000017</v>
      </c>
      <c r="AJ82" s="6">
        <f>AH82*30%</f>
        <v>4282.9354176000052</v>
      </c>
    </row>
    <row r="83" spans="1:38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3"/>
      <c r="AA83" s="21"/>
      <c r="AB83" s="21"/>
      <c r="AC83" s="21"/>
      <c r="AD83" s="21"/>
      <c r="AE83" s="21"/>
      <c r="AF83" s="21"/>
      <c r="AG83" s="21"/>
      <c r="AH83" s="26">
        <f>IFERROR(AH82/G82,"")</f>
        <v>339.91550933333372</v>
      </c>
    </row>
    <row r="84" spans="1:38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7">
        <f>IFERROR(AH82/AG82,"")</f>
        <v>9.0576585017404856E-2</v>
      </c>
    </row>
    <row r="85" spans="1:38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4"/>
    </row>
    <row r="86" spans="1:38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4"/>
    </row>
    <row r="87" spans="1:38" x14ac:dyDescent="0.35">
      <c r="A87" s="37" t="s">
        <v>1</v>
      </c>
      <c r="B87" s="37" t="s">
        <v>2</v>
      </c>
      <c r="C87" s="37" t="s">
        <v>110</v>
      </c>
      <c r="D87" s="37" t="s">
        <v>66</v>
      </c>
      <c r="E87" s="37" t="s">
        <v>32</v>
      </c>
      <c r="F87" s="37" t="s">
        <v>137</v>
      </c>
      <c r="G87" s="37" t="s">
        <v>138</v>
      </c>
      <c r="H87" s="37" t="s">
        <v>4</v>
      </c>
      <c r="I87" s="37" t="s">
        <v>5</v>
      </c>
      <c r="J87" s="37" t="s">
        <v>6</v>
      </c>
      <c r="K87" s="37" t="s">
        <v>7</v>
      </c>
      <c r="L87" s="37" t="s">
        <v>279</v>
      </c>
      <c r="M87" s="37" t="s">
        <v>280</v>
      </c>
      <c r="N87" s="37" t="s">
        <v>281</v>
      </c>
      <c r="O87" s="37" t="s">
        <v>282</v>
      </c>
      <c r="P87" s="37" t="s">
        <v>283</v>
      </c>
      <c r="Q87" s="37" t="s">
        <v>284</v>
      </c>
      <c r="R87" s="37" t="s">
        <v>904</v>
      </c>
      <c r="S87" s="37" t="s">
        <v>285</v>
      </c>
      <c r="T87" s="37" t="s">
        <v>289</v>
      </c>
      <c r="U87" s="37" t="s">
        <v>8</v>
      </c>
      <c r="V87" s="37" t="s">
        <v>9</v>
      </c>
      <c r="W87" s="37" t="s">
        <v>10</v>
      </c>
      <c r="X87" s="37" t="s">
        <v>100</v>
      </c>
      <c r="Y87" s="37" t="s">
        <v>106</v>
      </c>
      <c r="Z87" s="37" t="s">
        <v>12</v>
      </c>
      <c r="AA87" s="37" t="s">
        <v>11</v>
      </c>
      <c r="AB87" s="37" t="s">
        <v>13</v>
      </c>
      <c r="AC87" s="37" t="s">
        <v>74</v>
      </c>
      <c r="AD87" s="37" t="s">
        <v>21</v>
      </c>
      <c r="AE87" s="37" t="s">
        <v>14</v>
      </c>
      <c r="AF87" s="37" t="s">
        <v>15</v>
      </c>
      <c r="AG87" s="37" t="s">
        <v>16</v>
      </c>
      <c r="AH87" s="15" t="s">
        <v>17</v>
      </c>
    </row>
    <row r="88" spans="1:38" x14ac:dyDescent="0.35">
      <c r="A88" s="38">
        <v>44736</v>
      </c>
      <c r="B88" s="39" t="s">
        <v>165</v>
      </c>
      <c r="C88" s="39" t="s">
        <v>141</v>
      </c>
      <c r="D88" s="45">
        <v>132217</v>
      </c>
      <c r="E88" s="39"/>
      <c r="F88" s="39">
        <v>0</v>
      </c>
      <c r="G88" s="39">
        <v>23</v>
      </c>
      <c r="H88" s="40">
        <v>7410</v>
      </c>
      <c r="I88" s="53">
        <v>0.5</v>
      </c>
      <c r="J88" s="42">
        <f>IFERROR(K88/H88,"")</f>
        <v>0.54265101214574896</v>
      </c>
      <c r="K88" s="40">
        <v>4021.0439999999999</v>
      </c>
      <c r="L88" s="40"/>
      <c r="M88" s="40"/>
      <c r="N88" s="40"/>
      <c r="O88" s="40"/>
      <c r="P88" s="40"/>
      <c r="Q88" s="40"/>
      <c r="R88" s="40"/>
      <c r="S88" s="40"/>
      <c r="T88" s="40"/>
      <c r="U88" s="43">
        <v>285</v>
      </c>
      <c r="V88" s="43">
        <f>H88*U88*I88/15</f>
        <v>70395</v>
      </c>
      <c r="W88" s="43">
        <v>322.63</v>
      </c>
      <c r="X88" s="43">
        <v>86487.82</v>
      </c>
      <c r="Y88" s="43">
        <f>G88*60</f>
        <v>1380</v>
      </c>
      <c r="Z88" s="43">
        <v>3249.58</v>
      </c>
      <c r="AA88" s="43"/>
      <c r="AB88" s="43">
        <v>655.5</v>
      </c>
      <c r="AC88" s="43">
        <f>G88*30</f>
        <v>690</v>
      </c>
      <c r="AD88" s="43">
        <f>IF(F88="",G88*3.83,F88*3.83)</f>
        <v>0</v>
      </c>
      <c r="AE88" s="43">
        <v>172.97</v>
      </c>
      <c r="AF88" s="43">
        <f>V88+Y88+Z88+AA88+AB88+AC88+AD88</f>
        <v>76370.080000000002</v>
      </c>
      <c r="AG88" s="43">
        <f>IFERROR(IFERROR((H88*W88*J88/15)-AE88,""),"")</f>
        <v>86314.325047999984</v>
      </c>
      <c r="AH88" s="26">
        <f>IFERROR(AG88-AF88,"")</f>
        <v>9944.2450479999825</v>
      </c>
      <c r="AJ88" s="6">
        <f>AH88*30%</f>
        <v>2983.2735143999948</v>
      </c>
    </row>
    <row r="89" spans="1:38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3"/>
      <c r="AA89" s="21"/>
      <c r="AB89" s="21"/>
      <c r="AC89" s="21"/>
      <c r="AD89" s="21"/>
      <c r="AE89" s="21"/>
      <c r="AF89" s="21"/>
      <c r="AG89" s="21"/>
      <c r="AH89" s="26">
        <f>IFERROR(AH88/G88,"")</f>
        <v>432.35848034782532</v>
      </c>
    </row>
    <row r="90" spans="1:38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7">
        <f>IFERROR(AH88/AG88,"")</f>
        <v>0.11520967165612336</v>
      </c>
    </row>
    <row r="91" spans="1:38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4"/>
    </row>
    <row r="92" spans="1:38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4"/>
    </row>
    <row r="93" spans="1:38" x14ac:dyDescent="0.35">
      <c r="A93" s="37" t="s">
        <v>1</v>
      </c>
      <c r="B93" s="37" t="s">
        <v>2</v>
      </c>
      <c r="C93" s="37" t="s">
        <v>110</v>
      </c>
      <c r="D93" s="37" t="s">
        <v>66</v>
      </c>
      <c r="E93" s="37" t="s">
        <v>32</v>
      </c>
      <c r="F93" s="37" t="s">
        <v>137</v>
      </c>
      <c r="G93" s="37" t="s">
        <v>138</v>
      </c>
      <c r="H93" s="37" t="s">
        <v>4</v>
      </c>
      <c r="I93" s="37" t="s">
        <v>5</v>
      </c>
      <c r="J93" s="37" t="s">
        <v>6</v>
      </c>
      <c r="K93" s="37" t="s">
        <v>7</v>
      </c>
      <c r="L93" s="37" t="s">
        <v>279</v>
      </c>
      <c r="M93" s="37" t="s">
        <v>280</v>
      </c>
      <c r="N93" s="37" t="s">
        <v>281</v>
      </c>
      <c r="O93" s="37" t="s">
        <v>282</v>
      </c>
      <c r="P93" s="37" t="s">
        <v>283</v>
      </c>
      <c r="Q93" s="37" t="s">
        <v>284</v>
      </c>
      <c r="R93" s="37" t="s">
        <v>904</v>
      </c>
      <c r="S93" s="37" t="s">
        <v>285</v>
      </c>
      <c r="T93" s="37" t="s">
        <v>289</v>
      </c>
      <c r="U93" s="37" t="s">
        <v>8</v>
      </c>
      <c r="V93" s="37" t="s">
        <v>9</v>
      </c>
      <c r="W93" s="37" t="s">
        <v>10</v>
      </c>
      <c r="X93" s="37" t="s">
        <v>100</v>
      </c>
      <c r="Y93" s="37" t="s">
        <v>106</v>
      </c>
      <c r="Z93" s="37" t="s">
        <v>12</v>
      </c>
      <c r="AA93" s="37" t="s">
        <v>11</v>
      </c>
      <c r="AB93" s="37" t="s">
        <v>13</v>
      </c>
      <c r="AC93" s="37" t="s">
        <v>74</v>
      </c>
      <c r="AD93" s="37" t="s">
        <v>21</v>
      </c>
      <c r="AE93" s="37" t="s">
        <v>14</v>
      </c>
      <c r="AF93" s="37" t="s">
        <v>15</v>
      </c>
      <c r="AG93" s="37" t="s">
        <v>16</v>
      </c>
      <c r="AH93" s="15" t="s">
        <v>17</v>
      </c>
      <c r="AJ93" s="6">
        <f>AH94*30%</f>
        <v>5102.692931999999</v>
      </c>
    </row>
    <row r="94" spans="1:38" x14ac:dyDescent="0.35">
      <c r="A94" s="38">
        <v>44736</v>
      </c>
      <c r="B94" s="39" t="s">
        <v>166</v>
      </c>
      <c r="C94" s="39" t="s">
        <v>167</v>
      </c>
      <c r="D94" s="45">
        <v>132217</v>
      </c>
      <c r="E94" s="39"/>
      <c r="F94" s="39">
        <v>0</v>
      </c>
      <c r="G94" s="39">
        <v>60</v>
      </c>
      <c r="H94" s="40">
        <v>22220</v>
      </c>
      <c r="I94" s="53">
        <v>0.5</v>
      </c>
      <c r="J94" s="42">
        <f>IFERROR(K94/H94,"")</f>
        <v>0.51142304230423041</v>
      </c>
      <c r="K94" s="40">
        <v>11363.82</v>
      </c>
      <c r="L94" s="40"/>
      <c r="M94" s="40"/>
      <c r="N94" s="40"/>
      <c r="O94" s="40"/>
      <c r="P94" s="40"/>
      <c r="Q94" s="40"/>
      <c r="R94" s="40"/>
      <c r="S94" s="40"/>
      <c r="T94" s="40"/>
      <c r="U94" s="43">
        <v>285</v>
      </c>
      <c r="V94" s="43">
        <f>H94*U94*I94/15</f>
        <v>211090</v>
      </c>
      <c r="W94" s="43">
        <v>322.63</v>
      </c>
      <c r="X94" s="43">
        <v>244422.1</v>
      </c>
      <c r="Y94" s="43">
        <v>0</v>
      </c>
      <c r="Z94" s="43">
        <v>12322.8</v>
      </c>
      <c r="AA94" s="43"/>
      <c r="AB94" s="43">
        <v>1710</v>
      </c>
      <c r="AC94" s="43">
        <f>G94*30</f>
        <v>1800</v>
      </c>
      <c r="AD94" s="43">
        <f>IF(F94="",G94*3.83,F94*3.83)</f>
        <v>0</v>
      </c>
      <c r="AE94" s="43">
        <v>488.84</v>
      </c>
      <c r="AF94" s="43">
        <f>V94+Y94+Z94+AA94+AB94+AC94+AD94</f>
        <v>226922.8</v>
      </c>
      <c r="AG94" s="43">
        <f>IFERROR(IFERROR((H94*W94*J94/15)-AE94,""),"")</f>
        <v>243931.77643999999</v>
      </c>
      <c r="AH94" s="26">
        <f>IFERROR(AG94-AF94,"")</f>
        <v>17008.976439999999</v>
      </c>
    </row>
    <row r="95" spans="1:38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IFERROR(AH94/G94,"")</f>
        <v>283.48294066666665</v>
      </c>
      <c r="AJ95" s="74">
        <f>SUM(AJ4:AJ94)</f>
        <v>43456.010004000098</v>
      </c>
    </row>
    <row r="96" spans="1:38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6.9728416232739995E-2</v>
      </c>
      <c r="AJ96" s="1">
        <f>F4+G4+F10+G10+F16+G16+F22+G22+F28+G28+F34+G34+F40+G40+F46+G46+F52+G52+F58+G58+F64+G64+F70+G70+F76+G76+F82+G82+F88+G88+F94+G94</f>
        <v>902</v>
      </c>
      <c r="AK96" s="50" t="s">
        <v>22</v>
      </c>
      <c r="AL96" t="s">
        <v>72</v>
      </c>
    </row>
    <row r="97" spans="1:37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4"/>
      <c r="AJ97" s="11">
        <f>AH4+AH10+AH16+AH22+AH28+AH34+AH40+AH46+AH52+AH58+AH64+AH70+AH76+AH82+AH88+AH94</f>
        <v>144853.3666800003</v>
      </c>
      <c r="AK97" s="11">
        <f>AJ97*30%</f>
        <v>43456.010004000091</v>
      </c>
    </row>
    <row r="98" spans="1:37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4"/>
    </row>
    <row r="99" spans="1:37" ht="15" thickBot="1" x14ac:dyDescent="0.4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4"/>
    </row>
    <row r="100" spans="1:37" ht="16" thickBot="1" x14ac:dyDescent="0.4">
      <c r="A100" s="377" t="s">
        <v>144</v>
      </c>
      <c r="B100" s="378"/>
      <c r="C100" s="378"/>
      <c r="D100" s="378"/>
      <c r="E100" s="378"/>
      <c r="F100" s="378"/>
      <c r="G100" s="378"/>
      <c r="H100" s="378"/>
      <c r="I100" s="378"/>
      <c r="J100" s="378"/>
      <c r="K100" s="378"/>
      <c r="L100" s="46"/>
      <c r="M100" s="46"/>
      <c r="N100" s="46"/>
      <c r="O100" s="46"/>
      <c r="P100" s="46"/>
      <c r="Q100" s="46"/>
      <c r="R100" s="46"/>
      <c r="S100" s="46"/>
      <c r="T100" s="46"/>
      <c r="U100" s="30"/>
      <c r="V100" s="31">
        <f>V4+V10+V16+V22+V28+V34+V40+V46+V52+V58+V64+V70+V76+V82+V88+V94</f>
        <v>4575521.6766666668</v>
      </c>
      <c r="W100" s="30"/>
      <c r="X100" s="30"/>
      <c r="Y100" s="31">
        <f t="shared" ref="Y100:AF100" si="0">Y4+Y10+Y16+Y22+Y28+Y34+Y40+Y46+Y52+Y58+Y64+Y70+Y76+Y82+Y88+Y94</f>
        <v>30900</v>
      </c>
      <c r="Z100" s="31">
        <f t="shared" si="0"/>
        <v>183770.46999999997</v>
      </c>
      <c r="AA100" s="31">
        <f t="shared" si="0"/>
        <v>0</v>
      </c>
      <c r="AB100" s="31">
        <f t="shared" si="0"/>
        <v>34683.42</v>
      </c>
      <c r="AC100" s="31">
        <f t="shared" si="0"/>
        <v>22560</v>
      </c>
      <c r="AD100" s="31">
        <f t="shared" si="0"/>
        <v>2975.91</v>
      </c>
      <c r="AE100" s="31">
        <f t="shared" si="0"/>
        <v>10175.06</v>
      </c>
      <c r="AF100" s="31">
        <f t="shared" si="0"/>
        <v>4850411.4766666656</v>
      </c>
      <c r="AG100" s="31">
        <f>AG22+AG28+AG34+AG40+AG46+AG52+AG58+AG64+AG70+AG76+AG82+AG88+AG94</f>
        <v>3524344.7206800003</v>
      </c>
      <c r="AH100" s="32"/>
    </row>
  </sheetData>
  <mergeCells count="2">
    <mergeCell ref="U2:AC2"/>
    <mergeCell ref="A100:K10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5"/>
  <dimension ref="A1:AL99"/>
  <sheetViews>
    <sheetView zoomScale="90" zoomScaleNormal="90" workbookViewId="0">
      <selection activeCell="A24" sqref="A24:U24"/>
    </sheetView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.453125" bestFit="1" customWidth="1"/>
    <col min="17" max="18" width="11.81640625" bestFit="1" customWidth="1"/>
    <col min="19" max="19" width="4.1796875" bestFit="1" customWidth="1"/>
    <col min="20" max="20" width="4.179687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7" x14ac:dyDescent="0.35">
      <c r="A4" s="20">
        <v>44733</v>
      </c>
      <c r="B4" s="21" t="s">
        <v>145</v>
      </c>
      <c r="C4" s="21" t="s">
        <v>146</v>
      </c>
      <c r="D4" s="44">
        <v>7409</v>
      </c>
      <c r="E4" s="21"/>
      <c r="F4" s="21">
        <v>50</v>
      </c>
      <c r="G4" s="21"/>
      <c r="H4" s="22">
        <v>30060</v>
      </c>
      <c r="I4" s="23">
        <v>0.53</v>
      </c>
      <c r="J4" s="24">
        <f>IFERROR(K4/H4,"")</f>
        <v>0.52663007318695942</v>
      </c>
      <c r="K4" s="22">
        <v>15830.5</v>
      </c>
      <c r="L4" s="22"/>
      <c r="M4" s="22"/>
      <c r="N4" s="22"/>
      <c r="O4" s="22"/>
      <c r="P4" s="22"/>
      <c r="Q4" s="22"/>
      <c r="R4" s="22"/>
      <c r="S4" s="22"/>
      <c r="T4" s="22"/>
      <c r="U4" s="25">
        <v>300</v>
      </c>
      <c r="V4" s="25">
        <f>H4*U4*I4/15</f>
        <v>318636</v>
      </c>
      <c r="W4" s="25">
        <v>304.19</v>
      </c>
      <c r="X4" s="25">
        <v>321032.57</v>
      </c>
      <c r="Y4" s="77">
        <v>0</v>
      </c>
      <c r="Z4" s="25">
        <v>10614</v>
      </c>
      <c r="AA4" s="25"/>
      <c r="AB4" s="25">
        <v>1500</v>
      </c>
      <c r="AC4" s="25">
        <f>F4*30</f>
        <v>1500</v>
      </c>
      <c r="AD4" s="25">
        <f>IF(F4="",G4*3.83,F4*3.83)</f>
        <v>191.5</v>
      </c>
      <c r="AE4" s="25">
        <v>642.05999999999995</v>
      </c>
      <c r="AF4" s="25">
        <f>V4+Y4+Z4+AA4+AB4+AC4+AD4</f>
        <v>332441.5</v>
      </c>
      <c r="AG4" s="25">
        <f>IFERROR(IFERROR((H4*W4*J4/15)-AE4,""),"")</f>
        <v>320389.92633333331</v>
      </c>
      <c r="AH4" s="26">
        <f>IFERROR(AG4-AF4,"")</f>
        <v>-12051.573666666693</v>
      </c>
    </row>
    <row r="5" spans="1:37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IFERROR(AH4/F4,"")</f>
        <v>-241.03147333333385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-3.7615332680991501E-2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7" x14ac:dyDescent="0.35">
      <c r="A10" s="20">
        <v>44739</v>
      </c>
      <c r="B10" s="21" t="s">
        <v>169</v>
      </c>
      <c r="C10" s="21" t="s">
        <v>170</v>
      </c>
      <c r="D10" s="44">
        <v>132190</v>
      </c>
      <c r="E10" s="21"/>
      <c r="F10" s="21"/>
      <c r="G10" s="21">
        <v>185</v>
      </c>
      <c r="H10" s="22">
        <v>64800</v>
      </c>
      <c r="I10" s="33">
        <v>0.5</v>
      </c>
      <c r="J10" s="24">
        <f>IFERROR(K10/H10,"")</f>
        <v>0.49363425925925924</v>
      </c>
      <c r="K10" s="22">
        <v>31987.5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285</v>
      </c>
      <c r="V10" s="25">
        <f>H10*U10*I10/15</f>
        <v>615600</v>
      </c>
      <c r="W10" s="25">
        <v>325.89999999999998</v>
      </c>
      <c r="X10" s="25">
        <v>694988.85</v>
      </c>
      <c r="Y10" s="25">
        <f>G10*60</f>
        <v>11100</v>
      </c>
      <c r="Z10" s="25">
        <v>55729.2</v>
      </c>
      <c r="AA10" s="25"/>
      <c r="AB10" s="25">
        <v>5272.5</v>
      </c>
      <c r="AC10" s="25">
        <f>G10*30</f>
        <v>5550</v>
      </c>
      <c r="AD10" s="25">
        <f>IF(F10="",G10*3.83,F10*3.83)</f>
        <v>708.55000000000007</v>
      </c>
      <c r="AE10" s="25">
        <v>1389.99</v>
      </c>
      <c r="AF10" s="25">
        <f>V10+Y10+Z10+AA10+AB10+AC10+AD10</f>
        <v>693960.25</v>
      </c>
      <c r="AG10" s="25">
        <f>IFERROR(IFERROR((H10*W10*J10/15)-AE10,""),"")</f>
        <v>693591.76</v>
      </c>
      <c r="AH10" s="26">
        <f>IFERROR(AG10-AF10,"")</f>
        <v>-368.48999999999069</v>
      </c>
    </row>
    <row r="11" spans="1:3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IFERROR(AH10/G10,"")</f>
        <v>-1.9918378378377875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-5.3127793790397782E-4</v>
      </c>
      <c r="AJ12" s="6"/>
    </row>
    <row r="15" spans="1:37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7" x14ac:dyDescent="0.35">
      <c r="A16" s="20">
        <v>44739</v>
      </c>
      <c r="B16" s="21" t="s">
        <v>171</v>
      </c>
      <c r="C16" s="21" t="s">
        <v>172</v>
      </c>
      <c r="D16" s="44">
        <v>7409</v>
      </c>
      <c r="E16" s="21"/>
      <c r="F16" s="21">
        <v>50</v>
      </c>
      <c r="G16" s="21"/>
      <c r="H16" s="22">
        <v>30600</v>
      </c>
      <c r="I16" s="33">
        <v>0.53</v>
      </c>
      <c r="J16" s="24">
        <f>IFERROR(K16/H16,"")</f>
        <v>0.5173366013071895</v>
      </c>
      <c r="K16" s="22">
        <v>15830.5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300</v>
      </c>
      <c r="V16" s="25">
        <f>H16*U16*I16/15</f>
        <v>324360</v>
      </c>
      <c r="W16" s="25">
        <v>304.19</v>
      </c>
      <c r="X16" s="25">
        <v>321032.57</v>
      </c>
      <c r="Y16" s="25">
        <f>F16*80</f>
        <v>4000</v>
      </c>
      <c r="Z16" s="25">
        <v>11566</v>
      </c>
      <c r="AA16" s="25"/>
      <c r="AB16" s="25">
        <v>1500</v>
      </c>
      <c r="AC16" s="25">
        <f>F16*30</f>
        <v>1500</v>
      </c>
      <c r="AD16" s="25">
        <f>IF(F16="",G16*3.83,F16*3.83)</f>
        <v>191.5</v>
      </c>
      <c r="AE16" s="25">
        <v>642.05999999999995</v>
      </c>
      <c r="AF16" s="25">
        <f>V16+Y16+Z16+AA16+AB16+AC16+AD16</f>
        <v>343117.5</v>
      </c>
      <c r="AG16" s="25">
        <f>IFERROR(IFERROR((H16*W16*J16/15)-AE16,""),"")</f>
        <v>320389.92633333331</v>
      </c>
      <c r="AH16" s="26">
        <f>IFERROR(AG16-AF16,"")</f>
        <v>-22727.573666666693</v>
      </c>
      <c r="AJ16" s="6"/>
      <c r="AK16" s="6"/>
    </row>
    <row r="17" spans="1:37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-454.55147333333383</v>
      </c>
      <c r="AK17" s="63"/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-7.093722929047698E-2</v>
      </c>
      <c r="AK18" s="63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7" x14ac:dyDescent="0.35">
      <c r="A21" s="66" t="s">
        <v>1</v>
      </c>
      <c r="B21" s="66" t="s">
        <v>2</v>
      </c>
      <c r="C21" s="66" t="s">
        <v>110</v>
      </c>
      <c r="D21" s="66" t="s">
        <v>66</v>
      </c>
      <c r="E21" s="66" t="s">
        <v>32</v>
      </c>
      <c r="F21" s="66" t="s">
        <v>137</v>
      </c>
      <c r="G21" s="66" t="s">
        <v>138</v>
      </c>
      <c r="H21" s="66" t="s">
        <v>4</v>
      </c>
      <c r="I21" s="66" t="s">
        <v>5</v>
      </c>
      <c r="J21" s="66" t="s">
        <v>6</v>
      </c>
      <c r="K21" s="66" t="s">
        <v>7</v>
      </c>
      <c r="L21" s="66" t="s">
        <v>279</v>
      </c>
      <c r="M21" s="66" t="s">
        <v>280</v>
      </c>
      <c r="N21" s="66" t="s">
        <v>281</v>
      </c>
      <c r="O21" s="66" t="s">
        <v>282</v>
      </c>
      <c r="P21" s="66" t="s">
        <v>283</v>
      </c>
      <c r="Q21" s="66" t="s">
        <v>284</v>
      </c>
      <c r="R21" s="66" t="s">
        <v>904</v>
      </c>
      <c r="S21" s="66" t="s">
        <v>285</v>
      </c>
      <c r="T21" s="66" t="s">
        <v>289</v>
      </c>
      <c r="U21" s="66" t="s">
        <v>8</v>
      </c>
      <c r="V21" s="66" t="s">
        <v>9</v>
      </c>
      <c r="W21" s="66" t="s">
        <v>10</v>
      </c>
      <c r="X21" s="66" t="s">
        <v>100</v>
      </c>
      <c r="Y21" s="66" t="s">
        <v>106</v>
      </c>
      <c r="Z21" s="66" t="s">
        <v>12</v>
      </c>
      <c r="AA21" s="66" t="s">
        <v>11</v>
      </c>
      <c r="AB21" s="66" t="s">
        <v>13</v>
      </c>
      <c r="AC21" s="66" t="s">
        <v>74</v>
      </c>
      <c r="AD21" s="66" t="s">
        <v>21</v>
      </c>
      <c r="AE21" s="66" t="s">
        <v>14</v>
      </c>
      <c r="AF21" s="66" t="s">
        <v>15</v>
      </c>
      <c r="AG21" s="66" t="s">
        <v>16</v>
      </c>
      <c r="AH21" s="15" t="s">
        <v>17</v>
      </c>
      <c r="AK21" s="63"/>
    </row>
    <row r="22" spans="1:37" x14ac:dyDescent="0.35">
      <c r="A22" s="67">
        <v>44739</v>
      </c>
      <c r="B22" s="68" t="s">
        <v>173</v>
      </c>
      <c r="C22" s="68" t="s">
        <v>174</v>
      </c>
      <c r="D22" s="69">
        <v>1</v>
      </c>
      <c r="E22" s="68"/>
      <c r="F22" s="68"/>
      <c r="G22" s="68">
        <v>130</v>
      </c>
      <c r="H22" s="70">
        <v>36940</v>
      </c>
      <c r="I22" s="71">
        <v>0.5</v>
      </c>
      <c r="J22" s="72">
        <f>IFERROR(K22/H22,"")</f>
        <v>0.5</v>
      </c>
      <c r="K22" s="70">
        <v>18470</v>
      </c>
      <c r="L22" s="70"/>
      <c r="M22" s="70"/>
      <c r="N22" s="70"/>
      <c r="O22" s="70"/>
      <c r="P22" s="70"/>
      <c r="Q22" s="70"/>
      <c r="R22" s="70"/>
      <c r="S22" s="70"/>
      <c r="T22" s="70"/>
      <c r="U22" s="73">
        <v>280</v>
      </c>
      <c r="V22" s="73">
        <f>H22*U22*I22/15</f>
        <v>344773.33333333331</v>
      </c>
      <c r="W22" s="73">
        <v>322</v>
      </c>
      <c r="X22" s="73">
        <v>396489.33</v>
      </c>
      <c r="Y22" s="73">
        <f>G22*60</f>
        <v>7800</v>
      </c>
      <c r="Z22" s="73">
        <v>28716.799999999999</v>
      </c>
      <c r="AA22" s="73"/>
      <c r="AB22" s="73">
        <v>0</v>
      </c>
      <c r="AC22" s="73">
        <f>G22*30</f>
        <v>3900</v>
      </c>
      <c r="AD22" s="73">
        <f>IF(F22="",G22*3.83,F22*3.83)</f>
        <v>497.90000000000003</v>
      </c>
      <c r="AE22" s="73">
        <v>0</v>
      </c>
      <c r="AF22" s="73">
        <f>V22+Y22+Z22+AA22+AB22+AC22+AD22</f>
        <v>385688.03333333333</v>
      </c>
      <c r="AG22" s="73">
        <f>IFERROR(IFERROR((H22*W22*J22/15)-AE22,""),"")</f>
        <v>396489.33333333331</v>
      </c>
      <c r="AH22" s="26">
        <f>IFERROR(AG22-AF22,"")</f>
        <v>10801.299999999988</v>
      </c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AH22/G22</f>
        <v>83.086923076922986</v>
      </c>
    </row>
    <row r="24" spans="1:3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2.7242346998826338E-2</v>
      </c>
    </row>
    <row r="25" spans="1:3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7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 t="s">
        <v>32</v>
      </c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11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7" x14ac:dyDescent="0.35">
      <c r="A28" s="20">
        <v>44740</v>
      </c>
      <c r="B28" s="21" t="s">
        <v>26</v>
      </c>
      <c r="C28" s="21" t="s">
        <v>141</v>
      </c>
      <c r="D28" s="44">
        <v>132366</v>
      </c>
      <c r="E28" s="21"/>
      <c r="F28" s="21">
        <v>50</v>
      </c>
      <c r="G28" s="21"/>
      <c r="H28" s="22">
        <v>25680</v>
      </c>
      <c r="I28" s="33">
        <v>0.52</v>
      </c>
      <c r="J28" s="24">
        <f>IFERROR(K28/H28,"")</f>
        <v>0.52538940809968848</v>
      </c>
      <c r="K28" s="22">
        <v>13492</v>
      </c>
      <c r="L28" s="22"/>
      <c r="M28" s="22"/>
      <c r="N28" s="22"/>
      <c r="O28" s="22"/>
      <c r="P28" s="22"/>
      <c r="Q28" s="22"/>
      <c r="R28" s="22"/>
      <c r="S28" s="22"/>
      <c r="T28" s="22"/>
      <c r="U28" s="25">
        <v>300</v>
      </c>
      <c r="V28" s="25">
        <f>H28*U28*I28/15</f>
        <v>267072</v>
      </c>
      <c r="W28" s="25">
        <v>336.85</v>
      </c>
      <c r="X28" s="25">
        <v>302983.46999999997</v>
      </c>
      <c r="Y28" s="75">
        <v>0</v>
      </c>
      <c r="Z28" s="25">
        <v>7868</v>
      </c>
      <c r="AA28" s="25"/>
      <c r="AB28" s="25">
        <v>1500</v>
      </c>
      <c r="AC28" s="25">
        <f>F28*30</f>
        <v>1500</v>
      </c>
      <c r="AD28" s="25">
        <f>IF(F28="",G28*3.83,F28*3.83)</f>
        <v>191.5</v>
      </c>
      <c r="AE28" s="25">
        <v>605.97</v>
      </c>
      <c r="AF28" s="25">
        <f>V28+Y28+Z28+AA28+AB28+AC28+AD28</f>
        <v>278131.5</v>
      </c>
      <c r="AG28" s="25">
        <f>IFERROR(IFERROR((H28*W28*J28/15)-AE28,""),"")</f>
        <v>302379.37666666671</v>
      </c>
      <c r="AH28" s="26">
        <f>IFERROR(AG28-AF28,"")</f>
        <v>24247.876666666707</v>
      </c>
    </row>
    <row r="29" spans="1:37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IFERROR(AH28/F28,"")</f>
        <v>484.95753333333414</v>
      </c>
    </row>
    <row r="30" spans="1:37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8.0190246219724121E-2</v>
      </c>
    </row>
    <row r="31" spans="1:37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7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7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32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11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37" x14ac:dyDescent="0.35">
      <c r="A34" s="20">
        <v>44740</v>
      </c>
      <c r="B34" s="21" t="s">
        <v>96</v>
      </c>
      <c r="C34" s="21" t="s">
        <v>163</v>
      </c>
      <c r="D34" s="44">
        <v>132193</v>
      </c>
      <c r="E34" s="21"/>
      <c r="F34" s="21"/>
      <c r="G34" s="21">
        <v>60</v>
      </c>
      <c r="H34" s="22">
        <v>21900</v>
      </c>
      <c r="I34" s="33">
        <v>0.5</v>
      </c>
      <c r="J34" s="24">
        <f>IFERROR(K34/H34,"")</f>
        <v>0.50146118721461186</v>
      </c>
      <c r="K34" s="22">
        <v>10982</v>
      </c>
      <c r="L34" s="22"/>
      <c r="M34" s="22"/>
      <c r="N34" s="22"/>
      <c r="O34" s="22"/>
      <c r="P34" s="22"/>
      <c r="Q34" s="22"/>
      <c r="R34" s="22"/>
      <c r="S34" s="22"/>
      <c r="T34" s="22"/>
      <c r="U34" s="25">
        <v>290</v>
      </c>
      <c r="V34" s="25">
        <f>H34*U34*I34/15</f>
        <v>211700</v>
      </c>
      <c r="W34" s="25">
        <v>327.33</v>
      </c>
      <c r="X34" s="25">
        <v>239647.08</v>
      </c>
      <c r="Y34" s="75">
        <f>F34*100</f>
        <v>0</v>
      </c>
      <c r="Z34" s="25">
        <v>11246.4</v>
      </c>
      <c r="AA34" s="25"/>
      <c r="AB34" s="25">
        <v>1740</v>
      </c>
      <c r="AC34" s="25">
        <f>G34*30</f>
        <v>1800</v>
      </c>
      <c r="AD34" s="25">
        <f>IF(F34="",G34*3.83,F34*3.83)</f>
        <v>229.8</v>
      </c>
      <c r="AE34" s="25">
        <v>479.3</v>
      </c>
      <c r="AF34" s="25">
        <f>V34+Y34+Z34+AA34+AB34+AC34+AD34</f>
        <v>226716.19999999998</v>
      </c>
      <c r="AG34" s="25">
        <f>IFERROR(IFERROR((H34*W34*J34/15)-AE34,""),"")</f>
        <v>239169.90400000001</v>
      </c>
      <c r="AH34" s="26">
        <f>IFERROR(AG34-AF34,"")</f>
        <v>12453.704000000027</v>
      </c>
    </row>
    <row r="35" spans="1:37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IFERROR(AH34/G34,"")</f>
        <v>207.56173333333379</v>
      </c>
    </row>
    <row r="36" spans="1:37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5.2070531416026432E-2</v>
      </c>
    </row>
    <row r="37" spans="1:37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7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37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 t="s">
        <v>32</v>
      </c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11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</row>
    <row r="40" spans="1:37" x14ac:dyDescent="0.35">
      <c r="A40" s="20">
        <v>44741</v>
      </c>
      <c r="B40" s="21" t="s">
        <v>175</v>
      </c>
      <c r="C40" s="21" t="s">
        <v>111</v>
      </c>
      <c r="D40" s="44">
        <v>7474</v>
      </c>
      <c r="E40" s="21"/>
      <c r="F40" s="21">
        <v>195</v>
      </c>
      <c r="G40" s="21"/>
      <c r="H40" s="22">
        <v>111824.7</v>
      </c>
      <c r="I40" s="33">
        <v>0.53</v>
      </c>
      <c r="J40" s="24">
        <f>IFERROR(K40/H40,"")</f>
        <v>0.53098734000627767</v>
      </c>
      <c r="K40" s="22">
        <v>59377.5</v>
      </c>
      <c r="L40" s="22"/>
      <c r="M40" s="22"/>
      <c r="N40" s="22"/>
      <c r="O40" s="22"/>
      <c r="P40" s="22"/>
      <c r="Q40" s="22"/>
      <c r="R40" s="22"/>
      <c r="S40" s="22"/>
      <c r="T40" s="22"/>
      <c r="U40" s="25">
        <v>303</v>
      </c>
      <c r="V40" s="25">
        <f>H40*U40*I40/15</f>
        <v>1197195.2382000003</v>
      </c>
      <c r="W40" s="25">
        <v>320</v>
      </c>
      <c r="X40" s="25">
        <v>1266720</v>
      </c>
      <c r="Y40" s="25">
        <f>F40*100</f>
        <v>19500</v>
      </c>
      <c r="Z40" s="25">
        <v>17112</v>
      </c>
      <c r="AA40" s="25"/>
      <c r="AB40" s="25">
        <v>6060</v>
      </c>
      <c r="AC40" s="25">
        <v>0</v>
      </c>
      <c r="AD40" s="25">
        <f>IF(F40="",G40*3.83,F40*3.83)</f>
        <v>746.85</v>
      </c>
      <c r="AE40" s="25">
        <v>2533.44</v>
      </c>
      <c r="AF40" s="25">
        <f>V40+Y40+Z40+AA40+AB40+AC40+AD40</f>
        <v>1240614.0882000003</v>
      </c>
      <c r="AG40" s="25">
        <f>IFERROR(IFERROR((H40*W40*J40/15)-AE40,""),"")</f>
        <v>1264186.56</v>
      </c>
      <c r="AH40" s="26">
        <f>IFERROR(AG40-AF40,"")</f>
        <v>23572.471799999708</v>
      </c>
    </row>
    <row r="41" spans="1:37" x14ac:dyDescent="0.35">
      <c r="A41" s="21"/>
      <c r="B41" s="21"/>
      <c r="C41" s="21"/>
      <c r="D41" s="21"/>
      <c r="E41" s="21"/>
      <c r="F41" s="21">
        <v>200</v>
      </c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IFERROR(AH40/F40,"")</f>
        <v>120.88447076922927</v>
      </c>
    </row>
    <row r="42" spans="1:37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1.8646355329073983E-2</v>
      </c>
    </row>
    <row r="44" spans="1:37" x14ac:dyDescent="0.35">
      <c r="AJ44" s="6"/>
      <c r="AK44" s="6"/>
    </row>
    <row r="45" spans="1:37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 t="s">
        <v>32</v>
      </c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11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J45" s="6"/>
      <c r="AK45" s="6"/>
    </row>
    <row r="46" spans="1:37" x14ac:dyDescent="0.35">
      <c r="A46" s="20">
        <v>44741</v>
      </c>
      <c r="B46" s="21" t="s">
        <v>176</v>
      </c>
      <c r="C46" s="21" t="s">
        <v>177</v>
      </c>
      <c r="D46" s="44">
        <v>132426</v>
      </c>
      <c r="E46" s="21"/>
      <c r="F46" s="21"/>
      <c r="G46" s="21">
        <v>64</v>
      </c>
      <c r="H46" s="22">
        <v>23433.84</v>
      </c>
      <c r="I46" s="33">
        <v>0.5</v>
      </c>
      <c r="J46" s="24">
        <f>IFERROR(K46/H46,"")</f>
        <v>0.4913834010985822</v>
      </c>
      <c r="K46" s="22">
        <v>11515</v>
      </c>
      <c r="L46" s="22"/>
      <c r="M46" s="22"/>
      <c r="N46" s="22"/>
      <c r="O46" s="22"/>
      <c r="P46" s="22"/>
      <c r="Q46" s="22"/>
      <c r="R46" s="22"/>
      <c r="S46" s="22"/>
      <c r="T46" s="22"/>
      <c r="U46" s="25">
        <v>290</v>
      </c>
      <c r="V46" s="25">
        <f>H46*U46*I46/15</f>
        <v>226527.12</v>
      </c>
      <c r="W46" s="25">
        <v>327.19</v>
      </c>
      <c r="X46" s="25">
        <v>251170.2</v>
      </c>
      <c r="Y46" s="75">
        <v>0</v>
      </c>
      <c r="Z46" s="25">
        <v>9706.4</v>
      </c>
      <c r="AA46" s="25"/>
      <c r="AB46" s="25">
        <v>1856</v>
      </c>
      <c r="AC46" s="25">
        <f>G46*30</f>
        <v>1920</v>
      </c>
      <c r="AD46" s="25">
        <f>IF(F46="",G46*3.83,F46*3.83)</f>
        <v>245.12</v>
      </c>
      <c r="AE46" s="25">
        <v>502.34</v>
      </c>
      <c r="AF46" s="25">
        <f>V46+Y46+Z46+AA46+AB46+AC46+AD46</f>
        <v>240254.63999999998</v>
      </c>
      <c r="AG46" s="25">
        <f>IFERROR(IFERROR((H46*W46*J46/15)-AE46,""),"")</f>
        <v>250670.51666666663</v>
      </c>
      <c r="AH46" s="26">
        <f>IFERROR(AG46-AF46,"")</f>
        <v>10415.876666666649</v>
      </c>
      <c r="AJ46" s="11"/>
      <c r="AK46" s="11"/>
    </row>
    <row r="47" spans="1:3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IFERROR(AH46/G46,"")</f>
        <v>162.74807291666639</v>
      </c>
      <c r="AJ47" s="11"/>
      <c r="AK47" s="11"/>
    </row>
    <row r="48" spans="1:3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4.1552061268207846E-2</v>
      </c>
      <c r="AJ48" s="11"/>
      <c r="AK48" s="11"/>
    </row>
    <row r="49" spans="1:37" x14ac:dyDescent="0.35">
      <c r="AJ49" s="11"/>
      <c r="AK49" s="11"/>
    </row>
    <row r="50" spans="1:37" x14ac:dyDescent="0.35">
      <c r="AJ50" s="11"/>
      <c r="AK50" s="11"/>
    </row>
    <row r="51" spans="1:37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 t="s">
        <v>32</v>
      </c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11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J51" s="11"/>
      <c r="AK51" s="11"/>
    </row>
    <row r="52" spans="1:37" x14ac:dyDescent="0.35">
      <c r="A52" s="20">
        <v>44741</v>
      </c>
      <c r="B52" s="21" t="s">
        <v>176</v>
      </c>
      <c r="C52" s="21" t="s">
        <v>177</v>
      </c>
      <c r="D52" s="44">
        <v>132194</v>
      </c>
      <c r="E52" s="21"/>
      <c r="F52" s="21"/>
      <c r="G52" s="21">
        <v>195</v>
      </c>
      <c r="H52" s="22">
        <v>70280</v>
      </c>
      <c r="I52" s="33">
        <v>0.5</v>
      </c>
      <c r="J52" s="24">
        <f>IFERROR(K52/H52,"")</f>
        <v>0.48319578827546955</v>
      </c>
      <c r="K52" s="22">
        <v>33959</v>
      </c>
      <c r="L52" s="22"/>
      <c r="M52" s="22"/>
      <c r="N52" s="22"/>
      <c r="O52" s="22"/>
      <c r="P52" s="22"/>
      <c r="Q52" s="22"/>
      <c r="R52" s="22"/>
      <c r="S52" s="22"/>
      <c r="T52" s="22"/>
      <c r="U52" s="25">
        <v>290</v>
      </c>
      <c r="V52" s="25">
        <f>H52*U52*I52/15</f>
        <v>679373.33333333337</v>
      </c>
      <c r="W52" s="25">
        <v>322.68</v>
      </c>
      <c r="X52" s="25">
        <v>730529.67</v>
      </c>
      <c r="Y52" s="75">
        <v>0</v>
      </c>
      <c r="Z52" s="25">
        <v>38919.199999999997</v>
      </c>
      <c r="AA52" s="25"/>
      <c r="AB52" s="25">
        <v>5655</v>
      </c>
      <c r="AC52" s="25">
        <f>G52*30</f>
        <v>5850</v>
      </c>
      <c r="AD52" s="25">
        <f>IF(F52="",G52*3.83,F52*3.83)</f>
        <v>746.85</v>
      </c>
      <c r="AE52" s="25">
        <v>1461.06</v>
      </c>
      <c r="AF52" s="25">
        <f>V52+Y52+Z52+AA52+AB52+AC52+AD52</f>
        <v>730544.3833333333</v>
      </c>
      <c r="AG52" s="25">
        <f>IFERROR(IFERROR((H52*W52*J52/15)-AE52,""),"")</f>
        <v>729064.94799999997</v>
      </c>
      <c r="AH52" s="26">
        <f>IFERROR(AG52-AF52,"")</f>
        <v>-1479.4353333333274</v>
      </c>
      <c r="AJ52" s="11"/>
      <c r="AK52" s="11"/>
    </row>
    <row r="53" spans="1:3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IFERROR(AH52/G52,"")</f>
        <v>-7.5868478632478329</v>
      </c>
      <c r="AJ53" s="11"/>
      <c r="AK53" s="11"/>
    </row>
    <row r="54" spans="1:3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-2.0292229620855772E-3</v>
      </c>
      <c r="AJ54" s="11"/>
      <c r="AK54" s="11"/>
    </row>
    <row r="55" spans="1:37" x14ac:dyDescent="0.35">
      <c r="AJ55" s="11"/>
      <c r="AK55" s="11"/>
    </row>
    <row r="56" spans="1:37" x14ac:dyDescent="0.35">
      <c r="AJ56" s="11"/>
      <c r="AK56" s="11"/>
    </row>
    <row r="57" spans="1:37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 t="s">
        <v>32</v>
      </c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11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J57" s="11"/>
      <c r="AK57" s="11"/>
    </row>
    <row r="58" spans="1:37" x14ac:dyDescent="0.35">
      <c r="A58" s="20">
        <v>44743</v>
      </c>
      <c r="B58" s="21" t="s">
        <v>176</v>
      </c>
      <c r="C58" s="21" t="s">
        <v>177</v>
      </c>
      <c r="D58" s="44">
        <v>132330</v>
      </c>
      <c r="E58" s="21"/>
      <c r="F58" s="21"/>
      <c r="G58" s="21">
        <v>65</v>
      </c>
      <c r="H58" s="22">
        <v>24540</v>
      </c>
      <c r="I58" s="33">
        <v>0.5</v>
      </c>
      <c r="J58" s="24">
        <f>IFERROR(K58/H58,"")</f>
        <v>0.4762064792176039</v>
      </c>
      <c r="K58" s="78">
        <v>11686.107</v>
      </c>
      <c r="L58" s="78"/>
      <c r="M58" s="78"/>
      <c r="N58" s="78"/>
      <c r="O58" s="78"/>
      <c r="P58" s="78"/>
      <c r="Q58" s="78"/>
      <c r="R58" s="78"/>
      <c r="S58" s="78"/>
      <c r="T58" s="78"/>
      <c r="U58" s="25">
        <v>290</v>
      </c>
      <c r="V58" s="25">
        <f>H58*U58*I58/15</f>
        <v>237220</v>
      </c>
      <c r="W58" s="25">
        <v>320.69</v>
      </c>
      <c r="X58" s="25">
        <v>249841.1</v>
      </c>
      <c r="Y58" s="75">
        <v>0</v>
      </c>
      <c r="Z58" s="25">
        <v>10002</v>
      </c>
      <c r="AA58" s="25"/>
      <c r="AB58" s="25">
        <v>1885</v>
      </c>
      <c r="AC58" s="25">
        <f>G58*30</f>
        <v>1950</v>
      </c>
      <c r="AD58" s="25">
        <f>IF(F58="",G58*3.83,F58*3.83)</f>
        <v>248.95000000000002</v>
      </c>
      <c r="AE58" s="25">
        <v>499.67</v>
      </c>
      <c r="AF58" s="25">
        <f>V58+Y58+Z58+AA58+AB58+AC58+AD58</f>
        <v>251305.95</v>
      </c>
      <c r="AG58" s="25">
        <f>IFERROR(IFERROR((H58*W58*J58/15)-AE58,""),"")</f>
        <v>249341.50692199997</v>
      </c>
      <c r="AH58" s="26">
        <f>IFERROR(AG58-AF58,"")</f>
        <v>-1964.4430780000403</v>
      </c>
      <c r="AJ58" s="11"/>
      <c r="AK58" s="11"/>
    </row>
    <row r="59" spans="1:3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IFERROR(AH58/G58,"")</f>
        <v>-30.222201200000619</v>
      </c>
    </row>
    <row r="60" spans="1:3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-7.8785241264085464E-3</v>
      </c>
    </row>
    <row r="63" spans="1:37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32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11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</row>
    <row r="64" spans="1:37" x14ac:dyDescent="0.35">
      <c r="A64" s="20">
        <v>44743</v>
      </c>
      <c r="B64" s="21" t="s">
        <v>178</v>
      </c>
      <c r="C64" s="21" t="s">
        <v>161</v>
      </c>
      <c r="D64" s="44">
        <v>132330</v>
      </c>
      <c r="E64" s="21"/>
      <c r="F64" s="21"/>
      <c r="G64" s="21">
        <v>65</v>
      </c>
      <c r="H64" s="22">
        <v>21600</v>
      </c>
      <c r="I64" s="33">
        <v>0.5</v>
      </c>
      <c r="J64" s="24">
        <f>IFERROR(K64/H64,"")</f>
        <v>0.54102347222222225</v>
      </c>
      <c r="K64" s="78">
        <v>11686.107</v>
      </c>
      <c r="L64" s="78"/>
      <c r="M64" s="78"/>
      <c r="N64" s="78"/>
      <c r="O64" s="78"/>
      <c r="P64" s="78"/>
      <c r="Q64" s="78"/>
      <c r="R64" s="78"/>
      <c r="S64" s="78"/>
      <c r="T64" s="78"/>
      <c r="U64" s="25">
        <v>290</v>
      </c>
      <c r="V64" s="25">
        <f>H64*U64*I64/15</f>
        <v>208800</v>
      </c>
      <c r="W64" s="76">
        <v>320.69</v>
      </c>
      <c r="X64" s="25">
        <v>249841.1</v>
      </c>
      <c r="Y64" s="65">
        <f>G64*60</f>
        <v>3900</v>
      </c>
      <c r="Z64" s="25">
        <v>12103.2</v>
      </c>
      <c r="AA64" s="25"/>
      <c r="AB64" s="25">
        <v>1885</v>
      </c>
      <c r="AC64" s="25">
        <f>G64*30</f>
        <v>1950</v>
      </c>
      <c r="AD64" s="25">
        <f>IF(F64="",G64*3.83,F64*3.83)</f>
        <v>248.95000000000002</v>
      </c>
      <c r="AE64" s="25">
        <v>499.67</v>
      </c>
      <c r="AF64" s="25">
        <f>V64+Y64+Z64+AA64+AB64+AC64+AD64</f>
        <v>228887.15000000002</v>
      </c>
      <c r="AG64" s="25">
        <f>IFERROR(IFERROR((H64*W64*J64/15)-AE64,""),"")</f>
        <v>249341.506922</v>
      </c>
      <c r="AH64" s="26">
        <f>IFERROR(AG64-AF64,"")</f>
        <v>20454.356921999977</v>
      </c>
    </row>
    <row r="65" spans="1:38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IFERROR(AH64/G64,"")</f>
        <v>314.68241418461503</v>
      </c>
    </row>
    <row r="66" spans="1:38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8.2033501660028832E-2</v>
      </c>
    </row>
    <row r="69" spans="1:38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 t="s">
        <v>32</v>
      </c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187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</row>
    <row r="70" spans="1:38" x14ac:dyDescent="0.35">
      <c r="A70" s="20">
        <v>44743</v>
      </c>
      <c r="B70" s="21" t="s">
        <v>179</v>
      </c>
      <c r="C70" s="21" t="s">
        <v>180</v>
      </c>
      <c r="D70" s="44">
        <v>132331</v>
      </c>
      <c r="E70" s="21"/>
      <c r="F70" s="21">
        <v>100</v>
      </c>
      <c r="G70" s="21"/>
      <c r="H70" s="22">
        <v>50905</v>
      </c>
      <c r="I70" s="33">
        <v>0.53</v>
      </c>
      <c r="J70" s="24">
        <f>IFERROR(K70/H70,"")</f>
        <v>0.51715941459581571</v>
      </c>
      <c r="K70" s="22">
        <v>26326</v>
      </c>
      <c r="L70" s="22"/>
      <c r="M70" s="22"/>
      <c r="N70" s="22"/>
      <c r="O70" s="22"/>
      <c r="P70" s="22"/>
      <c r="Q70" s="22"/>
      <c r="R70" s="22"/>
      <c r="S70" s="22"/>
      <c r="T70" s="22"/>
      <c r="U70" s="25">
        <v>300</v>
      </c>
      <c r="V70" s="25">
        <f>H70*U70*I70/15</f>
        <v>539593</v>
      </c>
      <c r="W70" s="76">
        <v>330.32</v>
      </c>
      <c r="X70" s="25">
        <v>579731.81999999995</v>
      </c>
      <c r="Y70" s="65">
        <f>F70*80</f>
        <v>8000</v>
      </c>
      <c r="Z70" s="25">
        <v>27792.799999999999</v>
      </c>
      <c r="AA70" s="25">
        <v>3305</v>
      </c>
      <c r="AB70" s="25">
        <v>3000</v>
      </c>
      <c r="AC70" s="25">
        <f>F70*30</f>
        <v>3000</v>
      </c>
      <c r="AD70" s="25">
        <f>IF(F70="",G70*3.83,F70*3.83)</f>
        <v>383</v>
      </c>
      <c r="AE70" s="25">
        <v>1159.46</v>
      </c>
      <c r="AF70" s="25">
        <f>V70+Y70+Z70+AA70+AB70+AC70+AD70</f>
        <v>585073.80000000005</v>
      </c>
      <c r="AG70" s="25">
        <f>IFERROR(IFERROR((H70*W70*J70/15)-AE70,""),"")</f>
        <v>578574.16133333335</v>
      </c>
      <c r="AH70" s="26">
        <f>IFERROR(AG70-AF70,"")</f>
        <v>-6499.6386666666949</v>
      </c>
    </row>
    <row r="71" spans="1:38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IFERROR(AH70/F70,"")</f>
        <v>-64.99638666666695</v>
      </c>
    </row>
    <row r="72" spans="1:38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-1.1233890313539364E-2</v>
      </c>
    </row>
    <row r="75" spans="1:38" x14ac:dyDescent="0.35">
      <c r="A75" s="14" t="s">
        <v>1</v>
      </c>
      <c r="B75" s="14" t="s">
        <v>2</v>
      </c>
      <c r="C75" s="14" t="s">
        <v>110</v>
      </c>
      <c r="D75" s="14" t="s">
        <v>66</v>
      </c>
      <c r="E75" s="14" t="s">
        <v>32</v>
      </c>
      <c r="F75" s="14" t="s">
        <v>137</v>
      </c>
      <c r="G75" s="14" t="s">
        <v>138</v>
      </c>
      <c r="H75" s="14" t="s">
        <v>4</v>
      </c>
      <c r="I75" s="14" t="s">
        <v>5</v>
      </c>
      <c r="J75" s="14" t="s">
        <v>6</v>
      </c>
      <c r="K75" s="14" t="s">
        <v>7</v>
      </c>
      <c r="L75" s="14" t="s">
        <v>279</v>
      </c>
      <c r="M75" s="14" t="s">
        <v>280</v>
      </c>
      <c r="N75" s="14" t="s">
        <v>281</v>
      </c>
      <c r="O75" s="14" t="s">
        <v>282</v>
      </c>
      <c r="P75" s="14" t="s">
        <v>283</v>
      </c>
      <c r="Q75" s="14" t="s">
        <v>284</v>
      </c>
      <c r="R75" s="14" t="s">
        <v>904</v>
      </c>
      <c r="S75" s="14" t="s">
        <v>285</v>
      </c>
      <c r="T75" s="14" t="s">
        <v>289</v>
      </c>
      <c r="U75" s="14" t="s">
        <v>8</v>
      </c>
      <c r="V75" s="14" t="s">
        <v>9</v>
      </c>
      <c r="W75" s="14" t="s">
        <v>10</v>
      </c>
      <c r="X75" s="14" t="s">
        <v>100</v>
      </c>
      <c r="Y75" s="14" t="s">
        <v>106</v>
      </c>
      <c r="Z75" s="14" t="s">
        <v>12</v>
      </c>
      <c r="AA75" s="14" t="s">
        <v>91</v>
      </c>
      <c r="AB75" s="14" t="s">
        <v>13</v>
      </c>
      <c r="AC75" s="14" t="s">
        <v>74</v>
      </c>
      <c r="AD75" s="14" t="s">
        <v>21</v>
      </c>
      <c r="AE75" s="14" t="s">
        <v>14</v>
      </c>
      <c r="AF75" s="14" t="s">
        <v>15</v>
      </c>
      <c r="AG75" s="14" t="s">
        <v>16</v>
      </c>
      <c r="AH75" s="15" t="s">
        <v>17</v>
      </c>
    </row>
    <row r="76" spans="1:38" x14ac:dyDescent="0.35">
      <c r="A76" s="20">
        <v>44743</v>
      </c>
      <c r="B76" s="21" t="s">
        <v>181</v>
      </c>
      <c r="C76" s="21" t="s">
        <v>116</v>
      </c>
      <c r="D76" s="44">
        <v>132330</v>
      </c>
      <c r="E76" s="21"/>
      <c r="F76" s="21"/>
      <c r="G76" s="21">
        <v>65</v>
      </c>
      <c r="H76" s="22">
        <v>22400</v>
      </c>
      <c r="I76" s="33">
        <v>0.5</v>
      </c>
      <c r="J76" s="24">
        <f>IFERROR(K76/H76,"")</f>
        <v>0.52170120535714282</v>
      </c>
      <c r="K76" s="78">
        <v>11686.107</v>
      </c>
      <c r="L76" s="78"/>
      <c r="M76" s="78"/>
      <c r="N76" s="78"/>
      <c r="O76" s="78"/>
      <c r="P76" s="78"/>
      <c r="Q76" s="78"/>
      <c r="R76" s="78"/>
      <c r="S76" s="78"/>
      <c r="T76" s="78"/>
      <c r="U76" s="25">
        <v>290</v>
      </c>
      <c r="V76" s="25">
        <f>H76*U76*I76/15</f>
        <v>216533.33333333334</v>
      </c>
      <c r="W76" s="76">
        <v>320.69</v>
      </c>
      <c r="X76" s="25">
        <v>249841.1</v>
      </c>
      <c r="Y76" s="65">
        <f>G76*60</f>
        <v>3900</v>
      </c>
      <c r="Z76" s="25">
        <v>14764.4</v>
      </c>
      <c r="AA76" s="25">
        <v>1300</v>
      </c>
      <c r="AB76" s="25">
        <v>1885</v>
      </c>
      <c r="AC76" s="25">
        <f>G76*30</f>
        <v>1950</v>
      </c>
      <c r="AD76" s="25">
        <f>IF(F76="",G76*3.83,F76*3.83)</f>
        <v>248.95000000000002</v>
      </c>
      <c r="AE76" s="25">
        <v>499.67</v>
      </c>
      <c r="AF76" s="25">
        <f>V76+Y76+Z76+AA76+AB76+AC76+AD76</f>
        <v>240581.68333333335</v>
      </c>
      <c r="AG76" s="25">
        <f>IFERROR(IFERROR((H76*W76*J76/15)-AE76,""),"")</f>
        <v>249341.50692199997</v>
      </c>
      <c r="AH76" s="26">
        <f>IFERROR(AG76-AF76,"")</f>
        <v>8759.8235886666225</v>
      </c>
    </row>
    <row r="77" spans="1:38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IFERROR(AH76/G76,"")</f>
        <v>134.76651674871727</v>
      </c>
    </row>
    <row r="78" spans="1:38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7">
        <f>IFERROR(AH76/AG76,"")</f>
        <v>3.5131830623799452E-2</v>
      </c>
    </row>
    <row r="80" spans="1:38" x14ac:dyDescent="0.35">
      <c r="AJ80">
        <f>F4+G4+F10+G10+F16+G16+F22+G22+F28+G28+F34+G34+F40+G40+F46+G46+F52+G52+F58+G58+F64+G64+F70+G70+F76+G76+F82+G82+F88+G88+F94+G94</f>
        <v>1339</v>
      </c>
      <c r="AK80" s="50" t="s">
        <v>22</v>
      </c>
      <c r="AL80" t="s">
        <v>72</v>
      </c>
    </row>
    <row r="81" spans="1:37" x14ac:dyDescent="0.35">
      <c r="A81" s="14" t="s">
        <v>1</v>
      </c>
      <c r="B81" s="14" t="s">
        <v>2</v>
      </c>
      <c r="C81" s="14" t="s">
        <v>110</v>
      </c>
      <c r="D81" s="14" t="s">
        <v>66</v>
      </c>
      <c r="E81" s="14" t="s">
        <v>32</v>
      </c>
      <c r="F81" s="14" t="s">
        <v>137</v>
      </c>
      <c r="G81" s="14" t="s">
        <v>138</v>
      </c>
      <c r="H81" s="14" t="s">
        <v>4</v>
      </c>
      <c r="I81" s="14" t="s">
        <v>5</v>
      </c>
      <c r="J81" s="14" t="s">
        <v>6</v>
      </c>
      <c r="K81" s="14" t="s">
        <v>7</v>
      </c>
      <c r="L81" s="14" t="s">
        <v>279</v>
      </c>
      <c r="M81" s="14" t="s">
        <v>280</v>
      </c>
      <c r="N81" s="14" t="s">
        <v>281</v>
      </c>
      <c r="O81" s="14" t="s">
        <v>282</v>
      </c>
      <c r="P81" s="14" t="s">
        <v>283</v>
      </c>
      <c r="Q81" s="14" t="s">
        <v>284</v>
      </c>
      <c r="R81" s="14" t="s">
        <v>904</v>
      </c>
      <c r="S81" s="14" t="s">
        <v>285</v>
      </c>
      <c r="T81" s="14" t="s">
        <v>289</v>
      </c>
      <c r="U81" s="14" t="s">
        <v>8</v>
      </c>
      <c r="V81" s="14" t="s">
        <v>9</v>
      </c>
      <c r="W81" s="14" t="s">
        <v>10</v>
      </c>
      <c r="X81" s="14" t="s">
        <v>100</v>
      </c>
      <c r="Y81" s="14" t="s">
        <v>106</v>
      </c>
      <c r="Z81" s="14" t="s">
        <v>12</v>
      </c>
      <c r="AA81" s="14" t="s">
        <v>11</v>
      </c>
      <c r="AB81" s="14" t="s">
        <v>13</v>
      </c>
      <c r="AC81" s="14" t="s">
        <v>74</v>
      </c>
      <c r="AD81" s="14" t="s">
        <v>21</v>
      </c>
      <c r="AE81" s="14" t="s">
        <v>14</v>
      </c>
      <c r="AF81" s="14" t="s">
        <v>15</v>
      </c>
      <c r="AG81" s="14" t="s">
        <v>16</v>
      </c>
      <c r="AH81" s="15" t="s">
        <v>17</v>
      </c>
      <c r="AJ81" s="11">
        <f>AH4+AH10+AH16+AH22+AH28+AH34+AH40+AH46+AH52+AH58+AH64+AH70+AH76+AH82+AH88+AH94</f>
        <v>60815.728792666217</v>
      </c>
      <c r="AK81" s="11">
        <f>AJ81*30%</f>
        <v>18244.718637799866</v>
      </c>
    </row>
    <row r="82" spans="1:37" x14ac:dyDescent="0.35">
      <c r="A82" s="20">
        <v>44743</v>
      </c>
      <c r="B82" s="21" t="s">
        <v>77</v>
      </c>
      <c r="C82" s="21" t="s">
        <v>182</v>
      </c>
      <c r="D82" s="44">
        <v>132330</v>
      </c>
      <c r="E82" s="21"/>
      <c r="F82" s="21"/>
      <c r="G82" s="21">
        <v>27</v>
      </c>
      <c r="H82" s="22">
        <v>10419</v>
      </c>
      <c r="I82" s="33">
        <v>0.5</v>
      </c>
      <c r="J82" s="24">
        <f>IFERROR(K82/H82,"")</f>
        <v>0.46590075823015648</v>
      </c>
      <c r="K82" s="22">
        <v>4854.22</v>
      </c>
      <c r="L82" s="22"/>
      <c r="M82" s="22"/>
      <c r="N82" s="22"/>
      <c r="O82" s="22"/>
      <c r="P82" s="22"/>
      <c r="Q82" s="22"/>
      <c r="R82" s="22"/>
      <c r="S82" s="22"/>
      <c r="T82" s="22"/>
      <c r="U82" s="25">
        <v>290</v>
      </c>
      <c r="V82" s="25">
        <f>H82*U82*I82/15</f>
        <v>100717</v>
      </c>
      <c r="W82" s="76">
        <v>320.69</v>
      </c>
      <c r="X82" s="25">
        <v>103780.14</v>
      </c>
      <c r="Y82" s="65">
        <f>G82*60</f>
        <v>1620</v>
      </c>
      <c r="Z82" s="25">
        <v>3471.66</v>
      </c>
      <c r="AA82" s="25"/>
      <c r="AB82" s="25">
        <v>783</v>
      </c>
      <c r="AC82" s="25">
        <f>G82*30</f>
        <v>810</v>
      </c>
      <c r="AD82" s="25">
        <f>IF(F82="",G82*3.83,F82*3.83)</f>
        <v>103.41</v>
      </c>
      <c r="AE82" s="25">
        <v>207.55</v>
      </c>
      <c r="AF82" s="25">
        <f>V82+Y82+Z82+AA82+AB82+AC82+AD82</f>
        <v>107505.07</v>
      </c>
      <c r="AG82" s="25">
        <f>IFERROR(IFERROR((H82*W82*J82/15)-AE82,""),"")</f>
        <v>103572.43745333333</v>
      </c>
      <c r="AH82" s="26">
        <f>IFERROR(AG82-AF82,"")</f>
        <v>-3932.6325466666749</v>
      </c>
      <c r="AJ82" s="11"/>
      <c r="AK82" s="11"/>
    </row>
    <row r="83" spans="1:37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3"/>
      <c r="AA83" s="21"/>
      <c r="AB83" s="21"/>
      <c r="AC83" s="21"/>
      <c r="AD83" s="21"/>
      <c r="AE83" s="21"/>
      <c r="AF83" s="21"/>
      <c r="AG83" s="21"/>
      <c r="AH83" s="26">
        <f>IFERROR(AH82/G82,"")</f>
        <v>-145.65305728395091</v>
      </c>
      <c r="AJ83" s="11"/>
      <c r="AK83" s="11"/>
    </row>
    <row r="84" spans="1:37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7">
        <f>IFERROR(AH82/AG82,"")</f>
        <v>-3.7969875416310465E-2</v>
      </c>
      <c r="AJ84" s="11"/>
      <c r="AK84" s="11"/>
    </row>
    <row r="85" spans="1:37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4"/>
      <c r="AJ85" s="11"/>
      <c r="AK85" s="11"/>
    </row>
    <row r="86" spans="1:37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4"/>
      <c r="AJ86" s="11"/>
      <c r="AK86" s="11"/>
    </row>
    <row r="87" spans="1:37" x14ac:dyDescent="0.35">
      <c r="A87" s="14" t="s">
        <v>1</v>
      </c>
      <c r="B87" s="14" t="s">
        <v>2</v>
      </c>
      <c r="C87" s="14" t="s">
        <v>110</v>
      </c>
      <c r="D87" s="14" t="s">
        <v>66</v>
      </c>
      <c r="E87" s="14" t="s">
        <v>32</v>
      </c>
      <c r="F87" s="14" t="s">
        <v>137</v>
      </c>
      <c r="G87" s="14" t="s">
        <v>138</v>
      </c>
      <c r="H87" s="14" t="s">
        <v>4</v>
      </c>
      <c r="I87" s="14" t="s">
        <v>5</v>
      </c>
      <c r="J87" s="14" t="s">
        <v>6</v>
      </c>
      <c r="K87" s="14" t="s">
        <v>7</v>
      </c>
      <c r="L87" s="14" t="s">
        <v>279</v>
      </c>
      <c r="M87" s="14" t="s">
        <v>280</v>
      </c>
      <c r="N87" s="14" t="s">
        <v>281</v>
      </c>
      <c r="O87" s="14" t="s">
        <v>282</v>
      </c>
      <c r="P87" s="14" t="s">
        <v>283</v>
      </c>
      <c r="Q87" s="14" t="s">
        <v>284</v>
      </c>
      <c r="R87" s="14" t="s">
        <v>904</v>
      </c>
      <c r="S87" s="14" t="s">
        <v>285</v>
      </c>
      <c r="T87" s="14" t="s">
        <v>289</v>
      </c>
      <c r="U87" s="14" t="s">
        <v>8</v>
      </c>
      <c r="V87" s="14" t="s">
        <v>9</v>
      </c>
      <c r="W87" s="14" t="s">
        <v>10</v>
      </c>
      <c r="X87" s="14" t="s">
        <v>100</v>
      </c>
      <c r="Y87" s="14" t="s">
        <v>106</v>
      </c>
      <c r="Z87" s="14" t="s">
        <v>12</v>
      </c>
      <c r="AA87" s="14" t="s">
        <v>11</v>
      </c>
      <c r="AB87" s="14" t="s">
        <v>13</v>
      </c>
      <c r="AC87" s="14" t="s">
        <v>74</v>
      </c>
      <c r="AD87" s="14" t="s">
        <v>21</v>
      </c>
      <c r="AE87" s="14" t="s">
        <v>14</v>
      </c>
      <c r="AF87" s="14" t="s">
        <v>15</v>
      </c>
      <c r="AG87" s="14" t="s">
        <v>16</v>
      </c>
      <c r="AH87" s="15" t="s">
        <v>17</v>
      </c>
      <c r="AJ87" s="11"/>
      <c r="AK87" s="11"/>
    </row>
    <row r="88" spans="1:37" x14ac:dyDescent="0.35">
      <c r="A88" s="20">
        <v>44743</v>
      </c>
      <c r="B88" s="21" t="s">
        <v>183</v>
      </c>
      <c r="C88" s="21" t="s">
        <v>182</v>
      </c>
      <c r="D88" s="44">
        <v>132330</v>
      </c>
      <c r="E88" s="21"/>
      <c r="F88" s="21"/>
      <c r="G88" s="21">
        <v>33</v>
      </c>
      <c r="H88" s="22">
        <v>12841</v>
      </c>
      <c r="I88" s="33">
        <v>0.5</v>
      </c>
      <c r="J88" s="24">
        <f>IFERROR(K88/H88,"")</f>
        <v>0.46203099447083557</v>
      </c>
      <c r="K88" s="22">
        <v>5932.94</v>
      </c>
      <c r="L88" s="22"/>
      <c r="M88" s="22"/>
      <c r="N88" s="22"/>
      <c r="O88" s="22"/>
      <c r="P88" s="22"/>
      <c r="Q88" s="22"/>
      <c r="R88" s="22"/>
      <c r="S88" s="22"/>
      <c r="T88" s="22"/>
      <c r="U88" s="25">
        <v>290</v>
      </c>
      <c r="V88" s="25">
        <f>H88*U88*I88/15</f>
        <v>124129.66666666667</v>
      </c>
      <c r="W88" s="76">
        <v>320.69</v>
      </c>
      <c r="X88" s="25">
        <v>126842.4</v>
      </c>
      <c r="Y88" s="65">
        <f>G88*60</f>
        <v>1980</v>
      </c>
      <c r="Z88" s="25">
        <v>4243.1400000000003</v>
      </c>
      <c r="AA88" s="25"/>
      <c r="AB88" s="25">
        <v>957</v>
      </c>
      <c r="AC88" s="25">
        <f>G88*30</f>
        <v>990</v>
      </c>
      <c r="AD88" s="25">
        <f>IF(F88="",G88*3.83,F88*3.83)</f>
        <v>126.39</v>
      </c>
      <c r="AE88" s="25">
        <v>253.68</v>
      </c>
      <c r="AF88" s="25">
        <f>V88+Y88+Z88+AA88+AB88+AC88+AD88</f>
        <v>132426.19666666668</v>
      </c>
      <c r="AG88" s="25">
        <f>IFERROR(IFERROR((H88*W88*J88/15)-AE88,""),"")</f>
        <v>126588.62190666667</v>
      </c>
      <c r="AH88" s="26">
        <f>IFERROR(AG88-AF88,"")</f>
        <v>-5837.5747600000177</v>
      </c>
      <c r="AJ88" s="11"/>
      <c r="AK88" s="11"/>
    </row>
    <row r="89" spans="1:37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3"/>
      <c r="AA89" s="21"/>
      <c r="AB89" s="21"/>
      <c r="AC89" s="21"/>
      <c r="AD89" s="21"/>
      <c r="AE89" s="21"/>
      <c r="AF89" s="21"/>
      <c r="AG89" s="21"/>
      <c r="AH89" s="26">
        <f>IFERROR(AH88/G88,"")</f>
        <v>-176.89620484848538</v>
      </c>
      <c r="AJ89" s="11"/>
      <c r="AK89" s="11"/>
    </row>
    <row r="90" spans="1:37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7">
        <f>IFERROR(AH88/AG88,"")</f>
        <v>-4.6114529663685261E-2</v>
      </c>
      <c r="AJ90" s="11"/>
      <c r="AK90" s="11"/>
    </row>
    <row r="91" spans="1:37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47"/>
      <c r="AJ91" s="11"/>
      <c r="AK91" s="11"/>
    </row>
    <row r="92" spans="1:37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14"/>
      <c r="T92" s="14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J92" s="11"/>
      <c r="AK92" s="11"/>
    </row>
    <row r="93" spans="1:37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32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11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J93" s="11"/>
      <c r="AK93" s="11"/>
    </row>
    <row r="94" spans="1:37" x14ac:dyDescent="0.35">
      <c r="A94" s="20">
        <v>44741</v>
      </c>
      <c r="B94" s="21" t="s">
        <v>175</v>
      </c>
      <c r="C94" s="21" t="s">
        <v>111</v>
      </c>
      <c r="D94" s="44">
        <v>132649</v>
      </c>
      <c r="E94" s="21"/>
      <c r="F94" s="21">
        <v>5</v>
      </c>
      <c r="G94" s="21"/>
      <c r="H94" s="22">
        <v>2867.3</v>
      </c>
      <c r="I94" s="33">
        <v>0.53</v>
      </c>
      <c r="J94" s="24">
        <f>IFERROR(K94/H94,"")</f>
        <v>0.57580302026296515</v>
      </c>
      <c r="K94" s="22">
        <v>1651</v>
      </c>
      <c r="L94" s="22"/>
      <c r="M94" s="22"/>
      <c r="N94" s="22"/>
      <c r="O94" s="22"/>
      <c r="P94" s="22"/>
      <c r="Q94" s="22"/>
      <c r="R94" s="22"/>
      <c r="S94" s="22"/>
      <c r="T94" s="22"/>
      <c r="U94" s="25">
        <v>303</v>
      </c>
      <c r="V94" s="25">
        <f>H94*U94*I94/15</f>
        <v>30697.313800000004</v>
      </c>
      <c r="W94" s="25">
        <v>329.47</v>
      </c>
      <c r="X94" s="25">
        <v>36263.360000000001</v>
      </c>
      <c r="Y94" s="25">
        <f>F94*100</f>
        <v>500</v>
      </c>
      <c r="Z94" s="25">
        <v>0</v>
      </c>
      <c r="AA94" s="25"/>
      <c r="AB94" s="25">
        <v>0</v>
      </c>
      <c r="AC94" s="25">
        <v>0</v>
      </c>
      <c r="AD94" s="25">
        <f>IF(F94="",G94*3.83,F94*3.83)</f>
        <v>19.149999999999999</v>
      </c>
      <c r="AE94" s="25">
        <v>75.52</v>
      </c>
      <c r="AF94" s="25">
        <f>V94+Y94+Z94+AA94+AB94+AC94+AD94</f>
        <v>31216.463800000005</v>
      </c>
      <c r="AG94" s="25">
        <f>IFERROR(IFERROR((H94*W94*J94/15)-AE94,""),"")</f>
        <v>36188.144666666674</v>
      </c>
      <c r="AH94" s="26">
        <f>IFERROR(AG94-AF94,"")</f>
        <v>4971.6808666666693</v>
      </c>
      <c r="AJ94" s="11"/>
      <c r="AK94" s="11"/>
    </row>
    <row r="95" spans="1:37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IFERROR(AH94/F94,"")</f>
        <v>994.33617333333382</v>
      </c>
      <c r="AJ95" s="11"/>
      <c r="AK95" s="11"/>
    </row>
    <row r="96" spans="1:37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0.13738424316751843</v>
      </c>
      <c r="AJ96" s="11"/>
      <c r="AK96" s="11"/>
    </row>
    <row r="97" spans="1:37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J97" s="11"/>
      <c r="AK97" s="11"/>
    </row>
    <row r="98" spans="1:37" ht="15" thickBot="1" x14ac:dyDescent="0.4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4"/>
    </row>
    <row r="99" spans="1:37" ht="16" thickBot="1" x14ac:dyDescent="0.4">
      <c r="A99" s="377" t="s">
        <v>168</v>
      </c>
      <c r="B99" s="378"/>
      <c r="C99" s="378"/>
      <c r="D99" s="378"/>
      <c r="E99" s="378"/>
      <c r="F99" s="378"/>
      <c r="G99" s="378"/>
      <c r="H99" s="378"/>
      <c r="I99" s="378"/>
      <c r="J99" s="378"/>
      <c r="K99" s="378"/>
      <c r="L99" s="46"/>
      <c r="M99" s="46"/>
      <c r="N99" s="46"/>
      <c r="O99" s="46"/>
      <c r="P99" s="46"/>
      <c r="Q99" s="46"/>
      <c r="R99" s="46"/>
      <c r="S99" s="46"/>
      <c r="T99" s="46"/>
      <c r="U99" s="30"/>
      <c r="V99" s="31">
        <f>V4+V10+V16+V22+V28+V34+V40+V46+V52+V58+V64+V70+V76+V82+V88+V94</f>
        <v>5642927.3386666663</v>
      </c>
      <c r="W99" s="30"/>
      <c r="X99" s="30"/>
      <c r="Y99" s="31">
        <f t="shared" ref="Y99:AF99" si="0">Y4+Y10+Y16+Y22+Y28+Y34+Y40+Y46+Y52+Y58+Y64+Y70+Y76+Y82+Y88+Y94</f>
        <v>62300</v>
      </c>
      <c r="Z99" s="31">
        <f t="shared" si="0"/>
        <v>263855.2</v>
      </c>
      <c r="AA99" s="31">
        <f t="shared" si="0"/>
        <v>4605</v>
      </c>
      <c r="AB99" s="31">
        <f t="shared" si="0"/>
        <v>35478.5</v>
      </c>
      <c r="AC99" s="31">
        <f t="shared" si="0"/>
        <v>34170</v>
      </c>
      <c r="AD99" s="31">
        <f t="shared" si="0"/>
        <v>5128.37</v>
      </c>
      <c r="AE99" s="31">
        <f t="shared" si="0"/>
        <v>11451.44</v>
      </c>
      <c r="AF99" s="31">
        <f t="shared" si="0"/>
        <v>6048464.4086666675</v>
      </c>
      <c r="AG99" s="31">
        <f>AG22+AG28+AG34+AG40+AG46+AG52+AG58+AG64+AG70+AG76+AG82+AG88+AG94</f>
        <v>4774908.5247926675</v>
      </c>
      <c r="AH99" s="32"/>
    </row>
  </sheetData>
  <mergeCells count="2">
    <mergeCell ref="U2:AC2"/>
    <mergeCell ref="A99:K9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6"/>
  <dimension ref="A1:AL35"/>
  <sheetViews>
    <sheetView topLeftCell="J2" zoomScale="90" zoomScaleNormal="90" workbookViewId="0">
      <selection activeCell="X10" sqref="X10"/>
    </sheetView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.453125" bestFit="1" customWidth="1"/>
    <col min="17" max="18" width="11.81640625" bestFit="1" customWidth="1"/>
    <col min="19" max="19" width="4.1796875" bestFit="1" customWidth="1"/>
    <col min="20" max="20" width="4.179687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7" x14ac:dyDescent="0.35">
      <c r="A4" s="20">
        <v>44747</v>
      </c>
      <c r="B4" s="21" t="s">
        <v>185</v>
      </c>
      <c r="C4" s="21" t="s">
        <v>186</v>
      </c>
      <c r="D4" s="44">
        <v>132493</v>
      </c>
      <c r="E4" s="21"/>
      <c r="F4" s="21"/>
      <c r="G4" s="21">
        <v>121</v>
      </c>
      <c r="H4" s="22">
        <v>43815.78</v>
      </c>
      <c r="I4" s="23">
        <v>0.5</v>
      </c>
      <c r="J4" s="24">
        <f>K4/H4</f>
        <v>0.48638869375371158</v>
      </c>
      <c r="K4" s="22">
        <v>21311.5</v>
      </c>
      <c r="L4" s="22"/>
      <c r="M4" s="22"/>
      <c r="N4" s="22"/>
      <c r="O4" s="22"/>
      <c r="P4" s="22"/>
      <c r="Q4" s="22"/>
      <c r="R4" s="22"/>
      <c r="S4" s="22"/>
      <c r="T4" s="22"/>
      <c r="U4" s="25">
        <v>285</v>
      </c>
      <c r="V4" s="25">
        <f>H4*U4*I4/15</f>
        <v>416249.91</v>
      </c>
      <c r="W4" s="25">
        <v>323.85000000000002</v>
      </c>
      <c r="X4" s="25">
        <v>460112.88</v>
      </c>
      <c r="Y4" s="77">
        <v>0</v>
      </c>
      <c r="Z4" s="25">
        <v>26921.599999999999</v>
      </c>
      <c r="AA4" s="25"/>
      <c r="AB4" s="25">
        <v>1060.8900000000001</v>
      </c>
      <c r="AC4" s="25">
        <f>G4*30</f>
        <v>3630</v>
      </c>
      <c r="AD4" s="25">
        <f>IF(F4="",G4*3.83,F4*3.83)</f>
        <v>463.43</v>
      </c>
      <c r="AE4" s="25">
        <v>920.23</v>
      </c>
      <c r="AF4" s="25">
        <f>V4+Y4+Z4+AA4+AB4+AC4+AD4</f>
        <v>448325.82999999996</v>
      </c>
      <c r="AG4" s="25">
        <f>IFERROR(IFERROR((H4*W4*J4/15)-AE4,""),"")</f>
        <v>459195.05500000005</v>
      </c>
      <c r="AH4" s="26">
        <f>IFERROR(AG4-AF4,"")</f>
        <v>10869.225000000093</v>
      </c>
    </row>
    <row r="5" spans="1:37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IFERROR(AH4/G4,"")</f>
        <v>89.828305785124741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2.367016996731398E-2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7" x14ac:dyDescent="0.35">
      <c r="A10" s="20">
        <v>44747</v>
      </c>
      <c r="B10" s="21" t="s">
        <v>188</v>
      </c>
      <c r="C10" s="21" t="s">
        <v>189</v>
      </c>
      <c r="D10" s="44">
        <v>132852</v>
      </c>
      <c r="E10" s="21"/>
      <c r="F10" s="21"/>
      <c r="G10" s="21">
        <v>62</v>
      </c>
      <c r="H10" s="22">
        <v>21954.22</v>
      </c>
      <c r="I10" s="33">
        <v>0.5</v>
      </c>
      <c r="J10" s="24">
        <f>IFERROR(K10/H10,"")</f>
        <v>0.4994483976201386</v>
      </c>
      <c r="K10" s="22">
        <v>10965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289.83</v>
      </c>
      <c r="V10" s="25">
        <f>H10*U10*I10/15</f>
        <v>212099.71942000001</v>
      </c>
      <c r="W10" s="25">
        <v>321.17</v>
      </c>
      <c r="X10" s="25">
        <v>234778.38</v>
      </c>
      <c r="Y10" s="77">
        <v>0</v>
      </c>
      <c r="Z10" s="25">
        <v>9312.7999999999993</v>
      </c>
      <c r="AA10" s="25"/>
      <c r="AB10" s="25">
        <v>1740</v>
      </c>
      <c r="AC10" s="25">
        <f>G10*30</f>
        <v>1860</v>
      </c>
      <c r="AD10" s="25">
        <f>IF(F10="",G10*3.83,F10*3.83)</f>
        <v>237.46</v>
      </c>
      <c r="AE10" s="25">
        <v>469.56</v>
      </c>
      <c r="AF10" s="25">
        <f>V10+Y10+Z10+AA10+AB10+AC10+AD10</f>
        <v>225249.97941999999</v>
      </c>
      <c r="AG10" s="25">
        <f>IFERROR(IFERROR((H10*W10*J10/15)-AE10,""),"")</f>
        <v>234305.71</v>
      </c>
      <c r="AH10" s="26">
        <f>IFERROR(AG10-AF10,"")</f>
        <v>9055.7305800000031</v>
      </c>
    </row>
    <row r="11" spans="1:3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IFERROR(AH10/G10,"")</f>
        <v>146.06017064516135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3.8649209957367252E-2</v>
      </c>
      <c r="AJ12" s="6"/>
    </row>
    <row r="15" spans="1:37" x14ac:dyDescent="0.35">
      <c r="A15" s="37" t="s">
        <v>1</v>
      </c>
      <c r="B15" s="37" t="s">
        <v>2</v>
      </c>
      <c r="C15" s="37" t="s">
        <v>110</v>
      </c>
      <c r="D15" s="37" t="s">
        <v>66</v>
      </c>
      <c r="E15" s="37" t="s">
        <v>32</v>
      </c>
      <c r="F15" s="37" t="s">
        <v>137</v>
      </c>
      <c r="G15" s="37" t="s">
        <v>138</v>
      </c>
      <c r="H15" s="37" t="s">
        <v>4</v>
      </c>
      <c r="I15" s="37" t="s">
        <v>5</v>
      </c>
      <c r="J15" s="37" t="s">
        <v>6</v>
      </c>
      <c r="K15" s="37" t="s">
        <v>7</v>
      </c>
      <c r="L15" s="37" t="s">
        <v>279</v>
      </c>
      <c r="M15" s="37" t="s">
        <v>280</v>
      </c>
      <c r="N15" s="37" t="s">
        <v>281</v>
      </c>
      <c r="O15" s="37" t="s">
        <v>282</v>
      </c>
      <c r="P15" s="37" t="s">
        <v>283</v>
      </c>
      <c r="Q15" s="37" t="s">
        <v>284</v>
      </c>
      <c r="R15" s="37" t="s">
        <v>904</v>
      </c>
      <c r="S15" s="37" t="s">
        <v>285</v>
      </c>
      <c r="T15" s="37" t="s">
        <v>289</v>
      </c>
      <c r="U15" s="37" t="s">
        <v>8</v>
      </c>
      <c r="V15" s="37" t="s">
        <v>9</v>
      </c>
      <c r="W15" s="37" t="s">
        <v>10</v>
      </c>
      <c r="X15" s="37" t="s">
        <v>100</v>
      </c>
      <c r="Y15" s="37" t="s">
        <v>106</v>
      </c>
      <c r="Z15" s="37" t="s">
        <v>12</v>
      </c>
      <c r="AA15" s="37" t="s">
        <v>11</v>
      </c>
      <c r="AB15" s="37" t="s">
        <v>13</v>
      </c>
      <c r="AC15" s="37" t="s">
        <v>74</v>
      </c>
      <c r="AD15" s="37" t="s">
        <v>21</v>
      </c>
      <c r="AE15" s="37" t="s">
        <v>14</v>
      </c>
      <c r="AF15" s="37" t="s">
        <v>15</v>
      </c>
      <c r="AG15" s="37" t="s">
        <v>16</v>
      </c>
      <c r="AH15" s="15" t="s">
        <v>17</v>
      </c>
    </row>
    <row r="16" spans="1:37" x14ac:dyDescent="0.35">
      <c r="A16" s="38">
        <v>44749</v>
      </c>
      <c r="B16" s="39" t="s">
        <v>190</v>
      </c>
      <c r="C16" s="39" t="s">
        <v>111</v>
      </c>
      <c r="D16" s="45">
        <v>132494</v>
      </c>
      <c r="E16" s="39"/>
      <c r="F16" s="39">
        <v>0</v>
      </c>
      <c r="G16" s="39">
        <v>129</v>
      </c>
      <c r="H16" s="40">
        <v>57412.93</v>
      </c>
      <c r="I16" s="53">
        <v>0.5</v>
      </c>
      <c r="J16" s="42">
        <f>IFERROR(K16/H16,"")</f>
        <v>0.50490368632989124</v>
      </c>
      <c r="K16" s="40">
        <v>28988</v>
      </c>
      <c r="L16" s="40"/>
      <c r="M16" s="40"/>
      <c r="N16" s="40"/>
      <c r="O16" s="40"/>
      <c r="P16" s="40"/>
      <c r="Q16" s="40"/>
      <c r="R16" s="40"/>
      <c r="S16" s="40"/>
      <c r="T16" s="40"/>
      <c r="U16" s="43">
        <v>290</v>
      </c>
      <c r="V16" s="43">
        <f>H16*U16*I16/15</f>
        <v>554991.65666666662</v>
      </c>
      <c r="W16" s="43">
        <v>331.48</v>
      </c>
      <c r="X16" s="43">
        <v>640597.42000000004</v>
      </c>
      <c r="Y16" s="43">
        <f>G16*100</f>
        <v>12900</v>
      </c>
      <c r="Z16" s="43">
        <v>10138</v>
      </c>
      <c r="AA16" s="43"/>
      <c r="AB16" s="43">
        <v>3770</v>
      </c>
      <c r="AC16" s="43">
        <f>F16*30</f>
        <v>0</v>
      </c>
      <c r="AD16" s="43">
        <v>497.9</v>
      </c>
      <c r="AE16" s="43">
        <v>1281.19</v>
      </c>
      <c r="AF16" s="43">
        <f>V16+Y16+Z16+AA16+AB16+AC16+AD16</f>
        <v>582297.55666666664</v>
      </c>
      <c r="AG16" s="43">
        <f>IFERROR(IFERROR((H16*W16*J16/15)-AE16,""),"")</f>
        <v>639314.95933333354</v>
      </c>
      <c r="AH16" s="26">
        <f>IFERROR(AG16-AF16,"")</f>
        <v>57017.402666666894</v>
      </c>
      <c r="AJ16" s="6"/>
      <c r="AK16" s="6"/>
    </row>
    <row r="17" spans="1:38" ht="14.5" customHeight="1" x14ac:dyDescent="0.35">
      <c r="A17" s="21"/>
      <c r="B17" s="21"/>
      <c r="C17" s="21"/>
      <c r="D17" s="21"/>
      <c r="E17" s="21"/>
      <c r="F17" s="21"/>
      <c r="G17" s="21">
        <v>130</v>
      </c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IFERROR(AH16/G16,"")</f>
        <v>441.9953695090457</v>
      </c>
      <c r="AK17" s="63"/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8.9185153318051005E-2</v>
      </c>
      <c r="AK18" s="63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11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K21" s="63"/>
    </row>
    <row r="22" spans="1:38" x14ac:dyDescent="0.35">
      <c r="A22" s="20">
        <v>44750</v>
      </c>
      <c r="B22" s="21" t="s">
        <v>191</v>
      </c>
      <c r="C22" s="21" t="s">
        <v>192</v>
      </c>
      <c r="D22" s="44">
        <v>132811</v>
      </c>
      <c r="E22" s="21"/>
      <c r="F22" s="21"/>
      <c r="G22" s="21">
        <v>102</v>
      </c>
      <c r="H22" s="22">
        <v>41672</v>
      </c>
      <c r="I22" s="33">
        <v>0.5</v>
      </c>
      <c r="J22" s="24">
        <f>IFERROR(K22/H22,"")</f>
        <v>0.48143837588788635</v>
      </c>
      <c r="K22" s="22">
        <v>20062.5</v>
      </c>
      <c r="L22" s="22"/>
      <c r="M22" s="22"/>
      <c r="N22" s="22"/>
      <c r="O22" s="22"/>
      <c r="P22" s="22"/>
      <c r="Q22" s="22"/>
      <c r="R22" s="22"/>
      <c r="S22" s="22"/>
      <c r="T22" s="22"/>
      <c r="U22" s="25">
        <v>285</v>
      </c>
      <c r="V22" s="25">
        <f>H22*U22*I22/15</f>
        <v>395884</v>
      </c>
      <c r="W22" s="25">
        <v>327.43</v>
      </c>
      <c r="X22" s="25">
        <v>437939.92</v>
      </c>
      <c r="Y22" s="25">
        <f>G22*100</f>
        <v>10200</v>
      </c>
      <c r="Z22" s="25">
        <v>16304.3</v>
      </c>
      <c r="AA22" s="25"/>
      <c r="AB22" s="25">
        <v>2907</v>
      </c>
      <c r="AC22" s="25">
        <v>0</v>
      </c>
      <c r="AD22" s="25">
        <f>IF(F22="",G22*3.83,F22*3.83)</f>
        <v>390.66</v>
      </c>
      <c r="AE22" s="25">
        <v>875.88</v>
      </c>
      <c r="AF22" s="25">
        <f>V22+Y22+Z22+AA22+AB22+AC22+AD22</f>
        <v>425685.95999999996</v>
      </c>
      <c r="AG22" s="25">
        <f>IFERROR(IFERROR((H22*W22*J22/15)-AE22,""),"")</f>
        <v>437061.745</v>
      </c>
      <c r="AH22" s="26">
        <f>IFERROR(AG22-AF22,"")</f>
        <v>11375.785000000033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AH22/G22</f>
        <v>111.52730392156894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2.6027867069445834E-2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8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8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 t="s">
        <v>32</v>
      </c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11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8" x14ac:dyDescent="0.35">
      <c r="A28" s="20">
        <v>44750</v>
      </c>
      <c r="B28" s="21" t="s">
        <v>191</v>
      </c>
      <c r="C28" s="21" t="s">
        <v>192</v>
      </c>
      <c r="D28" s="44">
        <v>132811</v>
      </c>
      <c r="E28" s="21"/>
      <c r="F28" s="21">
        <v>0</v>
      </c>
      <c r="G28" s="21">
        <v>93</v>
      </c>
      <c r="H28" s="22">
        <v>34054</v>
      </c>
      <c r="I28" s="33">
        <v>0.49</v>
      </c>
      <c r="J28" s="24">
        <f>IFERROR(K28/H28,"")</f>
        <v>0.53715481294414757</v>
      </c>
      <c r="K28" s="22">
        <v>18292.27</v>
      </c>
      <c r="L28" s="22"/>
      <c r="M28" s="22"/>
      <c r="N28" s="22"/>
      <c r="O28" s="22"/>
      <c r="P28" s="22"/>
      <c r="Q28" s="22"/>
      <c r="R28" s="22"/>
      <c r="S28" s="22"/>
      <c r="T28" s="22"/>
      <c r="U28" s="25">
        <v>285</v>
      </c>
      <c r="V28" s="25">
        <f>H28*U28*I28/15</f>
        <v>317042.74</v>
      </c>
      <c r="W28" s="25">
        <v>327.43</v>
      </c>
      <c r="X28" s="25">
        <v>399298.16</v>
      </c>
      <c r="Y28" s="25">
        <f>G28*100</f>
        <v>9300</v>
      </c>
      <c r="Z28" s="25">
        <v>14865.69</v>
      </c>
      <c r="AA28" s="25"/>
      <c r="AB28" s="25">
        <v>2650.5</v>
      </c>
      <c r="AC28" s="25">
        <f>F28*30</f>
        <v>0</v>
      </c>
      <c r="AD28" s="25">
        <f>IF(F28="",G28*3.83,F28*3.83)</f>
        <v>0</v>
      </c>
      <c r="AE28" s="25">
        <v>798.59</v>
      </c>
      <c r="AF28" s="25">
        <f>V28+Y28+Z28+AA28+AB28+AC28+AD28</f>
        <v>343858.93</v>
      </c>
      <c r="AG28" s="25">
        <f>IFERROR(IFERROR((H28*W28*J28/15)-AE28,""),"")</f>
        <v>398497.27440666669</v>
      </c>
      <c r="AH28" s="26">
        <f>IFERROR(AG28-AF28,"")</f>
        <v>54638.3444066667</v>
      </c>
      <c r="AJ28">
        <f>F4+G4+F10+G10+F16+G16+F22+G22+F28+G28</f>
        <v>507</v>
      </c>
      <c r="AK28" s="50" t="s">
        <v>22</v>
      </c>
      <c r="AL28" t="s">
        <v>72</v>
      </c>
    </row>
    <row r="29" spans="1:38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AH28/G28</f>
        <v>587.50907964157739</v>
      </c>
      <c r="AJ29" s="11">
        <f>AH4+AH10+AH16+AH22+AH28</f>
        <v>142956.48765333372</v>
      </c>
      <c r="AK29" s="11">
        <f>AJ29*30%</f>
        <v>42886.946296000118</v>
      </c>
    </row>
    <row r="30" spans="1:38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0.13711096139369885</v>
      </c>
      <c r="AJ30" s="11"/>
      <c r="AK30" s="11"/>
    </row>
    <row r="31" spans="1:38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8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7" x14ac:dyDescent="0.3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4"/>
      <c r="AJ33" s="11"/>
      <c r="AK33" s="11"/>
    </row>
    <row r="34" spans="1:37" ht="15" thickBot="1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4"/>
      <c r="AJ34" s="11"/>
      <c r="AK34" s="11"/>
    </row>
    <row r="35" spans="1:37" ht="16" thickBot="1" x14ac:dyDescent="0.4">
      <c r="A35" s="377" t="s">
        <v>184</v>
      </c>
      <c r="B35" s="378"/>
      <c r="C35" s="378"/>
      <c r="D35" s="378"/>
      <c r="E35" s="378"/>
      <c r="F35" s="378"/>
      <c r="G35" s="378"/>
      <c r="H35" s="378"/>
      <c r="I35" s="378"/>
      <c r="J35" s="378"/>
      <c r="K35" s="378"/>
      <c r="L35" s="46"/>
      <c r="M35" s="46"/>
      <c r="N35" s="46"/>
      <c r="O35" s="46"/>
      <c r="P35" s="46"/>
      <c r="Q35" s="46"/>
      <c r="R35" s="46"/>
      <c r="S35" s="46"/>
      <c r="T35" s="46"/>
      <c r="U35" s="30"/>
      <c r="V35" s="31">
        <f>V4+V10+V16+V22+V28</f>
        <v>1896268.0260866666</v>
      </c>
      <c r="W35" s="30"/>
      <c r="X35" s="30"/>
      <c r="Y35" s="31">
        <f t="shared" ref="Y35:AF35" si="0">Y4+Y10+Y16+Y22+Y28</f>
        <v>32400</v>
      </c>
      <c r="Z35" s="31">
        <f t="shared" si="0"/>
        <v>77542.39</v>
      </c>
      <c r="AA35" s="31">
        <f t="shared" si="0"/>
        <v>0</v>
      </c>
      <c r="AB35" s="31">
        <f t="shared" si="0"/>
        <v>12128.39</v>
      </c>
      <c r="AC35" s="31">
        <f t="shared" si="0"/>
        <v>5490</v>
      </c>
      <c r="AD35" s="31">
        <f t="shared" si="0"/>
        <v>1589.45</v>
      </c>
      <c r="AE35" s="31">
        <f t="shared" si="0"/>
        <v>4345.45</v>
      </c>
      <c r="AF35" s="31">
        <f t="shared" si="0"/>
        <v>2025418.2560866664</v>
      </c>
      <c r="AG35" s="31">
        <f>AG22+AG28</f>
        <v>835559.01940666675</v>
      </c>
      <c r="AH35" s="32"/>
    </row>
  </sheetData>
  <mergeCells count="2">
    <mergeCell ref="U2:AC2"/>
    <mergeCell ref="A35:K3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7"/>
  <dimension ref="A1:BG55"/>
  <sheetViews>
    <sheetView zoomScale="90" zoomScaleNormal="90" workbookViewId="0">
      <selection activeCell="A24" sqref="A24:U24"/>
    </sheetView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.453125" bestFit="1" customWidth="1"/>
    <col min="17" max="18" width="11.81640625" bestFit="1" customWidth="1"/>
    <col min="19" max="19" width="4.1796875" bestFit="1" customWidth="1"/>
    <col min="20" max="20" width="4.179687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7" x14ac:dyDescent="0.35">
      <c r="A4" s="20">
        <v>44754</v>
      </c>
      <c r="B4" s="21" t="s">
        <v>194</v>
      </c>
      <c r="C4" s="21" t="s">
        <v>195</v>
      </c>
      <c r="D4" s="44">
        <v>132823</v>
      </c>
      <c r="E4" s="21"/>
      <c r="F4" s="21">
        <v>53</v>
      </c>
      <c r="G4" s="21"/>
      <c r="H4" s="22">
        <v>29520</v>
      </c>
      <c r="I4" s="23">
        <v>0.54</v>
      </c>
      <c r="J4" s="24">
        <f>IFERROR(K4/H4,"")</f>
        <v>0.53932926829268291</v>
      </c>
      <c r="K4" s="22">
        <v>15921</v>
      </c>
      <c r="L4" s="22"/>
      <c r="M4" s="22"/>
      <c r="N4" s="22"/>
      <c r="O4" s="22"/>
      <c r="P4" s="22"/>
      <c r="Q4" s="22"/>
      <c r="R4" s="22"/>
      <c r="S4" s="22"/>
      <c r="T4" s="22"/>
      <c r="U4" s="25">
        <v>300</v>
      </c>
      <c r="V4" s="25">
        <f>H4*U4*I4/15</f>
        <v>318816</v>
      </c>
      <c r="W4" s="25">
        <v>341.16</v>
      </c>
      <c r="X4" s="25">
        <v>362103.98</v>
      </c>
      <c r="Y4" s="80">
        <v>0</v>
      </c>
      <c r="Z4" s="25">
        <v>9318.4</v>
      </c>
      <c r="AA4" s="25"/>
      <c r="AB4" s="25">
        <v>1590</v>
      </c>
      <c r="AC4" s="25">
        <f>F4*30</f>
        <v>1590</v>
      </c>
      <c r="AD4" s="25">
        <f>IF(F4="",G4*3.83,F4*3.83)</f>
        <v>202.99</v>
      </c>
      <c r="AE4" s="25">
        <v>721.21</v>
      </c>
      <c r="AF4" s="25">
        <f>V4+Y4+Z4+AA4+AB4+AC4+AD4</f>
        <v>331517.39</v>
      </c>
      <c r="AG4" s="25">
        <f>IFERROR(IFERROR((H4*W4*J4/15)-AE4,""),"")</f>
        <v>361386.01400000002</v>
      </c>
      <c r="AH4" s="26">
        <f>IFERROR(AG4-AF4,"")</f>
        <v>29868.624000000011</v>
      </c>
    </row>
    <row r="5" spans="1:37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79">
        <v>0</v>
      </c>
      <c r="Z5" s="55"/>
      <c r="AA5" s="21"/>
      <c r="AB5" s="21"/>
      <c r="AC5" s="79">
        <v>30</v>
      </c>
      <c r="AD5" s="21"/>
      <c r="AE5" s="21"/>
      <c r="AF5" s="21"/>
      <c r="AG5" s="21"/>
      <c r="AH5" s="26">
        <f>IFERROR(AH4/F4,"")</f>
        <v>563.5589433962266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8.2650193540694153E-2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7" x14ac:dyDescent="0.35">
      <c r="A10" s="20">
        <v>44754</v>
      </c>
      <c r="B10" s="21" t="s">
        <v>196</v>
      </c>
      <c r="C10" s="21" t="s">
        <v>197</v>
      </c>
      <c r="D10" s="44">
        <v>133120</v>
      </c>
      <c r="E10" s="21"/>
      <c r="F10" s="21">
        <v>54</v>
      </c>
      <c r="G10" s="21">
        <v>0</v>
      </c>
      <c r="H10" s="22">
        <v>29099</v>
      </c>
      <c r="I10" s="33">
        <v>0.53</v>
      </c>
      <c r="J10" s="24">
        <f>IFERROR(K10/H10,"")</f>
        <v>0.51838551152960588</v>
      </c>
      <c r="K10" s="22">
        <v>15084.5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300</v>
      </c>
      <c r="V10" s="25">
        <f>H10*U10*I10/15</f>
        <v>308449.40000000002</v>
      </c>
      <c r="W10" s="25">
        <v>337.4</v>
      </c>
      <c r="X10" s="25">
        <v>339300.66</v>
      </c>
      <c r="Y10" s="80">
        <f>F10*100</f>
        <v>5400</v>
      </c>
      <c r="Z10" s="25">
        <v>4060</v>
      </c>
      <c r="AA10" s="25"/>
      <c r="AB10" s="25">
        <v>1620</v>
      </c>
      <c r="AC10" s="25">
        <f>G10*30</f>
        <v>0</v>
      </c>
      <c r="AD10" s="25">
        <f>IF(F10="",G10*3.83,F10*3.83)</f>
        <v>206.82</v>
      </c>
      <c r="AE10" s="25">
        <v>678.6</v>
      </c>
      <c r="AF10" s="25">
        <f>V10+Y10+Z10+AA10+AB10+AC10+AD10</f>
        <v>319736.22000000003</v>
      </c>
      <c r="AG10" s="25">
        <f>IFERROR(IFERROR((H10*W10*J10/15)-AE10,""),"")</f>
        <v>338622.08666666673</v>
      </c>
      <c r="AH10" s="26">
        <f>IFERROR(AG10-AF10,"")</f>
        <v>18885.866666666698</v>
      </c>
    </row>
    <row r="11" spans="1:3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79">
        <v>100</v>
      </c>
      <c r="Z11" s="21"/>
      <c r="AA11" s="21"/>
      <c r="AB11" s="21"/>
      <c r="AC11" s="79">
        <v>0</v>
      </c>
      <c r="AD11" s="21"/>
      <c r="AE11" s="21" t="s">
        <v>42</v>
      </c>
      <c r="AF11" s="21"/>
      <c r="AG11" s="21"/>
      <c r="AH11" s="26">
        <f>IFERROR(AH10/F10,"")</f>
        <v>349.73827160493886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5.5772695905856824E-2</v>
      </c>
      <c r="AJ12" s="6"/>
    </row>
    <row r="15" spans="1:37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7" x14ac:dyDescent="0.35">
      <c r="A16" s="20">
        <v>44754</v>
      </c>
      <c r="B16" s="21" t="s">
        <v>198</v>
      </c>
      <c r="C16" s="21" t="s">
        <v>150</v>
      </c>
      <c r="D16" s="44">
        <v>132821</v>
      </c>
      <c r="E16" s="21"/>
      <c r="F16" s="21">
        <v>4</v>
      </c>
      <c r="G16" s="21">
        <v>0</v>
      </c>
      <c r="H16" s="22">
        <v>1890</v>
      </c>
      <c r="I16" s="33">
        <v>0.52</v>
      </c>
      <c r="J16" s="24">
        <f>IFERROR(K16/H16,"")</f>
        <v>0.59995767195767202</v>
      </c>
      <c r="K16" s="22">
        <v>1133.92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300</v>
      </c>
      <c r="V16" s="25">
        <f>H16*U16*I16/15</f>
        <v>19656</v>
      </c>
      <c r="W16" s="25">
        <v>339.55</v>
      </c>
      <c r="X16" s="25">
        <v>25667.94</v>
      </c>
      <c r="Y16" s="25">
        <f>F16*100</f>
        <v>400</v>
      </c>
      <c r="Z16" s="25">
        <v>339.36</v>
      </c>
      <c r="AA16" s="25"/>
      <c r="AB16" s="25">
        <v>120</v>
      </c>
      <c r="AC16" s="25">
        <v>0</v>
      </c>
      <c r="AD16" s="25">
        <f>F16*3.83</f>
        <v>15.32</v>
      </c>
      <c r="AE16" s="25">
        <v>51.33</v>
      </c>
      <c r="AF16" s="25">
        <f>V16+Y16+Z16+AA16+AB16+AC16+AD16</f>
        <v>20530.68</v>
      </c>
      <c r="AG16" s="25">
        <f>IFERROR(IFERROR((H16*W16*J16/15)-AE16,""),"")</f>
        <v>25616.839066666667</v>
      </c>
      <c r="AH16" s="26">
        <f>IFERROR(AG16-AF16,"")</f>
        <v>5086.1590666666671</v>
      </c>
      <c r="AJ16" s="6"/>
      <c r="AK16" s="6"/>
    </row>
    <row r="17" spans="1:38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79">
        <v>100</v>
      </c>
      <c r="Z17" s="3"/>
      <c r="AA17" s="21"/>
      <c r="AB17" s="21"/>
      <c r="AC17" s="79">
        <v>0</v>
      </c>
      <c r="AD17" s="21"/>
      <c r="AE17" s="21"/>
      <c r="AF17" s="21"/>
      <c r="AG17" s="21"/>
      <c r="AH17" s="26">
        <f>IFERROR(AH16/F16,"")</f>
        <v>1271.5397666666668</v>
      </c>
      <c r="AK17" s="63"/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0.19854748876042699</v>
      </c>
      <c r="AK18" s="63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11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K21" s="63"/>
    </row>
    <row r="22" spans="1:38" x14ac:dyDescent="0.35">
      <c r="A22" s="20">
        <v>44754</v>
      </c>
      <c r="B22" s="21" t="s">
        <v>198</v>
      </c>
      <c r="C22" s="21" t="s">
        <v>150</v>
      </c>
      <c r="D22" s="44">
        <v>132821</v>
      </c>
      <c r="E22" s="21"/>
      <c r="F22" s="21">
        <v>36</v>
      </c>
      <c r="G22" s="21">
        <v>0</v>
      </c>
      <c r="H22" s="22">
        <v>19935</v>
      </c>
      <c r="I22" s="33">
        <v>0.54</v>
      </c>
      <c r="J22" s="24">
        <f>IFERROR(K22/H22,"")</f>
        <v>0.51192776523702033</v>
      </c>
      <c r="K22" s="22">
        <v>10205.280000000001</v>
      </c>
      <c r="L22" s="22"/>
      <c r="M22" s="22"/>
      <c r="N22" s="22"/>
      <c r="O22" s="22"/>
      <c r="P22" s="22"/>
      <c r="Q22" s="22"/>
      <c r="R22" s="22"/>
      <c r="S22" s="22"/>
      <c r="T22" s="22"/>
      <c r="U22" s="25">
        <v>300</v>
      </c>
      <c r="V22" s="25">
        <f>H22*U22*I22/15</f>
        <v>215298</v>
      </c>
      <c r="W22" s="25">
        <v>339.55</v>
      </c>
      <c r="X22" s="25">
        <v>231011.48</v>
      </c>
      <c r="Y22" s="25">
        <f>F22*100</f>
        <v>3600</v>
      </c>
      <c r="Z22" s="25">
        <v>3054.24</v>
      </c>
      <c r="AA22" s="25"/>
      <c r="AB22" s="25">
        <v>1080</v>
      </c>
      <c r="AC22" s="25">
        <v>0</v>
      </c>
      <c r="AD22" s="25">
        <f>IF(F22="",G22*3.83,F22*3.83)</f>
        <v>137.88</v>
      </c>
      <c r="AE22" s="25">
        <v>462.01</v>
      </c>
      <c r="AF22" s="25">
        <f>V22+Y22+Z22+AA22+AB22+AC22+AD22</f>
        <v>223170.12</v>
      </c>
      <c r="AG22" s="25">
        <f>IFERROR(IFERROR((H22*W22*J22/15)-AE22,""),"")</f>
        <v>230551.5116</v>
      </c>
      <c r="AH22" s="26">
        <f>IFERROR(AG22-AF22,"")</f>
        <v>7381.3916000000027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79">
        <v>100</v>
      </c>
      <c r="Z23" s="3"/>
      <c r="AA23" s="21"/>
      <c r="AB23" s="21"/>
      <c r="AC23" s="79">
        <v>0</v>
      </c>
      <c r="AD23" s="21"/>
      <c r="AE23" s="21"/>
      <c r="AF23" s="21"/>
      <c r="AG23" s="21"/>
      <c r="AH23" s="26">
        <f>AH22/F22</f>
        <v>205.03865555555564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3.2016235975960539E-2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8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8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 t="s">
        <v>32</v>
      </c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11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8" x14ac:dyDescent="0.35">
      <c r="A28" s="20">
        <v>44754</v>
      </c>
      <c r="B28" s="21" t="s">
        <v>198</v>
      </c>
      <c r="C28" s="21" t="s">
        <v>150</v>
      </c>
      <c r="D28" s="44">
        <v>132821</v>
      </c>
      <c r="E28" s="21"/>
      <c r="F28" s="21">
        <v>10</v>
      </c>
      <c r="G28" s="21">
        <v>0</v>
      </c>
      <c r="H28" s="22">
        <v>4860</v>
      </c>
      <c r="I28" s="33">
        <v>0.53</v>
      </c>
      <c r="J28" s="24">
        <f>IFERROR(K28/H28,"")</f>
        <v>0.58329218106995884</v>
      </c>
      <c r="K28" s="22">
        <v>2834.8</v>
      </c>
      <c r="L28" s="22"/>
      <c r="M28" s="22"/>
      <c r="N28" s="22"/>
      <c r="O28" s="22"/>
      <c r="P28" s="22"/>
      <c r="Q28" s="22"/>
      <c r="R28" s="22"/>
      <c r="S28" s="22"/>
      <c r="T28" s="22"/>
      <c r="U28" s="25">
        <v>300</v>
      </c>
      <c r="V28" s="25">
        <f>H28*U28*I28/15</f>
        <v>51516</v>
      </c>
      <c r="W28" s="25">
        <v>339.55</v>
      </c>
      <c r="X28" s="25">
        <v>64169.85</v>
      </c>
      <c r="Y28" s="76">
        <f>F28*100</f>
        <v>1000</v>
      </c>
      <c r="Z28" s="25">
        <v>848.4</v>
      </c>
      <c r="AA28" s="25"/>
      <c r="AB28" s="25">
        <v>300</v>
      </c>
      <c r="AC28" s="25">
        <v>0</v>
      </c>
      <c r="AD28" s="25">
        <f>IF(F28="",G28*3.83,F28*3.83)</f>
        <v>38.299999999999997</v>
      </c>
      <c r="AE28" s="25">
        <v>128.33000000000001</v>
      </c>
      <c r="AF28" s="25">
        <f>V28+Y28+Z28+AA28+AB28+AC28+AD28</f>
        <v>53702.700000000004</v>
      </c>
      <c r="AG28" s="25">
        <f>IFERROR(IFERROR((H28*W28*J28/15)-AE28,""),"")</f>
        <v>64042.092666666664</v>
      </c>
      <c r="AH28" s="26">
        <f>IFERROR(AG28-AF28,"")</f>
        <v>10339.392666666659</v>
      </c>
      <c r="AJ28">
        <f>F4+G4+F10+G10+F16+G16+F22+G22+F28+G28+F34+G34+F40+G40+F46+G46+F52+G52</f>
        <v>382</v>
      </c>
      <c r="AK28" s="50" t="s">
        <v>22</v>
      </c>
      <c r="AL28" t="s">
        <v>72</v>
      </c>
    </row>
    <row r="29" spans="1:38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79">
        <v>100</v>
      </c>
      <c r="Z29" s="3"/>
      <c r="AA29" s="21"/>
      <c r="AB29" s="21"/>
      <c r="AC29" s="79">
        <v>0</v>
      </c>
      <c r="AD29" s="21"/>
      <c r="AE29" s="21"/>
      <c r="AF29" s="21"/>
      <c r="AG29" s="21"/>
      <c r="AH29" s="26">
        <f>AH28/F28</f>
        <v>1033.9392666666658</v>
      </c>
      <c r="AJ29" s="11">
        <f>AH4+AH10+AH16+AH22+AH28+AH34+AH40+AH46+AH52</f>
        <v>157072.45666666669</v>
      </c>
      <c r="AK29" s="11">
        <f>AJ29*30%</f>
        <v>47121.737000000008</v>
      </c>
    </row>
    <row r="30" spans="1:38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0.16144682717478126</v>
      </c>
      <c r="AJ30" s="11"/>
      <c r="AK30" s="11"/>
    </row>
    <row r="31" spans="1:38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8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7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32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11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37" x14ac:dyDescent="0.35">
      <c r="A34" s="20">
        <v>44755</v>
      </c>
      <c r="B34" s="21" t="s">
        <v>199</v>
      </c>
      <c r="C34" s="21" t="s">
        <v>150</v>
      </c>
      <c r="D34" s="44">
        <v>133224</v>
      </c>
      <c r="E34" s="21"/>
      <c r="F34" s="21">
        <v>50</v>
      </c>
      <c r="G34" s="21">
        <v>0</v>
      </c>
      <c r="H34" s="22">
        <v>23160</v>
      </c>
      <c r="I34" s="33">
        <v>0.52</v>
      </c>
      <c r="J34" s="24">
        <f>IFERROR(K34/H34,"")</f>
        <v>0.51966753022452505</v>
      </c>
      <c r="K34" s="22">
        <v>12035.5</v>
      </c>
      <c r="L34" s="22"/>
      <c r="M34" s="22"/>
      <c r="N34" s="22"/>
      <c r="O34" s="22"/>
      <c r="P34" s="22"/>
      <c r="Q34" s="22"/>
      <c r="R34" s="22"/>
      <c r="S34" s="22"/>
      <c r="T34" s="22"/>
      <c r="U34" s="25">
        <v>300</v>
      </c>
      <c r="V34" s="25">
        <f>H34*U34*I34/15</f>
        <v>240864</v>
      </c>
      <c r="W34" s="25">
        <v>340.64</v>
      </c>
      <c r="X34" s="25">
        <v>273314.99</v>
      </c>
      <c r="Y34" s="76">
        <f>F34*100</f>
        <v>5000</v>
      </c>
      <c r="Z34" s="25">
        <v>4312</v>
      </c>
      <c r="AA34" s="25"/>
      <c r="AB34" s="25">
        <v>1500</v>
      </c>
      <c r="AC34" s="25">
        <v>0</v>
      </c>
      <c r="AD34" s="25">
        <f>IF(F34="",G34*3.83,F34*3.83)</f>
        <v>191.5</v>
      </c>
      <c r="AE34" s="25">
        <v>546.64</v>
      </c>
      <c r="AF34" s="25">
        <f>V34+Y34+Z34+AA34+AB34+AC34+AD34</f>
        <v>251867.5</v>
      </c>
      <c r="AG34" s="25">
        <f>IFERROR(IFERROR((H34*W34*J34/15)-AE34,""),"")</f>
        <v>272771.5413333333</v>
      </c>
      <c r="AH34" s="26">
        <f>IFERROR(AG34-AF34,"")</f>
        <v>20904.041333333298</v>
      </c>
    </row>
    <row r="35" spans="1:37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79">
        <v>100</v>
      </c>
      <c r="Z35" s="3"/>
      <c r="AA35" s="21"/>
      <c r="AB35" s="21"/>
      <c r="AC35" s="79">
        <v>0</v>
      </c>
      <c r="AD35" s="21"/>
      <c r="AE35" s="21"/>
      <c r="AF35" s="21"/>
      <c r="AG35" s="21"/>
      <c r="AH35" s="26">
        <f>AH34/F34</f>
        <v>418.08082666666598</v>
      </c>
    </row>
    <row r="36" spans="1:37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7.6635712182995155E-2</v>
      </c>
    </row>
    <row r="37" spans="1:37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7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37" x14ac:dyDescent="0.35">
      <c r="A39" s="37" t="s">
        <v>1</v>
      </c>
      <c r="B39" s="37" t="s">
        <v>2</v>
      </c>
      <c r="C39" s="37" t="s">
        <v>110</v>
      </c>
      <c r="D39" s="37" t="s">
        <v>66</v>
      </c>
      <c r="E39" s="37" t="s">
        <v>32</v>
      </c>
      <c r="F39" s="37" t="s">
        <v>137</v>
      </c>
      <c r="G39" s="37" t="s">
        <v>138</v>
      </c>
      <c r="H39" s="37" t="s">
        <v>4</v>
      </c>
      <c r="I39" s="37" t="s">
        <v>5</v>
      </c>
      <c r="J39" s="37" t="s">
        <v>6</v>
      </c>
      <c r="K39" s="37" t="s">
        <v>7</v>
      </c>
      <c r="L39" s="37" t="s">
        <v>279</v>
      </c>
      <c r="M39" s="37" t="s">
        <v>280</v>
      </c>
      <c r="N39" s="37" t="s">
        <v>281</v>
      </c>
      <c r="O39" s="37" t="s">
        <v>282</v>
      </c>
      <c r="P39" s="37" t="s">
        <v>283</v>
      </c>
      <c r="Q39" s="37" t="s">
        <v>284</v>
      </c>
      <c r="R39" s="37" t="s">
        <v>904</v>
      </c>
      <c r="S39" s="37" t="s">
        <v>285</v>
      </c>
      <c r="T39" s="37" t="s">
        <v>289</v>
      </c>
      <c r="U39" s="37" t="s">
        <v>8</v>
      </c>
      <c r="V39" s="37" t="s">
        <v>9</v>
      </c>
      <c r="W39" s="37" t="s">
        <v>10</v>
      </c>
      <c r="X39" s="37" t="s">
        <v>100</v>
      </c>
      <c r="Y39" s="37" t="s">
        <v>106</v>
      </c>
      <c r="Z39" s="37" t="s">
        <v>12</v>
      </c>
      <c r="AA39" s="37" t="s">
        <v>11</v>
      </c>
      <c r="AB39" s="37" t="s">
        <v>13</v>
      </c>
      <c r="AC39" s="37" t="s">
        <v>74</v>
      </c>
      <c r="AD39" s="37" t="s">
        <v>21</v>
      </c>
      <c r="AE39" s="37" t="s">
        <v>14</v>
      </c>
      <c r="AF39" s="37" t="s">
        <v>15</v>
      </c>
      <c r="AG39" s="37" t="s">
        <v>16</v>
      </c>
      <c r="AH39" s="15" t="s">
        <v>17</v>
      </c>
    </row>
    <row r="40" spans="1:37" x14ac:dyDescent="0.35">
      <c r="A40" s="38">
        <v>44757</v>
      </c>
      <c r="B40" s="39" t="s">
        <v>200</v>
      </c>
      <c r="C40" s="39" t="s">
        <v>111</v>
      </c>
      <c r="D40" s="45">
        <v>133341</v>
      </c>
      <c r="E40" s="39"/>
      <c r="F40" s="39">
        <v>0</v>
      </c>
      <c r="G40" s="39">
        <v>60</v>
      </c>
      <c r="H40" s="40">
        <v>26909</v>
      </c>
      <c r="I40" s="53">
        <v>0.5</v>
      </c>
      <c r="J40" s="42">
        <f>IFERROR(K40/H40,"")</f>
        <v>0.50405068936043707</v>
      </c>
      <c r="K40" s="40">
        <v>13563.5</v>
      </c>
      <c r="L40" s="40"/>
      <c r="M40" s="40"/>
      <c r="N40" s="40"/>
      <c r="O40" s="40"/>
      <c r="P40" s="40"/>
      <c r="Q40" s="40"/>
      <c r="R40" s="40"/>
      <c r="S40" s="40"/>
      <c r="T40" s="40"/>
      <c r="U40" s="43">
        <v>290</v>
      </c>
      <c r="V40" s="43">
        <f>H40*U40*I40/15</f>
        <v>260120.33333333334</v>
      </c>
      <c r="W40" s="43">
        <v>335.79</v>
      </c>
      <c r="X40" s="43">
        <v>303628.44</v>
      </c>
      <c r="Y40" s="43">
        <f>G40*100</f>
        <v>6000</v>
      </c>
      <c r="Z40" s="43">
        <v>5126</v>
      </c>
      <c r="AA40" s="43"/>
      <c r="AB40" s="43">
        <v>1740</v>
      </c>
      <c r="AC40" s="43">
        <v>0</v>
      </c>
      <c r="AD40" s="43">
        <f>IF(F40="",G40*3.83,G40*3.83)</f>
        <v>229.8</v>
      </c>
      <c r="AE40" s="43">
        <v>607.25</v>
      </c>
      <c r="AF40" s="43">
        <f>V40+Y40+Z40+AA40+AB40+AC40+AD40</f>
        <v>273216.13333333336</v>
      </c>
      <c r="AG40" s="43">
        <f>IFERROR(IFERROR((H40*W40*J40/15)-AE40,""),"")</f>
        <v>303025.26100000006</v>
      </c>
      <c r="AH40" s="26">
        <f>IFERROR(AG40-AF40,"")</f>
        <v>29809.127666666696</v>
      </c>
    </row>
    <row r="41" spans="1:37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79">
        <v>100</v>
      </c>
      <c r="Z41" s="3"/>
      <c r="AA41" s="21"/>
      <c r="AB41" s="21"/>
      <c r="AC41" s="79">
        <v>0</v>
      </c>
      <c r="AD41" s="21"/>
      <c r="AE41" s="21"/>
      <c r="AF41" s="21"/>
      <c r="AG41" s="21"/>
      <c r="AH41" s="26">
        <f>AH40/G40</f>
        <v>496.81879444444496</v>
      </c>
      <c r="AJ41" s="11"/>
      <c r="AK41" s="11"/>
    </row>
    <row r="42" spans="1:37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9.8371758078171209E-2</v>
      </c>
      <c r="AJ42" s="11"/>
      <c r="AK42" s="11"/>
    </row>
    <row r="43" spans="1:37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</row>
    <row r="44" spans="1:37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</row>
    <row r="45" spans="1:37" x14ac:dyDescent="0.35">
      <c r="A45" s="37" t="s">
        <v>1</v>
      </c>
      <c r="B45" s="37" t="s">
        <v>2</v>
      </c>
      <c r="C45" s="37" t="s">
        <v>110</v>
      </c>
      <c r="D45" s="37" t="s">
        <v>66</v>
      </c>
      <c r="E45" s="37" t="s">
        <v>32</v>
      </c>
      <c r="F45" s="37" t="s">
        <v>137</v>
      </c>
      <c r="G45" s="37" t="s">
        <v>138</v>
      </c>
      <c r="H45" s="37" t="s">
        <v>4</v>
      </c>
      <c r="I45" s="37" t="s">
        <v>5</v>
      </c>
      <c r="J45" s="37" t="s">
        <v>6</v>
      </c>
      <c r="K45" s="37" t="s">
        <v>7</v>
      </c>
      <c r="L45" s="37" t="s">
        <v>279</v>
      </c>
      <c r="M45" s="37" t="s">
        <v>280</v>
      </c>
      <c r="N45" s="37" t="s">
        <v>281</v>
      </c>
      <c r="O45" s="37" t="s">
        <v>282</v>
      </c>
      <c r="P45" s="37" t="s">
        <v>283</v>
      </c>
      <c r="Q45" s="37" t="s">
        <v>284</v>
      </c>
      <c r="R45" s="37" t="s">
        <v>904</v>
      </c>
      <c r="S45" s="37" t="s">
        <v>285</v>
      </c>
      <c r="T45" s="37" t="s">
        <v>289</v>
      </c>
      <c r="U45" s="37" t="s">
        <v>8</v>
      </c>
      <c r="V45" s="37" t="s">
        <v>9</v>
      </c>
      <c r="W45" s="37" t="s">
        <v>10</v>
      </c>
      <c r="X45" s="37" t="s">
        <v>100</v>
      </c>
      <c r="Y45" s="37" t="s">
        <v>106</v>
      </c>
      <c r="Z45" s="37" t="s">
        <v>12</v>
      </c>
      <c r="AA45" s="37" t="s">
        <v>11</v>
      </c>
      <c r="AB45" s="37" t="s">
        <v>13</v>
      </c>
      <c r="AC45" s="37" t="s">
        <v>74</v>
      </c>
      <c r="AD45" s="37" t="s">
        <v>21</v>
      </c>
      <c r="AE45" s="37" t="s">
        <v>14</v>
      </c>
      <c r="AF45" s="37" t="s">
        <v>15</v>
      </c>
      <c r="AG45" s="37" t="s">
        <v>16</v>
      </c>
      <c r="AH45" s="15" t="s">
        <v>17</v>
      </c>
    </row>
    <row r="46" spans="1:37" x14ac:dyDescent="0.35">
      <c r="A46" s="38">
        <v>44757</v>
      </c>
      <c r="B46" s="39" t="s">
        <v>201</v>
      </c>
      <c r="C46" s="39" t="s">
        <v>148</v>
      </c>
      <c r="D46" s="45">
        <v>133037</v>
      </c>
      <c r="E46" s="39"/>
      <c r="F46" s="39">
        <v>0</v>
      </c>
      <c r="G46" s="39">
        <v>65</v>
      </c>
      <c r="H46" s="40">
        <v>21940</v>
      </c>
      <c r="I46" s="53">
        <v>0.5</v>
      </c>
      <c r="J46" s="42">
        <f>IFERROR(K46/H46,"")</f>
        <v>0.49610300820419323</v>
      </c>
      <c r="K46" s="40">
        <v>10884.5</v>
      </c>
      <c r="L46" s="40"/>
      <c r="M46" s="40"/>
      <c r="N46" s="40"/>
      <c r="O46" s="40"/>
      <c r="P46" s="40"/>
      <c r="Q46" s="40"/>
      <c r="R46" s="40"/>
      <c r="S46" s="40"/>
      <c r="T46" s="40"/>
      <c r="U46" s="43">
        <v>280</v>
      </c>
      <c r="V46" s="43">
        <f>H46*U46*I46/15</f>
        <v>204773.33333333334</v>
      </c>
      <c r="W46" s="43">
        <v>328.29</v>
      </c>
      <c r="X46" s="43">
        <v>238218.79</v>
      </c>
      <c r="Y46" s="43">
        <f>G46*60</f>
        <v>3900</v>
      </c>
      <c r="Z46" s="43">
        <v>13741.2</v>
      </c>
      <c r="AA46" s="43"/>
      <c r="AB46" s="43">
        <v>0</v>
      </c>
      <c r="AC46" s="43">
        <f>G46*30</f>
        <v>1950</v>
      </c>
      <c r="AD46" s="43">
        <f>IF(F46="",G46*3.83,G46*3.83)</f>
        <v>248.95000000000002</v>
      </c>
      <c r="AE46" s="43">
        <v>476.44</v>
      </c>
      <c r="AF46" s="43">
        <f>V46+Y46+Z46+AA46+AB46+AC46+AD46</f>
        <v>224613.48333333337</v>
      </c>
      <c r="AG46" s="43">
        <f>IFERROR(IFERROR((H46*W46*J46/15)-AE46,""),"")</f>
        <v>237741.72699999998</v>
      </c>
      <c r="AH46" s="26">
        <f>IFERROR(AG46-AF46,"")</f>
        <v>13128.243666666618</v>
      </c>
    </row>
    <row r="47" spans="1:3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79">
        <v>60</v>
      </c>
      <c r="Z47" s="3"/>
      <c r="AA47" s="21"/>
      <c r="AB47" s="21"/>
      <c r="AC47" s="79">
        <v>30</v>
      </c>
      <c r="AD47" s="21"/>
      <c r="AE47" s="21"/>
      <c r="AF47" s="21"/>
      <c r="AG47" s="21"/>
      <c r="AH47" s="26">
        <f>AH46/G46</f>
        <v>201.97297948717875</v>
      </c>
    </row>
    <row r="48" spans="1:3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5.5220612015940383E-2</v>
      </c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</row>
    <row r="51" spans="1:59" x14ac:dyDescent="0.35">
      <c r="A51" s="37" t="s">
        <v>1</v>
      </c>
      <c r="B51" s="37" t="s">
        <v>2</v>
      </c>
      <c r="C51" s="37" t="s">
        <v>110</v>
      </c>
      <c r="D51" s="37" t="s">
        <v>66</v>
      </c>
      <c r="E51" s="37" t="s">
        <v>32</v>
      </c>
      <c r="F51" s="37" t="s">
        <v>137</v>
      </c>
      <c r="G51" s="37" t="s">
        <v>138</v>
      </c>
      <c r="H51" s="37" t="s">
        <v>4</v>
      </c>
      <c r="I51" s="37" t="s">
        <v>5</v>
      </c>
      <c r="J51" s="37" t="s">
        <v>6</v>
      </c>
      <c r="K51" s="37" t="s">
        <v>7</v>
      </c>
      <c r="L51" s="37" t="s">
        <v>279</v>
      </c>
      <c r="M51" s="37" t="s">
        <v>280</v>
      </c>
      <c r="N51" s="37" t="s">
        <v>281</v>
      </c>
      <c r="O51" s="37" t="s">
        <v>282</v>
      </c>
      <c r="P51" s="37" t="s">
        <v>283</v>
      </c>
      <c r="Q51" s="37" t="s">
        <v>284</v>
      </c>
      <c r="R51" s="37" t="s">
        <v>904</v>
      </c>
      <c r="S51" s="37" t="s">
        <v>285</v>
      </c>
      <c r="T51" s="37" t="s">
        <v>289</v>
      </c>
      <c r="U51" s="37" t="s">
        <v>8</v>
      </c>
      <c r="V51" s="37" t="s">
        <v>9</v>
      </c>
      <c r="W51" s="37" t="s">
        <v>10</v>
      </c>
      <c r="X51" s="37" t="s">
        <v>100</v>
      </c>
      <c r="Y51" s="37" t="s">
        <v>106</v>
      </c>
      <c r="Z51" s="37" t="s">
        <v>12</v>
      </c>
      <c r="AA51" s="37" t="s">
        <v>11</v>
      </c>
      <c r="AB51" s="37" t="s">
        <v>13</v>
      </c>
      <c r="AC51" s="37" t="s">
        <v>74</v>
      </c>
      <c r="AD51" s="37" t="s">
        <v>21</v>
      </c>
      <c r="AE51" s="37" t="s">
        <v>14</v>
      </c>
      <c r="AF51" s="37" t="s">
        <v>15</v>
      </c>
      <c r="AG51" s="37" t="s">
        <v>16</v>
      </c>
      <c r="AH51" s="15" t="s">
        <v>17</v>
      </c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47"/>
    </row>
    <row r="52" spans="1:59" x14ac:dyDescent="0.35">
      <c r="A52" s="38">
        <v>44757</v>
      </c>
      <c r="B52" s="39" t="s">
        <v>202</v>
      </c>
      <c r="C52" s="39" t="s">
        <v>124</v>
      </c>
      <c r="D52" s="45">
        <v>133036</v>
      </c>
      <c r="E52" s="39"/>
      <c r="F52" s="39">
        <v>50</v>
      </c>
      <c r="G52" s="39">
        <v>0</v>
      </c>
      <c r="H52" s="40">
        <v>26840</v>
      </c>
      <c r="I52" s="53">
        <v>0.55000000000000004</v>
      </c>
      <c r="J52" s="42">
        <f>IFERROR(K52/H52,"")</f>
        <v>0.55618479880774963</v>
      </c>
      <c r="K52" s="40">
        <v>14928</v>
      </c>
      <c r="L52" s="40"/>
      <c r="M52" s="40"/>
      <c r="N52" s="40"/>
      <c r="O52" s="40"/>
      <c r="P52" s="40"/>
      <c r="Q52" s="40"/>
      <c r="R52" s="40"/>
      <c r="S52" s="40"/>
      <c r="T52" s="40"/>
      <c r="U52" s="43">
        <v>300</v>
      </c>
      <c r="V52" s="43">
        <f>H52*U52*I52/15</f>
        <v>295240</v>
      </c>
      <c r="W52" s="43">
        <v>338.55</v>
      </c>
      <c r="X52" s="43">
        <v>336926.33</v>
      </c>
      <c r="Y52" s="43">
        <f>F52*80</f>
        <v>4000</v>
      </c>
      <c r="Z52" s="43">
        <v>12150</v>
      </c>
      <c r="AA52" s="43"/>
      <c r="AB52" s="43">
        <v>1500</v>
      </c>
      <c r="AC52" s="43">
        <f>F52*30</f>
        <v>1500</v>
      </c>
      <c r="AD52" s="43">
        <f>IF(F52="",G52*3.83,F52*3.83)</f>
        <v>191.5</v>
      </c>
      <c r="AE52" s="43">
        <v>673.85</v>
      </c>
      <c r="AF52" s="43">
        <f>V52+Y52+Z52+AA52+AB52+AC52+AD52</f>
        <v>314581.5</v>
      </c>
      <c r="AG52" s="43">
        <f>IFERROR(IFERROR((H52*W52*J52/15)-AE52,""),"")</f>
        <v>336251.11000000004</v>
      </c>
      <c r="AH52" s="26">
        <f>IFERROR(AG52-AF52,"")</f>
        <v>21669.610000000044</v>
      </c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47"/>
    </row>
    <row r="53" spans="1:5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79">
        <v>80</v>
      </c>
      <c r="Z53" s="3"/>
      <c r="AA53" s="21"/>
      <c r="AB53" s="21"/>
      <c r="AC53" s="79">
        <v>30</v>
      </c>
      <c r="AD53" s="21"/>
      <c r="AE53" s="21"/>
      <c r="AF53" s="21"/>
      <c r="AG53" s="21"/>
      <c r="AH53" s="26">
        <f>AH52/F52</f>
        <v>433.39220000000091</v>
      </c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4"/>
    </row>
    <row r="54" spans="1:59" ht="15" thickBot="1" x14ac:dyDescent="0.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6.4444724063513245E-2</v>
      </c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4"/>
    </row>
    <row r="55" spans="1:59" ht="16" thickBot="1" x14ac:dyDescent="0.4">
      <c r="A55" s="377" t="s">
        <v>193</v>
      </c>
      <c r="B55" s="378"/>
      <c r="C55" s="378"/>
      <c r="D55" s="378"/>
      <c r="E55" s="378"/>
      <c r="F55" s="378"/>
      <c r="G55" s="378"/>
      <c r="H55" s="378"/>
      <c r="I55" s="378"/>
      <c r="J55" s="378"/>
      <c r="K55" s="378"/>
      <c r="L55" s="46"/>
      <c r="M55" s="46"/>
      <c r="N55" s="46"/>
      <c r="O55" s="46"/>
      <c r="P55" s="46"/>
      <c r="Q55" s="46"/>
      <c r="R55" s="46"/>
      <c r="S55" s="46"/>
      <c r="T55" s="46"/>
      <c r="U55" s="30"/>
      <c r="V55" s="31">
        <f>V4+V10+V16+V22+V28+V34+V40+V46+V52</f>
        <v>1914733.0666666664</v>
      </c>
      <c r="W55" s="30"/>
      <c r="X55" s="30"/>
      <c r="Y55" s="31">
        <f t="shared" ref="Y55:AG55" si="0">Y4+Y10+Y16+Y22+Y28+Y34+Y40+Y46+Y52</f>
        <v>29300</v>
      </c>
      <c r="Z55" s="31">
        <f t="shared" si="0"/>
        <v>52949.600000000006</v>
      </c>
      <c r="AA55" s="31">
        <f t="shared" si="0"/>
        <v>0</v>
      </c>
      <c r="AB55" s="31">
        <f t="shared" si="0"/>
        <v>9450</v>
      </c>
      <c r="AC55" s="31">
        <f t="shared" si="0"/>
        <v>5040</v>
      </c>
      <c r="AD55" s="31">
        <f t="shared" si="0"/>
        <v>1463.06</v>
      </c>
      <c r="AE55" s="31">
        <f t="shared" si="0"/>
        <v>4345.66</v>
      </c>
      <c r="AF55" s="31">
        <f t="shared" si="0"/>
        <v>2012935.7266666668</v>
      </c>
      <c r="AG55" s="31">
        <f t="shared" si="0"/>
        <v>2170008.1833333331</v>
      </c>
      <c r="AH55" s="32"/>
    </row>
  </sheetData>
  <mergeCells count="2">
    <mergeCell ref="U2:AC2"/>
    <mergeCell ref="A55:K5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8"/>
  <dimension ref="A1:BG63"/>
  <sheetViews>
    <sheetView zoomScale="90" zoomScaleNormal="90" workbookViewId="0">
      <selection activeCell="A24" sqref="A24:U24"/>
    </sheetView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.453125" bestFit="1" customWidth="1"/>
    <col min="17" max="18" width="11.81640625" bestFit="1" customWidth="1"/>
    <col min="19" max="19" width="4.1796875" bestFit="1" customWidth="1"/>
    <col min="20" max="20" width="4.179687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7" x14ac:dyDescent="0.35">
      <c r="A4" s="20">
        <v>44760</v>
      </c>
      <c r="B4" s="21" t="s">
        <v>151</v>
      </c>
      <c r="C4" s="21" t="s">
        <v>152</v>
      </c>
      <c r="D4" s="44">
        <v>133126</v>
      </c>
      <c r="E4" s="21"/>
      <c r="F4" s="21">
        <v>50</v>
      </c>
      <c r="G4" s="21"/>
      <c r="H4" s="22">
        <v>27791</v>
      </c>
      <c r="I4" s="23">
        <v>0.53</v>
      </c>
      <c r="J4" s="24">
        <f>IFERROR(K4/H4,"")</f>
        <v>0.51743370155805835</v>
      </c>
      <c r="K4" s="22">
        <v>14380</v>
      </c>
      <c r="L4" s="22"/>
      <c r="M4" s="22"/>
      <c r="N4" s="22"/>
      <c r="O4" s="22"/>
      <c r="P4" s="22"/>
      <c r="Q4" s="22"/>
      <c r="R4" s="22"/>
      <c r="S4" s="22"/>
      <c r="T4" s="22"/>
      <c r="U4" s="25">
        <v>300</v>
      </c>
      <c r="V4" s="25">
        <f>H4*U4*I4/15</f>
        <v>294584.59999999998</v>
      </c>
      <c r="W4" s="25">
        <v>337.67</v>
      </c>
      <c r="X4" s="25">
        <v>323737.28000000003</v>
      </c>
      <c r="Y4" s="80">
        <f>F4*100</f>
        <v>5000</v>
      </c>
      <c r="Z4" s="25">
        <v>5266</v>
      </c>
      <c r="AA4" s="25"/>
      <c r="AB4" s="25">
        <v>1500</v>
      </c>
      <c r="AC4" s="25">
        <f>G4*30</f>
        <v>0</v>
      </c>
      <c r="AD4" s="25">
        <f>IF(F4="",G4*3.83,F4*3.83)</f>
        <v>191.5</v>
      </c>
      <c r="AE4" s="25">
        <v>647.42999999999995</v>
      </c>
      <c r="AF4" s="25">
        <f>V4+Y4+Z4+AA4+AB4+AC4+AD4</f>
        <v>306542.09999999998</v>
      </c>
      <c r="AG4" s="25">
        <f>IFERROR(IFERROR((H4*W4*J4/15)-AE4,""),"")</f>
        <v>323065.54333333339</v>
      </c>
      <c r="AH4" s="26">
        <f>IFERROR(AG4-AF4,"")</f>
        <v>16523.443333333416</v>
      </c>
    </row>
    <row r="5" spans="1:37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79">
        <v>100</v>
      </c>
      <c r="Z5" s="55"/>
      <c r="AA5" s="21"/>
      <c r="AB5" s="21"/>
      <c r="AC5" s="79">
        <v>0</v>
      </c>
      <c r="AD5" s="21"/>
      <c r="AE5" s="21"/>
      <c r="AF5" s="21"/>
      <c r="AG5" s="21"/>
      <c r="AH5" s="26">
        <f>IFERROR(AH4/F4,"")</f>
        <v>330.4688666666683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5.1145792778912409E-2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7" x14ac:dyDescent="0.35">
      <c r="A10" s="20">
        <v>44761</v>
      </c>
      <c r="B10" s="21" t="s">
        <v>204</v>
      </c>
      <c r="C10" s="21" t="s">
        <v>205</v>
      </c>
      <c r="D10" s="44">
        <v>133125</v>
      </c>
      <c r="E10" s="21"/>
      <c r="F10" s="21">
        <v>0</v>
      </c>
      <c r="G10" s="21">
        <v>65</v>
      </c>
      <c r="H10" s="22">
        <v>27073</v>
      </c>
      <c r="I10" s="33">
        <v>0.5</v>
      </c>
      <c r="J10" s="24">
        <f>IFERROR(K10/H10,"")</f>
        <v>0.5054112953865475</v>
      </c>
      <c r="K10" s="22">
        <v>13683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280</v>
      </c>
      <c r="V10" s="25">
        <f>H10*U10*I10/15</f>
        <v>252681.33333333334</v>
      </c>
      <c r="W10" s="25">
        <v>330.01</v>
      </c>
      <c r="X10" s="25">
        <v>301035.46000000002</v>
      </c>
      <c r="Y10" s="80">
        <f>G10*100</f>
        <v>6500</v>
      </c>
      <c r="Z10" s="25">
        <v>5812</v>
      </c>
      <c r="AA10" s="25"/>
      <c r="AB10" s="25">
        <v>1820</v>
      </c>
      <c r="AC10" s="81">
        <v>0</v>
      </c>
      <c r="AD10" s="25">
        <f>IF(F10="",G10*3.83,G10*3.83)</f>
        <v>248.95000000000002</v>
      </c>
      <c r="AE10" s="25">
        <v>602.07000000000005</v>
      </c>
      <c r="AF10" s="25">
        <f>V10+Y10+Z10+AA10+AB10+AC10+AD10</f>
        <v>267062.28333333338</v>
      </c>
      <c r="AG10" s="25">
        <f>IFERROR(IFERROR((H10*W10*J10/15)-AE10,""),"")</f>
        <v>300433.05200000003</v>
      </c>
      <c r="AH10" s="26">
        <f>IFERROR(AG10-AF10,"")</f>
        <v>33370.768666666641</v>
      </c>
    </row>
    <row r="11" spans="1:3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79">
        <v>100</v>
      </c>
      <c r="Z11" s="21"/>
      <c r="AA11" s="21"/>
      <c r="AB11" s="21"/>
      <c r="AC11" s="79">
        <v>0</v>
      </c>
      <c r="AD11" s="21"/>
      <c r="AE11" s="21" t="s">
        <v>42</v>
      </c>
      <c r="AF11" s="21"/>
      <c r="AG11" s="21"/>
      <c r="AH11" s="26">
        <f>IFERROR(AH10/G10,"")</f>
        <v>513.39644102564068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0.11107555724816402</v>
      </c>
      <c r="AJ12" s="6"/>
    </row>
    <row r="15" spans="1:37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7" x14ac:dyDescent="0.35">
      <c r="A16" s="20">
        <v>44762</v>
      </c>
      <c r="B16" s="21" t="s">
        <v>76</v>
      </c>
      <c r="C16" s="21" t="s">
        <v>152</v>
      </c>
      <c r="D16" s="44">
        <v>133122</v>
      </c>
      <c r="E16" s="21"/>
      <c r="F16" s="21">
        <v>100</v>
      </c>
      <c r="G16" s="21">
        <v>0</v>
      </c>
      <c r="H16" s="22">
        <v>57348</v>
      </c>
      <c r="I16" s="33">
        <v>0.53</v>
      </c>
      <c r="J16" s="24">
        <f>IFERROR(K16/H16,"")</f>
        <v>0.53780428262537494</v>
      </c>
      <c r="K16" s="22">
        <v>30842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300</v>
      </c>
      <c r="V16" s="25">
        <f>H16*U16*I16/15</f>
        <v>607888.80000000005</v>
      </c>
      <c r="W16" s="25">
        <v>335.85</v>
      </c>
      <c r="X16" s="25">
        <v>690542.34</v>
      </c>
      <c r="Y16" s="25">
        <f>F16*100</f>
        <v>10000</v>
      </c>
      <c r="Z16" s="25">
        <v>11344</v>
      </c>
      <c r="AA16" s="25"/>
      <c r="AB16" s="25">
        <v>3000</v>
      </c>
      <c r="AC16" s="25">
        <v>0</v>
      </c>
      <c r="AD16" s="25">
        <f>F16*3.83</f>
        <v>383</v>
      </c>
      <c r="AE16" s="25">
        <v>1381.08</v>
      </c>
      <c r="AF16" s="25">
        <f>V16+Y16+Z16+AA16+AB16+AC16+AD16</f>
        <v>632615.80000000005</v>
      </c>
      <c r="AG16" s="25">
        <f>IFERROR(IFERROR((H16*W16*J16/15)-AE16,""),"")</f>
        <v>689171.30000000016</v>
      </c>
      <c r="AH16" s="26">
        <f>IFERROR(AG16-AF16,"")</f>
        <v>56555.500000000116</v>
      </c>
      <c r="AJ16" s="6"/>
      <c r="AK16" s="6"/>
    </row>
    <row r="17" spans="1:38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79">
        <v>100</v>
      </c>
      <c r="Z17" s="3"/>
      <c r="AA17" s="21"/>
      <c r="AB17" s="21"/>
      <c r="AC17" s="79">
        <v>0</v>
      </c>
      <c r="AD17" s="21"/>
      <c r="AE17" s="21"/>
      <c r="AF17" s="21"/>
      <c r="AG17" s="21"/>
      <c r="AH17" s="26">
        <f>IFERROR(AH16/F16,"")</f>
        <v>565.5550000000012</v>
      </c>
      <c r="AK17" s="63"/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8.2063051667996184E-2</v>
      </c>
      <c r="AK18" s="63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11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K21" s="63"/>
    </row>
    <row r="22" spans="1:38" x14ac:dyDescent="0.35">
      <c r="A22" s="20">
        <v>44762</v>
      </c>
      <c r="B22" s="21" t="s">
        <v>76</v>
      </c>
      <c r="C22" s="21" t="s">
        <v>152</v>
      </c>
      <c r="D22" s="44">
        <v>133123</v>
      </c>
      <c r="E22" s="21"/>
      <c r="F22" s="21">
        <v>0</v>
      </c>
      <c r="G22" s="21">
        <v>65</v>
      </c>
      <c r="H22" s="22">
        <v>28689</v>
      </c>
      <c r="I22" s="33">
        <v>0.5</v>
      </c>
      <c r="J22" s="24">
        <f>IFERROR(K22/H22,"")</f>
        <v>0.5272404057304193</v>
      </c>
      <c r="K22" s="22">
        <v>15126</v>
      </c>
      <c r="L22" s="22"/>
      <c r="M22" s="22"/>
      <c r="N22" s="22"/>
      <c r="O22" s="22"/>
      <c r="P22" s="22"/>
      <c r="Q22" s="22"/>
      <c r="R22" s="22"/>
      <c r="S22" s="22"/>
      <c r="T22" s="22"/>
      <c r="U22" s="25">
        <v>280</v>
      </c>
      <c r="V22" s="25">
        <f>H22*U22*I22/15</f>
        <v>267764</v>
      </c>
      <c r="W22" s="25">
        <v>335.53</v>
      </c>
      <c r="X22" s="25">
        <v>338344.07</v>
      </c>
      <c r="Y22" s="25">
        <f>G22*100</f>
        <v>6500</v>
      </c>
      <c r="Z22" s="25">
        <v>5530</v>
      </c>
      <c r="AA22" s="25"/>
      <c r="AB22" s="25">
        <v>1820</v>
      </c>
      <c r="AC22" s="25">
        <v>0</v>
      </c>
      <c r="AD22" s="25">
        <f>IF(F22="",G22*3.83,G22*3.83)</f>
        <v>248.95000000000002</v>
      </c>
      <c r="AE22" s="25">
        <v>676.69</v>
      </c>
      <c r="AF22" s="25">
        <f>V22+Y22+Z22+AA22+AB22+AC22+AD22</f>
        <v>281862.95</v>
      </c>
      <c r="AG22" s="25">
        <f>IFERROR(IFERROR((H22*W22*J22/15)-AE22,""),"")</f>
        <v>337671.76199999993</v>
      </c>
      <c r="AH22" s="26">
        <f>IFERROR(AG22-AF22,"")</f>
        <v>55808.811999999918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79">
        <v>100</v>
      </c>
      <c r="Z23" s="3"/>
      <c r="AA23" s="21"/>
      <c r="AB23" s="21"/>
      <c r="AC23" s="79">
        <v>0</v>
      </c>
      <c r="AD23" s="21"/>
      <c r="AE23" s="21"/>
      <c r="AF23" s="21"/>
      <c r="AG23" s="21"/>
      <c r="AH23" s="26">
        <f>AH22/G22</f>
        <v>858.59710769230639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0.16527533030730573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8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8" x14ac:dyDescent="0.35">
      <c r="A27" s="37" t="s">
        <v>1</v>
      </c>
      <c r="B27" s="37" t="s">
        <v>2</v>
      </c>
      <c r="C27" s="37" t="s">
        <v>110</v>
      </c>
      <c r="D27" s="37" t="s">
        <v>66</v>
      </c>
      <c r="E27" s="37" t="s">
        <v>32</v>
      </c>
      <c r="F27" s="37" t="s">
        <v>137</v>
      </c>
      <c r="G27" s="37" t="s">
        <v>138</v>
      </c>
      <c r="H27" s="37" t="s">
        <v>4</v>
      </c>
      <c r="I27" s="37" t="s">
        <v>5</v>
      </c>
      <c r="J27" s="37" t="s">
        <v>6</v>
      </c>
      <c r="K27" s="37" t="s">
        <v>7</v>
      </c>
      <c r="L27" s="37" t="s">
        <v>279</v>
      </c>
      <c r="M27" s="37" t="s">
        <v>280</v>
      </c>
      <c r="N27" s="37" t="s">
        <v>281</v>
      </c>
      <c r="O27" s="37" t="s">
        <v>282</v>
      </c>
      <c r="P27" s="37" t="s">
        <v>283</v>
      </c>
      <c r="Q27" s="37" t="s">
        <v>284</v>
      </c>
      <c r="R27" s="37" t="s">
        <v>904</v>
      </c>
      <c r="S27" s="37" t="s">
        <v>285</v>
      </c>
      <c r="T27" s="37" t="s">
        <v>289</v>
      </c>
      <c r="U27" s="37" t="s">
        <v>8</v>
      </c>
      <c r="V27" s="37" t="s">
        <v>9</v>
      </c>
      <c r="W27" s="37" t="s">
        <v>10</v>
      </c>
      <c r="X27" s="37" t="s">
        <v>100</v>
      </c>
      <c r="Y27" s="37" t="s">
        <v>106</v>
      </c>
      <c r="Z27" s="37" t="s">
        <v>12</v>
      </c>
      <c r="AA27" s="37" t="s">
        <v>11</v>
      </c>
      <c r="AB27" s="37" t="s">
        <v>13</v>
      </c>
      <c r="AC27" s="37" t="s">
        <v>74</v>
      </c>
      <c r="AD27" s="37" t="s">
        <v>21</v>
      </c>
      <c r="AE27" s="37" t="s">
        <v>14</v>
      </c>
      <c r="AF27" s="37" t="s">
        <v>15</v>
      </c>
      <c r="AG27" s="37" t="s">
        <v>16</v>
      </c>
      <c r="AH27" s="15" t="s">
        <v>17</v>
      </c>
    </row>
    <row r="28" spans="1:38" x14ac:dyDescent="0.35">
      <c r="A28" s="38">
        <v>44763</v>
      </c>
      <c r="B28" s="39" t="s">
        <v>206</v>
      </c>
      <c r="C28" s="39" t="s">
        <v>207</v>
      </c>
      <c r="D28" s="45">
        <v>133128</v>
      </c>
      <c r="E28" s="39"/>
      <c r="F28" s="39">
        <v>50</v>
      </c>
      <c r="G28" s="39">
        <v>0</v>
      </c>
      <c r="H28" s="40">
        <v>26854</v>
      </c>
      <c r="I28" s="53">
        <v>0.53</v>
      </c>
      <c r="J28" s="42">
        <f>IFERROR(K28/H28,"")</f>
        <v>0.53107544499888282</v>
      </c>
      <c r="K28" s="40">
        <v>14261.5</v>
      </c>
      <c r="L28" s="40"/>
      <c r="M28" s="40"/>
      <c r="N28" s="40"/>
      <c r="O28" s="40"/>
      <c r="P28" s="40"/>
      <c r="Q28" s="40"/>
      <c r="R28" s="40"/>
      <c r="S28" s="40"/>
      <c r="T28" s="40"/>
      <c r="U28" s="43">
        <v>300</v>
      </c>
      <c r="V28" s="43">
        <f>H28*U28*I28/15</f>
        <v>284652.40000000002</v>
      </c>
      <c r="W28" s="43">
        <v>333.09</v>
      </c>
      <c r="X28" s="43">
        <v>316687.86</v>
      </c>
      <c r="Y28" s="43">
        <f>F28*100</f>
        <v>5000</v>
      </c>
      <c r="Z28" s="43">
        <v>4090</v>
      </c>
      <c r="AA28" s="43"/>
      <c r="AB28" s="43">
        <v>1500</v>
      </c>
      <c r="AC28" s="43">
        <v>0</v>
      </c>
      <c r="AD28" s="43">
        <f>IF(F28="",G28*3.83,F28*3.83)</f>
        <v>191.5</v>
      </c>
      <c r="AE28" s="43">
        <v>633.37</v>
      </c>
      <c r="AF28" s="43">
        <f>V28+Y28+Z28+AA28+AB28+AC28+AD28</f>
        <v>295433.90000000002</v>
      </c>
      <c r="AG28" s="43">
        <f>IFERROR(IFERROR((H28*W28*J28/15)-AE28,""),"")</f>
        <v>316057.49899999995</v>
      </c>
      <c r="AH28" s="26">
        <f>IFERROR(AG28-AF28,"")</f>
        <v>20623.598999999929</v>
      </c>
      <c r="AJ28">
        <f>F4+G4+F10+G10+F16+G16+F22+G22+F28+G28+F34+G34+F40+G40+F46+G46+F52+G52+F58+G58</f>
        <v>500</v>
      </c>
      <c r="AK28" s="50" t="s">
        <v>22</v>
      </c>
      <c r="AL28" t="s">
        <v>72</v>
      </c>
    </row>
    <row r="29" spans="1:38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79">
        <v>100</v>
      </c>
      <c r="Z29" s="3"/>
      <c r="AA29" s="21"/>
      <c r="AB29" s="21"/>
      <c r="AC29" s="79">
        <v>0</v>
      </c>
      <c r="AD29" s="21"/>
      <c r="AE29" s="21"/>
      <c r="AF29" s="21"/>
      <c r="AG29" s="21"/>
      <c r="AH29" s="26">
        <f>AH28/F28</f>
        <v>412.47197999999861</v>
      </c>
      <c r="AJ29" s="11">
        <f>AH4+AH10+AH16+AH22+AH28+AH34+AH40+AH46+AH52+AH58</f>
        <v>235167.26435333339</v>
      </c>
      <c r="AK29" s="11">
        <f>AJ29*30%</f>
        <v>70550.17930600002</v>
      </c>
    </row>
    <row r="30" spans="1:38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6.5252680494063936E-2</v>
      </c>
      <c r="AJ30" s="11"/>
      <c r="AK30" s="11"/>
    </row>
    <row r="31" spans="1:38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8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7" x14ac:dyDescent="0.35">
      <c r="A33" s="37" t="s">
        <v>1</v>
      </c>
      <c r="B33" s="37" t="s">
        <v>2</v>
      </c>
      <c r="C33" s="37" t="s">
        <v>110</v>
      </c>
      <c r="D33" s="37" t="s">
        <v>66</v>
      </c>
      <c r="E33" s="37" t="s">
        <v>32</v>
      </c>
      <c r="F33" s="37" t="s">
        <v>137</v>
      </c>
      <c r="G33" s="37" t="s">
        <v>138</v>
      </c>
      <c r="H33" s="37" t="s">
        <v>4</v>
      </c>
      <c r="I33" s="37" t="s">
        <v>5</v>
      </c>
      <c r="J33" s="37" t="s">
        <v>6</v>
      </c>
      <c r="K33" s="37" t="s">
        <v>7</v>
      </c>
      <c r="L33" s="37" t="s">
        <v>279</v>
      </c>
      <c r="M33" s="37" t="s">
        <v>280</v>
      </c>
      <c r="N33" s="37" t="s">
        <v>281</v>
      </c>
      <c r="O33" s="37" t="s">
        <v>282</v>
      </c>
      <c r="P33" s="37" t="s">
        <v>283</v>
      </c>
      <c r="Q33" s="37" t="s">
        <v>284</v>
      </c>
      <c r="R33" s="37" t="s">
        <v>904</v>
      </c>
      <c r="S33" s="37" t="s">
        <v>285</v>
      </c>
      <c r="T33" s="37" t="s">
        <v>289</v>
      </c>
      <c r="U33" s="37" t="s">
        <v>8</v>
      </c>
      <c r="V33" s="37" t="s">
        <v>9</v>
      </c>
      <c r="W33" s="37" t="s">
        <v>10</v>
      </c>
      <c r="X33" s="37" t="s">
        <v>100</v>
      </c>
      <c r="Y33" s="37" t="s">
        <v>106</v>
      </c>
      <c r="Z33" s="37" t="s">
        <v>12</v>
      </c>
      <c r="AA33" s="37" t="s">
        <v>11</v>
      </c>
      <c r="AB33" s="37" t="s">
        <v>13</v>
      </c>
      <c r="AC33" s="37" t="s">
        <v>74</v>
      </c>
      <c r="AD33" s="37" t="s">
        <v>21</v>
      </c>
      <c r="AE33" s="37" t="s">
        <v>14</v>
      </c>
      <c r="AF33" s="37" t="s">
        <v>15</v>
      </c>
      <c r="AG33" s="37" t="s">
        <v>16</v>
      </c>
      <c r="AH33" s="15" t="s">
        <v>17</v>
      </c>
    </row>
    <row r="34" spans="1:37" x14ac:dyDescent="0.35">
      <c r="A34" s="38">
        <v>44763</v>
      </c>
      <c r="B34" s="39" t="s">
        <v>208</v>
      </c>
      <c r="C34" s="39" t="s">
        <v>116</v>
      </c>
      <c r="D34" s="45">
        <v>133634</v>
      </c>
      <c r="E34" s="39"/>
      <c r="F34" s="39">
        <v>0</v>
      </c>
      <c r="G34" s="39">
        <v>44</v>
      </c>
      <c r="H34" s="40">
        <v>15800</v>
      </c>
      <c r="I34" s="53">
        <v>0.5</v>
      </c>
      <c r="J34" s="42">
        <f>IFERROR(K34/H34,"")</f>
        <v>0.51692215189873414</v>
      </c>
      <c r="K34" s="40">
        <v>8167.37</v>
      </c>
      <c r="L34" s="40"/>
      <c r="M34" s="40"/>
      <c r="N34" s="40"/>
      <c r="O34" s="40"/>
      <c r="P34" s="40"/>
      <c r="Q34" s="40"/>
      <c r="R34" s="40"/>
      <c r="S34" s="40"/>
      <c r="T34" s="40"/>
      <c r="U34" s="43">
        <v>275</v>
      </c>
      <c r="V34" s="43">
        <f>H34*U34*I34/15</f>
        <v>144833.33333333334</v>
      </c>
      <c r="W34" s="43">
        <v>324.97000000000003</v>
      </c>
      <c r="X34" s="43">
        <v>176941.91</v>
      </c>
      <c r="Y34" s="43">
        <f>G34*60</f>
        <v>2640</v>
      </c>
      <c r="Z34" s="43">
        <v>9431.1200000000008</v>
      </c>
      <c r="AA34" s="43"/>
      <c r="AB34" s="43">
        <v>0</v>
      </c>
      <c r="AC34" s="43">
        <f>G34*30</f>
        <v>1320</v>
      </c>
      <c r="AD34" s="43">
        <f>IF(F34="",G34*3.83,G34*3.83)</f>
        <v>168.52</v>
      </c>
      <c r="AE34" s="43">
        <v>353.87</v>
      </c>
      <c r="AF34" s="43">
        <f>V34+Y34+Z34+AA34+AB34+AC34+AD34</f>
        <v>158392.97333333333</v>
      </c>
      <c r="AG34" s="43">
        <f>IFERROR(IFERROR((H34*W34*J34/15)-AE34,""),"")</f>
        <v>176589.47859333333</v>
      </c>
      <c r="AH34" s="26">
        <f>IFERROR(AG34-AF34,"")</f>
        <v>18196.505260000005</v>
      </c>
    </row>
    <row r="35" spans="1:37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79">
        <v>60</v>
      </c>
      <c r="Z35" s="3"/>
      <c r="AA35" s="21"/>
      <c r="AB35" s="21"/>
      <c r="AC35" s="79">
        <v>30</v>
      </c>
      <c r="AD35" s="21"/>
      <c r="AE35" s="21"/>
      <c r="AF35" s="21"/>
      <c r="AG35" s="21"/>
      <c r="AH35" s="26">
        <f>AH34/G34</f>
        <v>413.55693772727284</v>
      </c>
    </row>
    <row r="36" spans="1:37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0.10304410775176821</v>
      </c>
    </row>
    <row r="37" spans="1:37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7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37" x14ac:dyDescent="0.35">
      <c r="A39" s="37" t="s">
        <v>1</v>
      </c>
      <c r="B39" s="37" t="s">
        <v>2</v>
      </c>
      <c r="C39" s="37" t="s">
        <v>110</v>
      </c>
      <c r="D39" s="37" t="s">
        <v>66</v>
      </c>
      <c r="E39" s="37" t="s">
        <v>32</v>
      </c>
      <c r="F39" s="37" t="s">
        <v>137</v>
      </c>
      <c r="G39" s="37" t="s">
        <v>138</v>
      </c>
      <c r="H39" s="37" t="s">
        <v>4</v>
      </c>
      <c r="I39" s="37" t="s">
        <v>5</v>
      </c>
      <c r="J39" s="37" t="s">
        <v>6</v>
      </c>
      <c r="K39" s="37" t="s">
        <v>7</v>
      </c>
      <c r="L39" s="37" t="s">
        <v>279</v>
      </c>
      <c r="M39" s="37" t="s">
        <v>280</v>
      </c>
      <c r="N39" s="37" t="s">
        <v>281</v>
      </c>
      <c r="O39" s="37" t="s">
        <v>282</v>
      </c>
      <c r="P39" s="37" t="s">
        <v>283</v>
      </c>
      <c r="Q39" s="37" t="s">
        <v>284</v>
      </c>
      <c r="R39" s="37" t="s">
        <v>904</v>
      </c>
      <c r="S39" s="37" t="s">
        <v>285</v>
      </c>
      <c r="T39" s="37" t="s">
        <v>289</v>
      </c>
      <c r="U39" s="37" t="s">
        <v>8</v>
      </c>
      <c r="V39" s="37" t="s">
        <v>9</v>
      </c>
      <c r="W39" s="37" t="s">
        <v>10</v>
      </c>
      <c r="X39" s="37" t="s">
        <v>100</v>
      </c>
      <c r="Y39" s="37" t="s">
        <v>106</v>
      </c>
      <c r="Z39" s="37" t="s">
        <v>12</v>
      </c>
      <c r="AA39" s="37" t="s">
        <v>11</v>
      </c>
      <c r="AB39" s="37" t="s">
        <v>13</v>
      </c>
      <c r="AC39" s="37" t="s">
        <v>74</v>
      </c>
      <c r="AD39" s="37" t="s">
        <v>21</v>
      </c>
      <c r="AE39" s="37" t="s">
        <v>14</v>
      </c>
      <c r="AF39" s="37" t="s">
        <v>15</v>
      </c>
      <c r="AG39" s="37" t="s">
        <v>16</v>
      </c>
      <c r="AH39" s="15" t="s">
        <v>17</v>
      </c>
    </row>
    <row r="40" spans="1:37" x14ac:dyDescent="0.35">
      <c r="A40" s="38">
        <v>44763</v>
      </c>
      <c r="B40" s="39" t="s">
        <v>209</v>
      </c>
      <c r="C40" s="39" t="s">
        <v>124</v>
      </c>
      <c r="D40" s="45">
        <v>133634</v>
      </c>
      <c r="E40" s="39"/>
      <c r="F40" s="39">
        <v>0</v>
      </c>
      <c r="G40" s="39">
        <v>30</v>
      </c>
      <c r="H40" s="40">
        <v>10580</v>
      </c>
      <c r="I40" s="53">
        <v>0.5</v>
      </c>
      <c r="J40" s="42">
        <f>IFERROR(K40/H40,"")</f>
        <v>0.5263383742911153</v>
      </c>
      <c r="K40" s="40">
        <v>5568.66</v>
      </c>
      <c r="L40" s="40"/>
      <c r="M40" s="40"/>
      <c r="N40" s="40"/>
      <c r="O40" s="40"/>
      <c r="P40" s="40"/>
      <c r="Q40" s="40"/>
      <c r="R40" s="40"/>
      <c r="S40" s="40"/>
      <c r="T40" s="40"/>
      <c r="U40" s="43">
        <v>275</v>
      </c>
      <c r="V40" s="43">
        <f>H40*U40*I40/15</f>
        <v>96983.333333333328</v>
      </c>
      <c r="W40" s="43">
        <v>324.97000000000003</v>
      </c>
      <c r="X40" s="43">
        <v>120642.21</v>
      </c>
      <c r="Y40" s="43">
        <f>G40*60</f>
        <v>1800</v>
      </c>
      <c r="Z40" s="43">
        <v>5954.75</v>
      </c>
      <c r="AA40" s="43"/>
      <c r="AB40" s="43">
        <v>0</v>
      </c>
      <c r="AC40" s="43">
        <f>G40*30</f>
        <v>900</v>
      </c>
      <c r="AD40" s="43">
        <f>IF(F40="",G40*3.83,G40*3.83)</f>
        <v>114.9</v>
      </c>
      <c r="AE40" s="43">
        <v>241.27</v>
      </c>
      <c r="AF40" s="43">
        <f>V40+Y40+Z40+AA40+AB40+AC40+AD40</f>
        <v>105752.98333333332</v>
      </c>
      <c r="AG40" s="43">
        <f>IFERROR(IFERROR((H40*W40*J40/15)-AE40,""),"")</f>
        <v>120401.89268</v>
      </c>
      <c r="AH40" s="26">
        <f>IFERROR(AG40-AF40,"")</f>
        <v>14648.909346666682</v>
      </c>
    </row>
    <row r="41" spans="1:37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79">
        <v>60</v>
      </c>
      <c r="Z41" s="3"/>
      <c r="AA41" s="21"/>
      <c r="AB41" s="21"/>
      <c r="AC41" s="79">
        <v>30</v>
      </c>
      <c r="AD41" s="21"/>
      <c r="AE41" s="21"/>
      <c r="AF41" s="21"/>
      <c r="AG41" s="21"/>
      <c r="AH41" s="26">
        <f>AH40/G40</f>
        <v>488.29697822222272</v>
      </c>
      <c r="AJ41" s="11"/>
      <c r="AK41" s="11"/>
    </row>
    <row r="42" spans="1:37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0.12166676968774941</v>
      </c>
      <c r="AJ42" s="11"/>
      <c r="AK42" s="11"/>
    </row>
    <row r="43" spans="1:37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</row>
    <row r="44" spans="1:37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</row>
    <row r="45" spans="1:37" x14ac:dyDescent="0.35">
      <c r="A45" s="37" t="s">
        <v>1</v>
      </c>
      <c r="B45" s="37" t="s">
        <v>2</v>
      </c>
      <c r="C45" s="37" t="s">
        <v>110</v>
      </c>
      <c r="D45" s="37" t="s">
        <v>66</v>
      </c>
      <c r="E45" s="37" t="s">
        <v>32</v>
      </c>
      <c r="F45" s="37" t="s">
        <v>137</v>
      </c>
      <c r="G45" s="37" t="s">
        <v>138</v>
      </c>
      <c r="H45" s="37" t="s">
        <v>4</v>
      </c>
      <c r="I45" s="37" t="s">
        <v>5</v>
      </c>
      <c r="J45" s="37" t="s">
        <v>6</v>
      </c>
      <c r="K45" s="37" t="s">
        <v>7</v>
      </c>
      <c r="L45" s="37" t="s">
        <v>279</v>
      </c>
      <c r="M45" s="37" t="s">
        <v>280</v>
      </c>
      <c r="N45" s="37" t="s">
        <v>281</v>
      </c>
      <c r="O45" s="37" t="s">
        <v>282</v>
      </c>
      <c r="P45" s="37" t="s">
        <v>283</v>
      </c>
      <c r="Q45" s="37" t="s">
        <v>284</v>
      </c>
      <c r="R45" s="37" t="s">
        <v>904</v>
      </c>
      <c r="S45" s="37" t="s">
        <v>285</v>
      </c>
      <c r="T45" s="37" t="s">
        <v>289</v>
      </c>
      <c r="U45" s="37" t="s">
        <v>8</v>
      </c>
      <c r="V45" s="37" t="s">
        <v>9</v>
      </c>
      <c r="W45" s="37" t="s">
        <v>10</v>
      </c>
      <c r="X45" s="37" t="s">
        <v>100</v>
      </c>
      <c r="Y45" s="37" t="s">
        <v>106</v>
      </c>
      <c r="Z45" s="37" t="s">
        <v>12</v>
      </c>
      <c r="AA45" s="37" t="s">
        <v>11</v>
      </c>
      <c r="AB45" s="37" t="s">
        <v>13</v>
      </c>
      <c r="AC45" s="37" t="s">
        <v>74</v>
      </c>
      <c r="AD45" s="37" t="s">
        <v>21</v>
      </c>
      <c r="AE45" s="37" t="s">
        <v>14</v>
      </c>
      <c r="AF45" s="37" t="s">
        <v>15</v>
      </c>
      <c r="AG45" s="37" t="s">
        <v>16</v>
      </c>
      <c r="AH45" s="15" t="s">
        <v>17</v>
      </c>
    </row>
    <row r="46" spans="1:37" x14ac:dyDescent="0.35">
      <c r="A46" s="38">
        <v>44763</v>
      </c>
      <c r="B46" s="39" t="s">
        <v>210</v>
      </c>
      <c r="C46" s="39" t="s">
        <v>124</v>
      </c>
      <c r="D46" s="45">
        <v>133634</v>
      </c>
      <c r="E46" s="39"/>
      <c r="F46" s="39">
        <v>0</v>
      </c>
      <c r="G46" s="39">
        <v>31</v>
      </c>
      <c r="H46" s="40">
        <v>12620</v>
      </c>
      <c r="I46" s="53">
        <v>0.5</v>
      </c>
      <c r="J46" s="42">
        <f>IFERROR(K46/H46,"")</f>
        <v>0.45596513470681455</v>
      </c>
      <c r="K46" s="40">
        <v>5754.28</v>
      </c>
      <c r="L46" s="40"/>
      <c r="M46" s="40"/>
      <c r="N46" s="40"/>
      <c r="O46" s="40"/>
      <c r="P46" s="40"/>
      <c r="Q46" s="40"/>
      <c r="R46" s="40"/>
      <c r="S46" s="40"/>
      <c r="T46" s="40"/>
      <c r="U46" s="43">
        <v>280</v>
      </c>
      <c r="V46" s="43">
        <f>H46*U46*I46/15</f>
        <v>117786.66666666667</v>
      </c>
      <c r="W46" s="43">
        <v>324.97000000000003</v>
      </c>
      <c r="X46" s="43">
        <v>124663.62</v>
      </c>
      <c r="Y46" s="43">
        <f>G46*60</f>
        <v>1860</v>
      </c>
      <c r="Z46" s="43">
        <v>6153.24</v>
      </c>
      <c r="AA46" s="43"/>
      <c r="AB46" s="43">
        <v>0</v>
      </c>
      <c r="AC46" s="43">
        <f>G46*30</f>
        <v>930</v>
      </c>
      <c r="AD46" s="43">
        <f>IF(F46="",G46*3.83,G46*3.83)</f>
        <v>118.73</v>
      </c>
      <c r="AE46" s="43">
        <v>249.32</v>
      </c>
      <c r="AF46" s="43">
        <f>V46+Y46+Z46+AA46+AB46+AC46+AD46</f>
        <v>126848.63666666667</v>
      </c>
      <c r="AG46" s="43">
        <f>IFERROR(IFERROR((H46*W46*J46/15)-AE46,""),"")</f>
        <v>124415.23810666666</v>
      </c>
      <c r="AH46" s="26">
        <f>IFERROR(AG46-AF46,"")</f>
        <v>-2433.398560000016</v>
      </c>
    </row>
    <row r="47" spans="1:3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79">
        <v>60</v>
      </c>
      <c r="Z47" s="3"/>
      <c r="AA47" s="21"/>
      <c r="AB47" s="21"/>
      <c r="AC47" s="79">
        <v>30</v>
      </c>
      <c r="AD47" s="21"/>
      <c r="AE47" s="21"/>
      <c r="AF47" s="21"/>
      <c r="AG47" s="21"/>
      <c r="AH47" s="26">
        <f>AH46/G46</f>
        <v>-78.496727741935999</v>
      </c>
    </row>
    <row r="48" spans="1:3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-1.9558685873459939E-2</v>
      </c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</row>
    <row r="51" spans="1:59" x14ac:dyDescent="0.35">
      <c r="A51" s="37" t="s">
        <v>1</v>
      </c>
      <c r="B51" s="37" t="s">
        <v>2</v>
      </c>
      <c r="C51" s="37" t="s">
        <v>110</v>
      </c>
      <c r="D51" s="37" t="s">
        <v>66</v>
      </c>
      <c r="E51" s="37" t="s">
        <v>32</v>
      </c>
      <c r="F51" s="37" t="s">
        <v>137</v>
      </c>
      <c r="G51" s="37" t="s">
        <v>138</v>
      </c>
      <c r="H51" s="37" t="s">
        <v>4</v>
      </c>
      <c r="I51" s="37" t="s">
        <v>5</v>
      </c>
      <c r="J51" s="37" t="s">
        <v>6</v>
      </c>
      <c r="K51" s="37" t="s">
        <v>7</v>
      </c>
      <c r="L51" s="37" t="s">
        <v>279</v>
      </c>
      <c r="M51" s="37" t="s">
        <v>280</v>
      </c>
      <c r="N51" s="37" t="s">
        <v>281</v>
      </c>
      <c r="O51" s="37" t="s">
        <v>282</v>
      </c>
      <c r="P51" s="37" t="s">
        <v>283</v>
      </c>
      <c r="Q51" s="37" t="s">
        <v>284</v>
      </c>
      <c r="R51" s="37" t="s">
        <v>904</v>
      </c>
      <c r="S51" s="37" t="s">
        <v>285</v>
      </c>
      <c r="T51" s="37" t="s">
        <v>289</v>
      </c>
      <c r="U51" s="37" t="s">
        <v>8</v>
      </c>
      <c r="V51" s="37" t="s">
        <v>9</v>
      </c>
      <c r="W51" s="37" t="s">
        <v>10</v>
      </c>
      <c r="X51" s="37" t="s">
        <v>100</v>
      </c>
      <c r="Y51" s="37" t="s">
        <v>106</v>
      </c>
      <c r="Z51" s="37" t="s">
        <v>12</v>
      </c>
      <c r="AA51" s="37" t="s">
        <v>11</v>
      </c>
      <c r="AB51" s="37" t="s">
        <v>13</v>
      </c>
      <c r="AC51" s="37" t="s">
        <v>74</v>
      </c>
      <c r="AD51" s="37" t="s">
        <v>21</v>
      </c>
      <c r="AE51" s="37" t="s">
        <v>14</v>
      </c>
      <c r="AF51" s="37" t="s">
        <v>15</v>
      </c>
      <c r="AG51" s="37" t="s">
        <v>16</v>
      </c>
      <c r="AH51" s="15" t="s">
        <v>17</v>
      </c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47"/>
    </row>
    <row r="52" spans="1:59" x14ac:dyDescent="0.35">
      <c r="A52" s="38">
        <v>44763</v>
      </c>
      <c r="B52" s="39" t="s">
        <v>211</v>
      </c>
      <c r="C52" s="39" t="s">
        <v>116</v>
      </c>
      <c r="D52" s="45">
        <v>133634</v>
      </c>
      <c r="E52" s="39"/>
      <c r="F52" s="39">
        <v>0</v>
      </c>
      <c r="G52" s="39">
        <v>22</v>
      </c>
      <c r="H52" s="40">
        <v>8360</v>
      </c>
      <c r="I52" s="53">
        <v>0.5</v>
      </c>
      <c r="J52" s="42">
        <f>IFERROR(K52/H52,"")</f>
        <v>0.48847846889952151</v>
      </c>
      <c r="K52" s="40">
        <v>4083.68</v>
      </c>
      <c r="L52" s="40"/>
      <c r="M52" s="40"/>
      <c r="N52" s="40"/>
      <c r="O52" s="40"/>
      <c r="P52" s="40"/>
      <c r="Q52" s="40"/>
      <c r="R52" s="40"/>
      <c r="S52" s="40"/>
      <c r="T52" s="40"/>
      <c r="U52" s="43">
        <v>280</v>
      </c>
      <c r="V52" s="43">
        <f>H52*U52*I52/15</f>
        <v>78026.666666666672</v>
      </c>
      <c r="W52" s="43">
        <v>324.97000000000003</v>
      </c>
      <c r="X52" s="43">
        <v>88470.95</v>
      </c>
      <c r="Y52" s="43">
        <f>G52*60</f>
        <v>1320</v>
      </c>
      <c r="Z52" s="43">
        <v>4715.5600000000004</v>
      </c>
      <c r="AA52" s="43"/>
      <c r="AB52" s="43">
        <v>0</v>
      </c>
      <c r="AC52" s="43">
        <f>G52*30</f>
        <v>660</v>
      </c>
      <c r="AD52" s="43">
        <f>IF(F52="",G52*3.83,G52*3.83)</f>
        <v>84.26</v>
      </c>
      <c r="AE52" s="43">
        <v>176.93</v>
      </c>
      <c r="AF52" s="43">
        <f>V52+Y52+Z52+AA52+AB52+AC52+AD52</f>
        <v>84806.486666666664</v>
      </c>
      <c r="AG52" s="43">
        <f>IFERROR(IFERROR((H52*W52*J52/15)-AE52,""),"")</f>
        <v>88294.635973333337</v>
      </c>
      <c r="AH52" s="26">
        <f>IFERROR(AG52-AF52,"")</f>
        <v>3488.1493066666735</v>
      </c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47"/>
    </row>
    <row r="53" spans="1:5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79">
        <v>60</v>
      </c>
      <c r="Z53" s="3"/>
      <c r="AA53" s="21"/>
      <c r="AB53" s="21"/>
      <c r="AC53" s="79">
        <v>30</v>
      </c>
      <c r="AD53" s="21"/>
      <c r="AE53" s="21"/>
      <c r="AF53" s="21"/>
      <c r="AG53" s="21"/>
      <c r="AH53" s="26">
        <f>AH52/G52</f>
        <v>158.55224121212152</v>
      </c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4"/>
    </row>
    <row r="54" spans="1:5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3"/>
      <c r="AA54" s="21"/>
      <c r="AB54" s="21"/>
      <c r="AC54" s="21"/>
      <c r="AD54" s="21"/>
      <c r="AE54" s="21"/>
      <c r="AF54" s="21"/>
      <c r="AG54" s="21"/>
      <c r="AH54" s="26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4"/>
    </row>
    <row r="55" spans="1:5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48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4"/>
    </row>
    <row r="56" spans="1:5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3"/>
      <c r="AA56" s="21"/>
      <c r="AB56" s="21"/>
      <c r="AC56" s="21"/>
      <c r="AD56" s="21"/>
      <c r="AE56" s="21"/>
      <c r="AF56" s="21"/>
      <c r="AG56" s="21"/>
      <c r="AH56" s="48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4"/>
    </row>
    <row r="57" spans="1:59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 t="s">
        <v>32</v>
      </c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11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4"/>
    </row>
    <row r="58" spans="1:59" x14ac:dyDescent="0.35">
      <c r="A58" s="20">
        <v>44764</v>
      </c>
      <c r="B58" s="21" t="s">
        <v>212</v>
      </c>
      <c r="C58" s="21" t="s">
        <v>124</v>
      </c>
      <c r="D58" s="44">
        <v>133290</v>
      </c>
      <c r="E58" s="21"/>
      <c r="F58" s="21">
        <v>43</v>
      </c>
      <c r="G58" s="21">
        <v>0</v>
      </c>
      <c r="H58" s="22">
        <v>23082.400000000001</v>
      </c>
      <c r="I58" s="33">
        <v>0.55000000000000004</v>
      </c>
      <c r="J58" s="24">
        <f>IFERROR(K58/H58,"")</f>
        <v>0.56118514539216025</v>
      </c>
      <c r="K58" s="22">
        <v>12953.5</v>
      </c>
      <c r="L58" s="22"/>
      <c r="M58" s="22"/>
      <c r="N58" s="22"/>
      <c r="O58" s="22"/>
      <c r="P58" s="22"/>
      <c r="Q58" s="22"/>
      <c r="R58" s="22"/>
      <c r="S58" s="22"/>
      <c r="T58" s="22"/>
      <c r="U58" s="25">
        <v>300</v>
      </c>
      <c r="V58" s="25">
        <f>H58*U58*I58/15</f>
        <v>253906.40000000002</v>
      </c>
      <c r="W58" s="25">
        <v>334.14</v>
      </c>
      <c r="X58" s="25">
        <v>288552.96999999997</v>
      </c>
      <c r="Y58" s="25">
        <f>F58*60</f>
        <v>2580</v>
      </c>
      <c r="Z58" s="25">
        <v>10359</v>
      </c>
      <c r="AA58" s="25"/>
      <c r="AB58" s="25">
        <v>1290</v>
      </c>
      <c r="AC58" s="25">
        <f>F58*30</f>
        <v>1290</v>
      </c>
      <c r="AD58" s="25">
        <f>IF(F58="",G58*3.83,F58*3.83)</f>
        <v>164.69</v>
      </c>
      <c r="AE58" s="25">
        <v>577.1</v>
      </c>
      <c r="AF58" s="25">
        <f>V58+Y58+Z58+AA58+AB58+AC58+AD58</f>
        <v>269590.09000000003</v>
      </c>
      <c r="AG58" s="25">
        <f>IFERROR(IFERROR((H58*W58*J58/15)-AE58,""),"")</f>
        <v>287975.06600000005</v>
      </c>
      <c r="AH58" s="26">
        <f>IFERROR(AG58-AF58,"")</f>
        <v>18384.976000000024</v>
      </c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4"/>
    </row>
    <row r="59" spans="1:59" x14ac:dyDescent="0.35">
      <c r="A59" s="21"/>
      <c r="B59" s="21"/>
      <c r="C59" s="21"/>
      <c r="D59" s="21"/>
      <c r="E59" s="21"/>
      <c r="F59" s="21">
        <v>50</v>
      </c>
      <c r="G59" s="21"/>
      <c r="H59" s="44">
        <v>26840</v>
      </c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>
        <v>1791</v>
      </c>
      <c r="AA59" s="21"/>
      <c r="AB59" s="21"/>
      <c r="AC59" s="21"/>
      <c r="AD59" s="21"/>
      <c r="AE59" s="21"/>
      <c r="AF59" s="21"/>
      <c r="AG59" s="21"/>
      <c r="AH59" s="26">
        <f>AH58/F58</f>
        <v>427.55758139534942</v>
      </c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4"/>
    </row>
    <row r="60" spans="1:5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4"/>
    </row>
    <row r="61" spans="1:5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3"/>
      <c r="AA61" s="21"/>
      <c r="AB61" s="21"/>
      <c r="AC61" s="21"/>
      <c r="AD61" s="21"/>
      <c r="AE61" s="21"/>
      <c r="AF61" s="21"/>
      <c r="AG61" s="21"/>
      <c r="AH61" s="48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4"/>
    </row>
    <row r="62" spans="1:59" ht="15" thickBot="1" x14ac:dyDescent="0.4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59" ht="16" thickBot="1" x14ac:dyDescent="0.4">
      <c r="A63" s="377" t="s">
        <v>203</v>
      </c>
      <c r="B63" s="378"/>
      <c r="C63" s="378"/>
      <c r="D63" s="378"/>
      <c r="E63" s="378"/>
      <c r="F63" s="378"/>
      <c r="G63" s="378"/>
      <c r="H63" s="378"/>
      <c r="I63" s="378"/>
      <c r="J63" s="378"/>
      <c r="K63" s="378"/>
      <c r="L63" s="46"/>
      <c r="M63" s="46"/>
      <c r="N63" s="46"/>
      <c r="O63" s="46"/>
      <c r="P63" s="46"/>
      <c r="Q63" s="46"/>
      <c r="R63" s="46"/>
      <c r="S63" s="46"/>
      <c r="T63" s="46"/>
      <c r="U63" s="30"/>
      <c r="V63" s="31">
        <f>V4+V10+V16+V22+V28+V34+V40+V46+V52+V58</f>
        <v>2399107.5333333332</v>
      </c>
      <c r="W63" s="30"/>
      <c r="X63" s="30"/>
      <c r="Y63" s="31">
        <f t="shared" ref="Y63:AG63" si="0">Y4+Y10+Y16+Y22+Y28+Y34+Y40+Y46+Y52+Y58</f>
        <v>43200</v>
      </c>
      <c r="Z63" s="31">
        <f t="shared" si="0"/>
        <v>68655.67</v>
      </c>
      <c r="AA63" s="31">
        <f t="shared" si="0"/>
        <v>0</v>
      </c>
      <c r="AB63" s="31">
        <f t="shared" si="0"/>
        <v>10930</v>
      </c>
      <c r="AC63" s="31">
        <f t="shared" si="0"/>
        <v>5100</v>
      </c>
      <c r="AD63" s="31">
        <f t="shared" si="0"/>
        <v>1915.0000000000002</v>
      </c>
      <c r="AE63" s="31">
        <f t="shared" si="0"/>
        <v>5539.130000000001</v>
      </c>
      <c r="AF63" s="31">
        <f t="shared" si="0"/>
        <v>2528908.2033333331</v>
      </c>
      <c r="AG63" s="31">
        <f t="shared" si="0"/>
        <v>2764075.4676866666</v>
      </c>
      <c r="AH63" s="32"/>
    </row>
  </sheetData>
  <mergeCells count="2">
    <mergeCell ref="U2:AC2"/>
    <mergeCell ref="A63:K6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9"/>
  <dimension ref="A1:BG81"/>
  <sheetViews>
    <sheetView zoomScale="85" zoomScaleNormal="85" workbookViewId="0">
      <selection activeCell="B27" sqref="B27"/>
    </sheetView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7" x14ac:dyDescent="0.35">
      <c r="A4" s="20">
        <v>44768</v>
      </c>
      <c r="B4" s="21" t="s">
        <v>26</v>
      </c>
      <c r="C4" s="21" t="s">
        <v>141</v>
      </c>
      <c r="D4" s="44">
        <v>133291</v>
      </c>
      <c r="E4" s="21"/>
      <c r="F4" s="21"/>
      <c r="G4" s="21">
        <v>65</v>
      </c>
      <c r="H4" s="22">
        <v>25610</v>
      </c>
      <c r="I4" s="23">
        <v>0.5</v>
      </c>
      <c r="J4" s="24">
        <f>IFERROR(K4/H4,"")</f>
        <v>0.51841077704021865</v>
      </c>
      <c r="K4" s="22">
        <v>13276.5</v>
      </c>
      <c r="L4" s="22"/>
      <c r="M4" s="22"/>
      <c r="N4" s="22"/>
      <c r="O4" s="22"/>
      <c r="P4" s="22"/>
      <c r="Q4" s="22"/>
      <c r="R4" s="22"/>
      <c r="S4" s="22"/>
      <c r="T4" s="22"/>
      <c r="U4" s="25">
        <v>280</v>
      </c>
      <c r="V4" s="25">
        <f>H4*U4*I4/15</f>
        <v>239026.66666666666</v>
      </c>
      <c r="W4" s="25">
        <v>333.23</v>
      </c>
      <c r="X4" s="25">
        <v>294943.39</v>
      </c>
      <c r="Y4" s="82">
        <f>G4*60</f>
        <v>3900</v>
      </c>
      <c r="Z4" s="25">
        <v>8288</v>
      </c>
      <c r="AA4" s="25"/>
      <c r="AB4" s="25">
        <v>1820</v>
      </c>
      <c r="AC4" s="25">
        <f>G4*30</f>
        <v>1950</v>
      </c>
      <c r="AD4" s="25">
        <f>IF(F4="",G4*3.83,F4*3.83)</f>
        <v>248.95000000000002</v>
      </c>
      <c r="AE4" s="25">
        <v>589.88</v>
      </c>
      <c r="AF4" s="25">
        <f>V4+Y4+Z4+AA4+AB4+AC4+AD4</f>
        <v>255233.61666666667</v>
      </c>
      <c r="AG4" s="25">
        <f>IFERROR(IFERROR((H4*W4*J4/15)-AE4,""),"")</f>
        <v>294351.99300000002</v>
      </c>
      <c r="AH4" s="26">
        <f>IFERROR(AG4-AF4,"")</f>
        <v>39118.376333333348</v>
      </c>
    </row>
    <row r="5" spans="1:37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IFERROR(AH4/G4,"")</f>
        <v>601.82117435897453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0.13289659069280821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7" x14ac:dyDescent="0.35">
      <c r="A10" s="20">
        <v>44768</v>
      </c>
      <c r="B10" s="21" t="s">
        <v>214</v>
      </c>
      <c r="C10" s="21" t="s">
        <v>111</v>
      </c>
      <c r="D10" s="44">
        <v>133852</v>
      </c>
      <c r="E10" s="21"/>
      <c r="F10" s="21"/>
      <c r="G10" s="21">
        <v>10</v>
      </c>
      <c r="H10" s="22">
        <v>4558.18</v>
      </c>
      <c r="I10" s="33">
        <v>0.5</v>
      </c>
      <c r="J10" s="24">
        <f>IFERROR(K10/H10,"")</f>
        <v>0.51384982602705453</v>
      </c>
      <c r="K10" s="22">
        <v>2342.2199999999998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280</v>
      </c>
      <c r="V10" s="25">
        <f>H10*U10*I10/15</f>
        <v>42543.013333333336</v>
      </c>
      <c r="W10" s="25">
        <v>330.11</v>
      </c>
      <c r="X10" s="25">
        <v>51546.01</v>
      </c>
      <c r="Y10" s="82">
        <f>G10*100</f>
        <v>1000</v>
      </c>
      <c r="Z10" s="25">
        <v>865.59</v>
      </c>
      <c r="AA10" s="25"/>
      <c r="AB10" s="25">
        <v>308</v>
      </c>
      <c r="AC10" s="25">
        <v>0</v>
      </c>
      <c r="AD10" s="25">
        <f>IF(F10="",G10*3.83,G10*3.83)</f>
        <v>38.299999999999997</v>
      </c>
      <c r="AE10" s="25">
        <v>103.09</v>
      </c>
      <c r="AF10" s="25">
        <f>V10+Y10+Z10+AA10+AB10+AC10+AD10</f>
        <v>44754.903333333335</v>
      </c>
      <c r="AG10" s="25">
        <f>IFERROR(IFERROR((H10*W10*J10/15)-AE10,""),"")</f>
        <v>51442.926279999992</v>
      </c>
      <c r="AH10" s="26">
        <f>IFERROR(AG10-AF10,"")</f>
        <v>6688.0229466666569</v>
      </c>
    </row>
    <row r="11" spans="1:37" x14ac:dyDescent="0.35">
      <c r="A11" s="21"/>
      <c r="B11" s="21"/>
      <c r="C11" s="21"/>
      <c r="D11" s="21"/>
      <c r="E11" s="21"/>
      <c r="F11" s="21"/>
      <c r="G11" s="21">
        <v>11</v>
      </c>
      <c r="H11" s="21">
        <v>5014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IFERROR(AH10/G10,"")</f>
        <v>668.80229466666572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0.1300086023540778</v>
      </c>
      <c r="AJ12" s="6"/>
    </row>
    <row r="15" spans="1:37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7" x14ac:dyDescent="0.35">
      <c r="A16" s="20">
        <v>44768</v>
      </c>
      <c r="B16" s="21" t="s">
        <v>214</v>
      </c>
      <c r="C16" s="21" t="s">
        <v>111</v>
      </c>
      <c r="D16" s="44">
        <v>133852</v>
      </c>
      <c r="E16" s="21"/>
      <c r="F16" s="21"/>
      <c r="G16" s="21">
        <v>44</v>
      </c>
      <c r="H16" s="22">
        <v>19948</v>
      </c>
      <c r="I16" s="33">
        <v>0.5</v>
      </c>
      <c r="J16" s="24">
        <f>IFERROR(K16/H16,"")</f>
        <v>0.51663174253057953</v>
      </c>
      <c r="K16" s="22">
        <v>10305.77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270</v>
      </c>
      <c r="V16" s="25">
        <f>H16*U16*I16/15</f>
        <v>179532</v>
      </c>
      <c r="W16" s="25">
        <v>330.11</v>
      </c>
      <c r="X16" s="25">
        <v>226802.44</v>
      </c>
      <c r="Y16" s="25">
        <f>G16*100</f>
        <v>4400</v>
      </c>
      <c r="Z16" s="25">
        <v>3462.39</v>
      </c>
      <c r="AA16" s="25"/>
      <c r="AB16" s="25">
        <v>1188</v>
      </c>
      <c r="AC16" s="25">
        <v>0</v>
      </c>
      <c r="AD16" s="25">
        <f>G16*3.83</f>
        <v>168.52</v>
      </c>
      <c r="AE16" s="25">
        <v>453.6</v>
      </c>
      <c r="AF16" s="25">
        <f>V16+Y16+Z16+AA16+AB16+AC16+AD16</f>
        <v>188750.91</v>
      </c>
      <c r="AG16" s="25">
        <f>IFERROR(IFERROR((H16*W16*J16/15)-AE16,""),"")</f>
        <v>226348.91564666669</v>
      </c>
      <c r="AH16" s="26">
        <f>IFERROR(AG16-AF16,"")</f>
        <v>37598.005646666687</v>
      </c>
      <c r="AJ16" s="6"/>
      <c r="AK16" s="6"/>
    </row>
    <row r="17" spans="1:38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IFERROR(AH16/G16,"")</f>
        <v>854.50012833333381</v>
      </c>
      <c r="AK17" s="63"/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0.16610640938681417</v>
      </c>
      <c r="AK18" s="63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11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K21" s="63"/>
    </row>
    <row r="22" spans="1:38" x14ac:dyDescent="0.35">
      <c r="A22" s="20">
        <v>44769</v>
      </c>
      <c r="B22" s="21" t="s">
        <v>215</v>
      </c>
      <c r="C22" s="21" t="s">
        <v>150</v>
      </c>
      <c r="D22" s="44">
        <v>133292</v>
      </c>
      <c r="E22" s="21"/>
      <c r="F22" s="21"/>
      <c r="G22" s="21">
        <v>13</v>
      </c>
      <c r="H22" s="22">
        <v>6592</v>
      </c>
      <c r="I22" s="33">
        <v>0.5</v>
      </c>
      <c r="J22" s="24">
        <f>IFERROR(K22/H22,"")</f>
        <v>0.49643507281553401</v>
      </c>
      <c r="K22" s="22">
        <v>3272.5</v>
      </c>
      <c r="L22" s="22"/>
      <c r="M22" s="22"/>
      <c r="N22" s="22"/>
      <c r="O22" s="22"/>
      <c r="P22" s="22"/>
      <c r="Q22" s="22"/>
      <c r="R22" s="22"/>
      <c r="S22" s="22"/>
      <c r="T22" s="22"/>
      <c r="U22" s="25">
        <v>280</v>
      </c>
      <c r="V22" s="25">
        <f>H22*U22*I22/15</f>
        <v>61525.333333333336</v>
      </c>
      <c r="W22" s="25">
        <v>336.86</v>
      </c>
      <c r="X22" s="25">
        <v>73491.23</v>
      </c>
      <c r="Y22" s="25">
        <f>G22*100</f>
        <v>1300</v>
      </c>
      <c r="Z22" s="25">
        <v>728</v>
      </c>
      <c r="AA22" s="25"/>
      <c r="AB22" s="25">
        <v>364</v>
      </c>
      <c r="AC22" s="25">
        <v>0</v>
      </c>
      <c r="AD22" s="25">
        <f>IF(F22="",G22*3.83,G22*3.83)</f>
        <v>49.79</v>
      </c>
      <c r="AE22" s="25">
        <v>146.97</v>
      </c>
      <c r="AF22" s="25">
        <f>V22+Y22+Z22+AA22+AB22+AC22+AD22</f>
        <v>63967.123333333337</v>
      </c>
      <c r="AG22" s="25">
        <f>IFERROR(IFERROR((H22*W22*J22/15)-AE22,""),"")</f>
        <v>73344.653333333335</v>
      </c>
      <c r="AH22" s="26">
        <f>IFERROR(AG22-AF22,"")</f>
        <v>9377.5299999999988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AH22/G22</f>
        <v>721.34846153846149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0.1278556728243222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8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8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 t="s">
        <v>32</v>
      </c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11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8" x14ac:dyDescent="0.35">
      <c r="A28" s="20">
        <v>44769</v>
      </c>
      <c r="B28" s="21" t="s">
        <v>215</v>
      </c>
      <c r="C28" s="21" t="s">
        <v>150</v>
      </c>
      <c r="D28" s="44">
        <v>133890</v>
      </c>
      <c r="E28" s="21"/>
      <c r="F28" s="21">
        <v>37</v>
      </c>
      <c r="G28" s="21"/>
      <c r="H28" s="22">
        <v>21178</v>
      </c>
      <c r="I28" s="33">
        <v>0.53</v>
      </c>
      <c r="J28" s="24">
        <f>IFERROR(K28/H28,"")</f>
        <v>0.52743412975729531</v>
      </c>
      <c r="K28" s="22">
        <v>11170</v>
      </c>
      <c r="L28" s="22"/>
      <c r="M28" s="22"/>
      <c r="N28" s="22"/>
      <c r="O28" s="22"/>
      <c r="P28" s="22"/>
      <c r="Q28" s="22"/>
      <c r="R28" s="22"/>
      <c r="S28" s="22"/>
      <c r="T28" s="22"/>
      <c r="U28" s="25">
        <v>300</v>
      </c>
      <c r="V28" s="25">
        <f>H28*U28*I28/15</f>
        <v>224486.8</v>
      </c>
      <c r="W28" s="25">
        <v>335.75</v>
      </c>
      <c r="X28" s="25">
        <v>250016.31</v>
      </c>
      <c r="Y28" s="25">
        <f>F28*100</f>
        <v>3700</v>
      </c>
      <c r="Z28" s="25">
        <v>2072</v>
      </c>
      <c r="AA28" s="25"/>
      <c r="AB28" s="25">
        <v>1110</v>
      </c>
      <c r="AC28" s="25">
        <v>0</v>
      </c>
      <c r="AD28" s="25">
        <f>IF(F28="",G28*3.83,F28*3.83)</f>
        <v>141.71</v>
      </c>
      <c r="AE28" s="25">
        <v>500.04</v>
      </c>
      <c r="AF28" s="25">
        <f>V28+Y28+Z28+AA28+AB28+AC28+AD28</f>
        <v>231510.50999999998</v>
      </c>
      <c r="AG28" s="25">
        <f>IFERROR(IFERROR((H28*W28*J28/15)-AE28,""),"")</f>
        <v>249521.79333333333</v>
      </c>
      <c r="AH28" s="26">
        <f>IFERROR(AG28-AF28,"")</f>
        <v>18011.283333333355</v>
      </c>
      <c r="AJ28">
        <f>F4+G4+F10+G10+F16+G16+F22+G22+F28+G28+F34+G34+F40+G40+F46+G46+F52+G52+F58+G58+F64+G64+F70+G70+F76+G76</f>
        <v>574</v>
      </c>
      <c r="AK28" s="50" t="s">
        <v>22</v>
      </c>
      <c r="AL28" t="s">
        <v>72</v>
      </c>
    </row>
    <row r="29" spans="1:38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486.79144144144203</v>
      </c>
      <c r="AJ29" s="11">
        <f>AH4+AH10+AH16+AH22+AH28+AH34+AH40+AH46+AH52+AH58+AH64+AH70+AH76</f>
        <v>251954.06093866657</v>
      </c>
      <c r="AK29" s="11">
        <f>AJ29*30%</f>
        <v>75586.218281599969</v>
      </c>
    </row>
    <row r="30" spans="1:38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7.2183207297136912E-2</v>
      </c>
      <c r="AJ30" s="11"/>
      <c r="AK30" s="11"/>
    </row>
    <row r="31" spans="1:38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8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7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32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11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37" x14ac:dyDescent="0.35">
      <c r="A34" s="20">
        <v>44769</v>
      </c>
      <c r="B34" s="21" t="s">
        <v>216</v>
      </c>
      <c r="C34" s="21" t="s">
        <v>150</v>
      </c>
      <c r="D34" s="44">
        <v>133889</v>
      </c>
      <c r="E34" s="21"/>
      <c r="F34" s="21"/>
      <c r="G34" s="21">
        <v>60</v>
      </c>
      <c r="H34" s="22">
        <v>25055</v>
      </c>
      <c r="I34" s="33">
        <v>0.5</v>
      </c>
      <c r="J34" s="24">
        <f>IFERROR(K34/H34,"")</f>
        <v>0.50213530233486325</v>
      </c>
      <c r="K34" s="22">
        <v>12581</v>
      </c>
      <c r="L34" s="22"/>
      <c r="M34" s="22"/>
      <c r="N34" s="22"/>
      <c r="O34" s="22"/>
      <c r="P34" s="22"/>
      <c r="Q34" s="22"/>
      <c r="R34" s="22"/>
      <c r="S34" s="22"/>
      <c r="T34" s="22"/>
      <c r="U34" s="25">
        <v>280</v>
      </c>
      <c r="V34" s="25">
        <f>H34*U34*I34/15</f>
        <v>233846.66666666666</v>
      </c>
      <c r="W34" s="25">
        <v>333.55</v>
      </c>
      <c r="X34" s="25">
        <v>279756.13</v>
      </c>
      <c r="Y34" s="25">
        <f>G34*100</f>
        <v>6000</v>
      </c>
      <c r="Z34" s="25">
        <v>3768</v>
      </c>
      <c r="AA34" s="25"/>
      <c r="AB34" s="25">
        <v>1680</v>
      </c>
      <c r="AC34" s="25">
        <v>0</v>
      </c>
      <c r="AD34" s="25">
        <f>IF(F34="",G34*3.83,G34*3.83)</f>
        <v>229.8</v>
      </c>
      <c r="AE34" s="25">
        <v>559.52</v>
      </c>
      <c r="AF34" s="25">
        <f>V34+Y34+Z34+AA34+AB34+AC34+AD34</f>
        <v>245524.46666666665</v>
      </c>
      <c r="AG34" s="25">
        <f>IFERROR(IFERROR((H34*W34*J34/15)-AE34,""),"")</f>
        <v>279199.98333333328</v>
      </c>
      <c r="AH34" s="26">
        <f>IFERROR(AG34-AF34,"")</f>
        <v>33675.516666666634</v>
      </c>
    </row>
    <row r="35" spans="1:37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AH34/G34</f>
        <v>561.25861111111055</v>
      </c>
    </row>
    <row r="36" spans="1:37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0.12061432190868675</v>
      </c>
    </row>
    <row r="37" spans="1:37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7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37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 t="s">
        <v>32</v>
      </c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11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</row>
    <row r="40" spans="1:37" x14ac:dyDescent="0.35">
      <c r="A40" s="20">
        <v>44769</v>
      </c>
      <c r="B40" s="21" t="s">
        <v>217</v>
      </c>
      <c r="C40" s="21" t="s">
        <v>205</v>
      </c>
      <c r="D40" s="44">
        <v>133891</v>
      </c>
      <c r="E40" s="21"/>
      <c r="F40" s="21">
        <v>50</v>
      </c>
      <c r="G40" s="21"/>
      <c r="H40" s="22">
        <v>25385</v>
      </c>
      <c r="I40" s="33">
        <v>0.53</v>
      </c>
      <c r="J40" s="24">
        <f>IFERROR(K40/H40,"")</f>
        <v>0.53746306874138272</v>
      </c>
      <c r="K40" s="22">
        <v>13643.5</v>
      </c>
      <c r="L40" s="22"/>
      <c r="M40" s="22"/>
      <c r="N40" s="22"/>
      <c r="O40" s="22"/>
      <c r="P40" s="22"/>
      <c r="Q40" s="22"/>
      <c r="R40" s="22"/>
      <c r="S40" s="22"/>
      <c r="T40" s="22"/>
      <c r="U40" s="25">
        <v>295</v>
      </c>
      <c r="V40" s="25">
        <f>H40*U40*I40/15</f>
        <v>264596.31666666665</v>
      </c>
      <c r="W40" s="25">
        <v>337.42</v>
      </c>
      <c r="X40" s="25">
        <v>306908.61</v>
      </c>
      <c r="Y40" s="25">
        <f>F40*100</f>
        <v>5000</v>
      </c>
      <c r="Z40" s="25">
        <v>5670</v>
      </c>
      <c r="AA40" s="25"/>
      <c r="AB40" s="25">
        <v>1475</v>
      </c>
      <c r="AC40" s="25">
        <f>G40*30</f>
        <v>0</v>
      </c>
      <c r="AD40" s="25">
        <f>IF(F40="",G40*3.83,F40*3.83)</f>
        <v>191.5</v>
      </c>
      <c r="AE40" s="25">
        <v>613.82000000000005</v>
      </c>
      <c r="AF40" s="25">
        <f>V40+Y40+Z40+AA40+AB40+AC40+AD40</f>
        <v>276932.81666666665</v>
      </c>
      <c r="AG40" s="25">
        <f>IFERROR(IFERROR((H40*W40*J40/15)-AE40,""),"")</f>
        <v>306292.16466666671</v>
      </c>
      <c r="AH40" s="26">
        <f>IFERROR(AG40-AF40,"")</f>
        <v>29359.348000000056</v>
      </c>
    </row>
    <row r="41" spans="1:37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587.18696000000114</v>
      </c>
      <c r="AJ41" s="11"/>
      <c r="AK41" s="11"/>
    </row>
    <row r="42" spans="1:37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9.5854061536152599E-2</v>
      </c>
      <c r="AJ42" s="11"/>
      <c r="AK42" s="11"/>
    </row>
    <row r="43" spans="1:37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</row>
    <row r="44" spans="1:37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</row>
    <row r="45" spans="1:37" x14ac:dyDescent="0.35">
      <c r="A45" s="37" t="s">
        <v>1</v>
      </c>
      <c r="B45" s="37" t="s">
        <v>2</v>
      </c>
      <c r="C45" s="37" t="s">
        <v>110</v>
      </c>
      <c r="D45" s="37" t="s">
        <v>66</v>
      </c>
      <c r="E45" s="37" t="s">
        <v>32</v>
      </c>
      <c r="F45" s="37" t="s">
        <v>137</v>
      </c>
      <c r="G45" s="37" t="s">
        <v>138</v>
      </c>
      <c r="H45" s="37" t="s">
        <v>4</v>
      </c>
      <c r="I45" s="37" t="s">
        <v>5</v>
      </c>
      <c r="J45" s="37" t="s">
        <v>6</v>
      </c>
      <c r="K45" s="37" t="s">
        <v>7</v>
      </c>
      <c r="L45" s="37" t="s">
        <v>279</v>
      </c>
      <c r="M45" s="37" t="s">
        <v>280</v>
      </c>
      <c r="N45" s="37" t="s">
        <v>281</v>
      </c>
      <c r="O45" s="37" t="s">
        <v>282</v>
      </c>
      <c r="P45" s="37" t="s">
        <v>283</v>
      </c>
      <c r="Q45" s="37" t="s">
        <v>284</v>
      </c>
      <c r="R45" s="37" t="s">
        <v>904</v>
      </c>
      <c r="S45" s="37" t="s">
        <v>285</v>
      </c>
      <c r="T45" s="37" t="s">
        <v>289</v>
      </c>
      <c r="U45" s="37" t="s">
        <v>8</v>
      </c>
      <c r="V45" s="37" t="s">
        <v>9</v>
      </c>
      <c r="W45" s="37" t="s">
        <v>10</v>
      </c>
      <c r="X45" s="37" t="s">
        <v>100</v>
      </c>
      <c r="Y45" s="37" t="s">
        <v>106</v>
      </c>
      <c r="Z45" s="37" t="s">
        <v>12</v>
      </c>
      <c r="AA45" s="37" t="s">
        <v>11</v>
      </c>
      <c r="AB45" s="37" t="s">
        <v>13</v>
      </c>
      <c r="AC45" s="37" t="s">
        <v>74</v>
      </c>
      <c r="AD45" s="37" t="s">
        <v>21</v>
      </c>
      <c r="AE45" s="37" t="s">
        <v>14</v>
      </c>
      <c r="AF45" s="37" t="s">
        <v>15</v>
      </c>
      <c r="AG45" s="37" t="s">
        <v>16</v>
      </c>
      <c r="AH45" s="15" t="s">
        <v>17</v>
      </c>
    </row>
    <row r="46" spans="1:37" x14ac:dyDescent="0.35">
      <c r="A46" s="38">
        <v>44771</v>
      </c>
      <c r="B46" s="39" t="s">
        <v>218</v>
      </c>
      <c r="C46" s="39" t="s">
        <v>195</v>
      </c>
      <c r="D46" s="45">
        <v>133787</v>
      </c>
      <c r="E46" s="39"/>
      <c r="F46" s="39"/>
      <c r="G46" s="39">
        <v>65</v>
      </c>
      <c r="H46" s="40">
        <v>25100</v>
      </c>
      <c r="I46" s="53">
        <v>0.5</v>
      </c>
      <c r="J46" s="42">
        <f>IFERROR(K46/H46,"")</f>
        <v>0.46355243027888443</v>
      </c>
      <c r="K46" s="40">
        <v>11635.165999999999</v>
      </c>
      <c r="L46" s="40"/>
      <c r="M46" s="40"/>
      <c r="N46" s="40"/>
      <c r="O46" s="40"/>
      <c r="P46" s="40"/>
      <c r="Q46" s="40"/>
      <c r="R46" s="40"/>
      <c r="S46" s="40"/>
      <c r="T46" s="40"/>
      <c r="U46" s="43">
        <v>280</v>
      </c>
      <c r="V46" s="43">
        <f>H46*U46*I46/15</f>
        <v>234266.66666666666</v>
      </c>
      <c r="W46" s="43">
        <v>327.20999999999998</v>
      </c>
      <c r="X46" s="43">
        <v>253809.23</v>
      </c>
      <c r="Y46" s="43">
        <f>G46*60</f>
        <v>3900</v>
      </c>
      <c r="Z46" s="43">
        <v>9266</v>
      </c>
      <c r="AA46" s="43"/>
      <c r="AB46" s="43">
        <v>1820</v>
      </c>
      <c r="AC46" s="43">
        <f>G46*30</f>
        <v>1950</v>
      </c>
      <c r="AD46" s="43">
        <f>IF(F46="",G46*3.83,G46*3.83)</f>
        <v>248.95000000000002</v>
      </c>
      <c r="AE46" s="43">
        <v>507.62</v>
      </c>
      <c r="AF46" s="43">
        <f>V46+Y46+Z46+AA46+AB46+AC46+AD46</f>
        <v>251451.61666666667</v>
      </c>
      <c r="AG46" s="43">
        <f>IFERROR(IFERROR((H46*W46*J46/15)-AE46,""),"")</f>
        <v>253301.89112399996</v>
      </c>
      <c r="AH46" s="26">
        <f>IFERROR(AG46-AF46,"")</f>
        <v>1850.2744573332893</v>
      </c>
    </row>
    <row r="47" spans="1:3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AH46/G46</f>
        <v>28.465760882050606</v>
      </c>
    </row>
    <row r="48" spans="1:3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7.3046215688437818E-3</v>
      </c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</row>
    <row r="51" spans="1:59" x14ac:dyDescent="0.35">
      <c r="A51" s="37" t="s">
        <v>1</v>
      </c>
      <c r="B51" s="37" t="s">
        <v>2</v>
      </c>
      <c r="C51" s="37" t="s">
        <v>110</v>
      </c>
      <c r="D51" s="37" t="s">
        <v>66</v>
      </c>
      <c r="E51" s="37" t="s">
        <v>32</v>
      </c>
      <c r="F51" s="37" t="s">
        <v>137</v>
      </c>
      <c r="G51" s="37" t="s">
        <v>138</v>
      </c>
      <c r="H51" s="37" t="s">
        <v>4</v>
      </c>
      <c r="I51" s="37" t="s">
        <v>5</v>
      </c>
      <c r="J51" s="37" t="s">
        <v>6</v>
      </c>
      <c r="K51" s="37" t="s">
        <v>7</v>
      </c>
      <c r="L51" s="37" t="s">
        <v>279</v>
      </c>
      <c r="M51" s="37" t="s">
        <v>280</v>
      </c>
      <c r="N51" s="37" t="s">
        <v>281</v>
      </c>
      <c r="O51" s="37" t="s">
        <v>282</v>
      </c>
      <c r="P51" s="37" t="s">
        <v>283</v>
      </c>
      <c r="Q51" s="37" t="s">
        <v>284</v>
      </c>
      <c r="R51" s="37" t="s">
        <v>904</v>
      </c>
      <c r="S51" s="37" t="s">
        <v>285</v>
      </c>
      <c r="T51" s="37" t="s">
        <v>289</v>
      </c>
      <c r="U51" s="37" t="s">
        <v>8</v>
      </c>
      <c r="V51" s="37" t="s">
        <v>9</v>
      </c>
      <c r="W51" s="37" t="s">
        <v>10</v>
      </c>
      <c r="X51" s="37" t="s">
        <v>100</v>
      </c>
      <c r="Y51" s="37" t="s">
        <v>106</v>
      </c>
      <c r="Z51" s="37" t="s">
        <v>12</v>
      </c>
      <c r="AA51" s="37" t="s">
        <v>11</v>
      </c>
      <c r="AB51" s="37" t="s">
        <v>13</v>
      </c>
      <c r="AC51" s="37" t="s">
        <v>74</v>
      </c>
      <c r="AD51" s="37" t="s">
        <v>21</v>
      </c>
      <c r="AE51" s="37" t="s">
        <v>14</v>
      </c>
      <c r="AF51" s="37" t="s">
        <v>15</v>
      </c>
      <c r="AG51" s="37" t="s">
        <v>16</v>
      </c>
      <c r="AH51" s="15" t="s">
        <v>17</v>
      </c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47"/>
    </row>
    <row r="52" spans="1:59" x14ac:dyDescent="0.35">
      <c r="A52" s="38">
        <v>44771</v>
      </c>
      <c r="B52" s="39" t="s">
        <v>219</v>
      </c>
      <c r="C52" s="39" t="s">
        <v>220</v>
      </c>
      <c r="D52" s="45">
        <v>133787</v>
      </c>
      <c r="E52" s="39"/>
      <c r="F52" s="39"/>
      <c r="G52" s="39">
        <v>65</v>
      </c>
      <c r="H52" s="40">
        <v>23030</v>
      </c>
      <c r="I52" s="53">
        <v>0.5</v>
      </c>
      <c r="J52" s="42">
        <f>IFERROR(K52/H52,"")</f>
        <v>0.50521780286582718</v>
      </c>
      <c r="K52" s="40">
        <v>11635.165999999999</v>
      </c>
      <c r="L52" s="40"/>
      <c r="M52" s="40"/>
      <c r="N52" s="40"/>
      <c r="O52" s="40"/>
      <c r="P52" s="40"/>
      <c r="Q52" s="40"/>
      <c r="R52" s="40"/>
      <c r="S52" s="40"/>
      <c r="T52" s="40"/>
      <c r="U52" s="43">
        <v>275</v>
      </c>
      <c r="V52" s="43">
        <f>H52*U52*I52/15</f>
        <v>211108.33333333334</v>
      </c>
      <c r="W52" s="43">
        <v>327.20999999999998</v>
      </c>
      <c r="X52" s="43">
        <v>253809.23</v>
      </c>
      <c r="Y52" s="43">
        <f>G52*60</f>
        <v>3900</v>
      </c>
      <c r="Z52" s="43">
        <v>9756</v>
      </c>
      <c r="AA52" s="43"/>
      <c r="AB52" s="43">
        <v>1787.5</v>
      </c>
      <c r="AC52" s="43">
        <f>G52*30</f>
        <v>1950</v>
      </c>
      <c r="AD52" s="43">
        <f>IF(F52="",G52*3.83,G52*3.83)</f>
        <v>248.95000000000002</v>
      </c>
      <c r="AE52" s="43">
        <v>507.62</v>
      </c>
      <c r="AF52" s="43">
        <f>V52+Y52+Z52+AA52+AB52+AC52+AD52</f>
        <v>228750.78333333335</v>
      </c>
      <c r="AG52" s="43">
        <f>IFERROR(IFERROR((H52*W52*J52/15)-AE52,""),"")</f>
        <v>253301.89112399999</v>
      </c>
      <c r="AH52" s="26">
        <f>IFERROR(AG52-AF52,"")</f>
        <v>24551.107790666632</v>
      </c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47"/>
    </row>
    <row r="53" spans="1:5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AH52/G52</f>
        <v>377.70935062564052</v>
      </c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4"/>
    </row>
    <row r="54" spans="1:5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3"/>
      <c r="AA54" s="21"/>
      <c r="AB54" s="21"/>
      <c r="AC54" s="21"/>
      <c r="AD54" s="21"/>
      <c r="AE54" s="21"/>
      <c r="AF54" s="21"/>
      <c r="AG54" s="21"/>
      <c r="AH54" s="26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4"/>
    </row>
    <row r="55" spans="1:5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48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4"/>
    </row>
    <row r="56" spans="1:5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3"/>
      <c r="AA56" s="21"/>
      <c r="AB56" s="21"/>
      <c r="AC56" s="21"/>
      <c r="AD56" s="21"/>
      <c r="AE56" s="21"/>
      <c r="AF56" s="21"/>
      <c r="AG56" s="21"/>
      <c r="AH56" s="48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4"/>
    </row>
    <row r="57" spans="1:59" x14ac:dyDescent="0.35">
      <c r="A57" s="37" t="s">
        <v>1</v>
      </c>
      <c r="B57" s="37" t="s">
        <v>2</v>
      </c>
      <c r="C57" s="37" t="s">
        <v>110</v>
      </c>
      <c r="D57" s="37" t="s">
        <v>66</v>
      </c>
      <c r="E57" s="37" t="s">
        <v>32</v>
      </c>
      <c r="F57" s="37" t="s">
        <v>137</v>
      </c>
      <c r="G57" s="37" t="s">
        <v>138</v>
      </c>
      <c r="H57" s="37" t="s">
        <v>4</v>
      </c>
      <c r="I57" s="37" t="s">
        <v>5</v>
      </c>
      <c r="J57" s="37" t="s">
        <v>6</v>
      </c>
      <c r="K57" s="37" t="s">
        <v>7</v>
      </c>
      <c r="L57" s="37" t="s">
        <v>279</v>
      </c>
      <c r="M57" s="37" t="s">
        <v>280</v>
      </c>
      <c r="N57" s="37" t="s">
        <v>281</v>
      </c>
      <c r="O57" s="37" t="s">
        <v>282</v>
      </c>
      <c r="P57" s="37" t="s">
        <v>283</v>
      </c>
      <c r="Q57" s="37" t="s">
        <v>284</v>
      </c>
      <c r="R57" s="37" t="s">
        <v>904</v>
      </c>
      <c r="S57" s="37" t="s">
        <v>285</v>
      </c>
      <c r="T57" s="37" t="s">
        <v>289</v>
      </c>
      <c r="U57" s="37" t="s">
        <v>8</v>
      </c>
      <c r="V57" s="37" t="s">
        <v>9</v>
      </c>
      <c r="W57" s="37" t="s">
        <v>10</v>
      </c>
      <c r="X57" s="37" t="s">
        <v>100</v>
      </c>
      <c r="Y57" s="37" t="s">
        <v>106</v>
      </c>
      <c r="Z57" s="37" t="s">
        <v>12</v>
      </c>
      <c r="AA57" s="37" t="s">
        <v>11</v>
      </c>
      <c r="AB57" s="37" t="s">
        <v>13</v>
      </c>
      <c r="AC57" s="37" t="s">
        <v>74</v>
      </c>
      <c r="AD57" s="37" t="s">
        <v>21</v>
      </c>
      <c r="AE57" s="37" t="s">
        <v>14</v>
      </c>
      <c r="AF57" s="37" t="s">
        <v>15</v>
      </c>
      <c r="AG57" s="37" t="s">
        <v>16</v>
      </c>
      <c r="AH57" s="15" t="s">
        <v>17</v>
      </c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4"/>
    </row>
    <row r="58" spans="1:59" x14ac:dyDescent="0.35">
      <c r="A58" s="38">
        <v>44771</v>
      </c>
      <c r="B58" s="39" t="s">
        <v>202</v>
      </c>
      <c r="C58" s="39" t="s">
        <v>124</v>
      </c>
      <c r="D58" s="45">
        <v>133786</v>
      </c>
      <c r="E58" s="39"/>
      <c r="F58" s="39">
        <v>50</v>
      </c>
      <c r="G58" s="39"/>
      <c r="H58" s="40">
        <v>24560</v>
      </c>
      <c r="I58" s="53">
        <v>0.54</v>
      </c>
      <c r="J58" s="42">
        <f>IFERROR(K58/H58,"")</f>
        <v>0.54939657980456025</v>
      </c>
      <c r="K58" s="40">
        <v>13493.18</v>
      </c>
      <c r="L58" s="40"/>
      <c r="M58" s="40"/>
      <c r="N58" s="40"/>
      <c r="O58" s="40"/>
      <c r="P58" s="40"/>
      <c r="Q58" s="40"/>
      <c r="R58" s="40"/>
      <c r="S58" s="40"/>
      <c r="T58" s="40"/>
      <c r="U58" s="43">
        <v>295</v>
      </c>
      <c r="V58" s="43">
        <f>H58*U58*I58/15</f>
        <v>260827.20000000004</v>
      </c>
      <c r="W58" s="43">
        <v>334.54</v>
      </c>
      <c r="X58" s="43">
        <v>300930.67</v>
      </c>
      <c r="Y58" s="43">
        <f>F58*80</f>
        <v>4000</v>
      </c>
      <c r="Z58" s="43">
        <v>12124</v>
      </c>
      <c r="AA58" s="43"/>
      <c r="AB58" s="43">
        <v>1475</v>
      </c>
      <c r="AC58" s="43">
        <f>F58*30</f>
        <v>1500</v>
      </c>
      <c r="AD58" s="43">
        <f>IF(F58="",G58*3.83,F58*3.83)</f>
        <v>191.5</v>
      </c>
      <c r="AE58" s="43">
        <v>601.86</v>
      </c>
      <c r="AF58" s="43">
        <f>V58+Y58+Z58+AA58+AB58+AC58+AD58</f>
        <v>280117.70000000007</v>
      </c>
      <c r="AG58" s="43">
        <f>IFERROR(IFERROR((H58*W58*J58/15)-AE58,""),"")</f>
        <v>300332.03581333341</v>
      </c>
      <c r="AH58" s="26">
        <f>IFERROR(AG58-AF58,"")</f>
        <v>20214.335813333339</v>
      </c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4"/>
    </row>
    <row r="59" spans="1:59" x14ac:dyDescent="0.35">
      <c r="A59" s="21"/>
      <c r="B59" s="21"/>
      <c r="C59" s="21"/>
      <c r="D59" s="21"/>
      <c r="E59" s="21"/>
      <c r="F59" s="21"/>
      <c r="G59" s="21"/>
      <c r="H59" s="44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404.28671626666676</v>
      </c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4"/>
    </row>
    <row r="60" spans="1:5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4"/>
    </row>
    <row r="61" spans="1:5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3"/>
      <c r="AA61" s="21"/>
      <c r="AB61" s="21"/>
      <c r="AC61" s="21"/>
      <c r="AD61" s="21"/>
      <c r="AE61" s="21"/>
      <c r="AF61" s="21"/>
      <c r="AG61" s="21"/>
      <c r="AH61" s="48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4"/>
    </row>
    <row r="62" spans="1:5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3"/>
      <c r="AA62" s="21"/>
      <c r="AB62" s="21"/>
      <c r="AC62" s="21"/>
      <c r="AD62" s="21"/>
      <c r="AE62" s="21"/>
      <c r="AF62" s="21"/>
      <c r="AG62" s="21"/>
      <c r="AH62" s="48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4"/>
    </row>
    <row r="63" spans="1:59" x14ac:dyDescent="0.35">
      <c r="A63" s="37" t="s">
        <v>1</v>
      </c>
      <c r="B63" s="37" t="s">
        <v>2</v>
      </c>
      <c r="C63" s="37" t="s">
        <v>110</v>
      </c>
      <c r="D63" s="37" t="s">
        <v>66</v>
      </c>
      <c r="E63" s="37" t="s">
        <v>32</v>
      </c>
      <c r="F63" s="37" t="s">
        <v>137</v>
      </c>
      <c r="G63" s="37" t="s">
        <v>138</v>
      </c>
      <c r="H63" s="37" t="s">
        <v>4</v>
      </c>
      <c r="I63" s="37" t="s">
        <v>5</v>
      </c>
      <c r="J63" s="37" t="s">
        <v>6</v>
      </c>
      <c r="K63" s="37" t="s">
        <v>7</v>
      </c>
      <c r="L63" s="37" t="s">
        <v>279</v>
      </c>
      <c r="M63" s="37" t="s">
        <v>280</v>
      </c>
      <c r="N63" s="37" t="s">
        <v>281</v>
      </c>
      <c r="O63" s="37" t="s">
        <v>282</v>
      </c>
      <c r="P63" s="37" t="s">
        <v>283</v>
      </c>
      <c r="Q63" s="37" t="s">
        <v>284</v>
      </c>
      <c r="R63" s="37" t="s">
        <v>904</v>
      </c>
      <c r="S63" s="37" t="s">
        <v>285</v>
      </c>
      <c r="T63" s="37" t="s">
        <v>289</v>
      </c>
      <c r="U63" s="37" t="s">
        <v>8</v>
      </c>
      <c r="V63" s="37" t="s">
        <v>9</v>
      </c>
      <c r="W63" s="37" t="s">
        <v>10</v>
      </c>
      <c r="X63" s="37" t="s">
        <v>100</v>
      </c>
      <c r="Y63" s="37" t="s">
        <v>106</v>
      </c>
      <c r="Z63" s="37" t="s">
        <v>12</v>
      </c>
      <c r="AA63" s="37" t="s">
        <v>11</v>
      </c>
      <c r="AB63" s="37" t="s">
        <v>13</v>
      </c>
      <c r="AC63" s="37" t="s">
        <v>74</v>
      </c>
      <c r="AD63" s="37" t="s">
        <v>21</v>
      </c>
      <c r="AE63" s="37" t="s">
        <v>14</v>
      </c>
      <c r="AF63" s="37" t="s">
        <v>15</v>
      </c>
      <c r="AG63" s="37" t="s">
        <v>16</v>
      </c>
      <c r="AH63" s="15" t="s">
        <v>17</v>
      </c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4"/>
    </row>
    <row r="64" spans="1:59" x14ac:dyDescent="0.35">
      <c r="A64" s="38">
        <v>44771</v>
      </c>
      <c r="B64" s="39" t="s">
        <v>221</v>
      </c>
      <c r="C64" s="39" t="s">
        <v>222</v>
      </c>
      <c r="D64" s="45">
        <v>133786</v>
      </c>
      <c r="E64" s="39"/>
      <c r="F64" s="39">
        <v>49</v>
      </c>
      <c r="G64" s="39"/>
      <c r="H64" s="40">
        <v>24460.799999999999</v>
      </c>
      <c r="I64" s="53">
        <v>0.54</v>
      </c>
      <c r="J64" s="42">
        <f>IFERROR(K64/H64,"")</f>
        <v>0.54059188579277861</v>
      </c>
      <c r="K64" s="40">
        <v>13223.31</v>
      </c>
      <c r="L64" s="40"/>
      <c r="M64" s="40"/>
      <c r="N64" s="40"/>
      <c r="O64" s="40"/>
      <c r="P64" s="40"/>
      <c r="Q64" s="40"/>
      <c r="R64" s="40"/>
      <c r="S64" s="40"/>
      <c r="T64" s="40"/>
      <c r="U64" s="43">
        <v>295</v>
      </c>
      <c r="V64" s="43">
        <f>H64*U64*I64/15</f>
        <v>259773.69600000003</v>
      </c>
      <c r="W64" s="43">
        <v>334.54</v>
      </c>
      <c r="X64" s="43">
        <v>294912.06</v>
      </c>
      <c r="Y64" s="43">
        <f>F64*80</f>
        <v>3920</v>
      </c>
      <c r="Z64" s="43">
        <v>12929</v>
      </c>
      <c r="AA64" s="43"/>
      <c r="AB64" s="43">
        <v>1475</v>
      </c>
      <c r="AC64" s="43">
        <f>F64*30</f>
        <v>1470</v>
      </c>
      <c r="AD64" s="43">
        <f>IF(F64="",G64*3.83,F64*3.83)</f>
        <v>187.67000000000002</v>
      </c>
      <c r="AE64" s="43">
        <v>589.82000000000005</v>
      </c>
      <c r="AF64" s="43">
        <f>V64+Y64+Z64+AA64+AB64+AC64+AD64</f>
        <v>279755.36599999998</v>
      </c>
      <c r="AG64" s="43">
        <f>IFERROR(IFERROR((H64*W64*J64/15)-AE64,""),"")</f>
        <v>294325.25515999994</v>
      </c>
      <c r="AH64" s="26">
        <f>IFERROR(AG64-AF64,"")</f>
        <v>14569.889159999962</v>
      </c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4"/>
    </row>
    <row r="65" spans="1:59" x14ac:dyDescent="0.35">
      <c r="A65" s="21"/>
      <c r="B65" s="21"/>
      <c r="C65" s="21"/>
      <c r="D65" s="21"/>
      <c r="E65" s="21"/>
      <c r="F65" s="21"/>
      <c r="G65" s="21"/>
      <c r="H65" s="44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297.34467673469311</v>
      </c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4"/>
    </row>
    <row r="66" spans="1:59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3"/>
      <c r="AA66" s="21"/>
      <c r="AB66" s="21"/>
      <c r="AC66" s="21"/>
      <c r="AD66" s="21"/>
      <c r="AE66" s="21"/>
      <c r="AF66" s="21"/>
      <c r="AG66" s="21"/>
      <c r="AH66" s="26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4"/>
    </row>
    <row r="67" spans="1:59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3"/>
      <c r="AA67" s="21"/>
      <c r="AB67" s="21"/>
      <c r="AC67" s="21"/>
      <c r="AD67" s="21"/>
      <c r="AE67" s="21"/>
      <c r="AF67" s="21"/>
      <c r="AG67" s="21"/>
      <c r="AH67" s="48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4"/>
    </row>
    <row r="68" spans="1:59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3"/>
      <c r="AA68" s="21"/>
      <c r="AB68" s="21"/>
      <c r="AC68" s="21"/>
      <c r="AD68" s="21"/>
      <c r="AE68" s="21"/>
      <c r="AF68" s="21"/>
      <c r="AG68" s="21"/>
      <c r="AH68" s="48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4"/>
    </row>
    <row r="69" spans="1:59" x14ac:dyDescent="0.35">
      <c r="A69" s="37" t="s">
        <v>1</v>
      </c>
      <c r="B69" s="37" t="s">
        <v>2</v>
      </c>
      <c r="C69" s="37" t="s">
        <v>110</v>
      </c>
      <c r="D69" s="37" t="s">
        <v>66</v>
      </c>
      <c r="E69" s="37" t="s">
        <v>32</v>
      </c>
      <c r="F69" s="37" t="s">
        <v>137</v>
      </c>
      <c r="G69" s="37" t="s">
        <v>138</v>
      </c>
      <c r="H69" s="37" t="s">
        <v>4</v>
      </c>
      <c r="I69" s="37" t="s">
        <v>5</v>
      </c>
      <c r="J69" s="37" t="s">
        <v>6</v>
      </c>
      <c r="K69" s="37" t="s">
        <v>7</v>
      </c>
      <c r="L69" s="37" t="s">
        <v>279</v>
      </c>
      <c r="M69" s="37" t="s">
        <v>280</v>
      </c>
      <c r="N69" s="37" t="s">
        <v>281</v>
      </c>
      <c r="O69" s="37" t="s">
        <v>282</v>
      </c>
      <c r="P69" s="37" t="s">
        <v>283</v>
      </c>
      <c r="Q69" s="37" t="s">
        <v>284</v>
      </c>
      <c r="R69" s="37" t="s">
        <v>904</v>
      </c>
      <c r="S69" s="37" t="s">
        <v>285</v>
      </c>
      <c r="T69" s="37" t="s">
        <v>289</v>
      </c>
      <c r="U69" s="37" t="s">
        <v>8</v>
      </c>
      <c r="V69" s="37" t="s">
        <v>9</v>
      </c>
      <c r="W69" s="37" t="s">
        <v>10</v>
      </c>
      <c r="X69" s="37" t="s">
        <v>100</v>
      </c>
      <c r="Y69" s="37" t="s">
        <v>106</v>
      </c>
      <c r="Z69" s="37" t="s">
        <v>12</v>
      </c>
      <c r="AA69" s="37" t="s">
        <v>11</v>
      </c>
      <c r="AB69" s="37" t="s">
        <v>13</v>
      </c>
      <c r="AC69" s="37" t="s">
        <v>74</v>
      </c>
      <c r="AD69" s="37" t="s">
        <v>21</v>
      </c>
      <c r="AE69" s="37" t="s">
        <v>14</v>
      </c>
      <c r="AF69" s="37" t="s">
        <v>15</v>
      </c>
      <c r="AG69" s="37" t="s">
        <v>16</v>
      </c>
      <c r="AH69" s="15" t="s">
        <v>17</v>
      </c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4"/>
    </row>
    <row r="70" spans="1:59" x14ac:dyDescent="0.35">
      <c r="A70" s="38">
        <v>44771</v>
      </c>
      <c r="B70" s="39" t="s">
        <v>221</v>
      </c>
      <c r="C70" s="39" t="s">
        <v>222</v>
      </c>
      <c r="D70" s="45">
        <v>133974</v>
      </c>
      <c r="E70" s="39"/>
      <c r="F70" s="39">
        <v>1</v>
      </c>
      <c r="G70" s="39"/>
      <c r="H70" s="40">
        <v>499.2</v>
      </c>
      <c r="I70" s="53">
        <v>0.54</v>
      </c>
      <c r="J70" s="42">
        <f>IFERROR(K70/H70,"")</f>
        <v>0.53986378205128205</v>
      </c>
      <c r="K70" s="40">
        <v>269.5</v>
      </c>
      <c r="L70" s="40"/>
      <c r="M70" s="40"/>
      <c r="N70" s="40"/>
      <c r="O70" s="40"/>
      <c r="P70" s="40"/>
      <c r="Q70" s="40"/>
      <c r="R70" s="40"/>
      <c r="S70" s="40"/>
      <c r="T70" s="40"/>
      <c r="U70" s="43">
        <v>295</v>
      </c>
      <c r="V70" s="43">
        <f>H70*U70*I70/15</f>
        <v>5301.5040000000008</v>
      </c>
      <c r="W70" s="43">
        <v>336.69</v>
      </c>
      <c r="X70" s="43">
        <v>6049.38</v>
      </c>
      <c r="Y70" s="43">
        <f>F70*80</f>
        <v>80</v>
      </c>
      <c r="Z70" s="43">
        <v>0</v>
      </c>
      <c r="AA70" s="43"/>
      <c r="AB70" s="43">
        <v>0</v>
      </c>
      <c r="AC70" s="43">
        <f>F70*30</f>
        <v>30</v>
      </c>
      <c r="AD70" s="43">
        <f>IF(F70="",G70*3.83,F70*3.83)</f>
        <v>3.83</v>
      </c>
      <c r="AE70" s="43">
        <v>12.1</v>
      </c>
      <c r="AF70" s="43">
        <f>V70+Y70+Z70+AA70+AB70+AC70+AD70</f>
        <v>5415.3340000000007</v>
      </c>
      <c r="AG70" s="43">
        <f>IFERROR(IFERROR((H70*W70*J70/15)-AE70,""),"")</f>
        <v>6037.0969999999988</v>
      </c>
      <c r="AH70" s="26">
        <f>IFERROR(AG70-AF70,"")</f>
        <v>621.7629999999981</v>
      </c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4"/>
    </row>
    <row r="71" spans="1:59" x14ac:dyDescent="0.35">
      <c r="A71" s="21"/>
      <c r="B71" s="21"/>
      <c r="C71" s="21"/>
      <c r="D71" s="21"/>
      <c r="E71" s="21"/>
      <c r="F71" s="21"/>
      <c r="G71" s="21"/>
      <c r="H71" s="44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AH70/F70</f>
        <v>621.7629999999981</v>
      </c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4"/>
    </row>
    <row r="72" spans="1:59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3"/>
      <c r="AA72" s="21"/>
      <c r="AB72" s="21"/>
      <c r="AC72" s="21"/>
      <c r="AD72" s="21"/>
      <c r="AE72" s="21"/>
      <c r="AF72" s="21"/>
      <c r="AG72" s="21"/>
      <c r="AH72" s="26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4"/>
    </row>
    <row r="73" spans="1:59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3"/>
      <c r="AA73" s="21"/>
      <c r="AB73" s="21"/>
      <c r="AC73" s="21"/>
      <c r="AD73" s="21"/>
      <c r="AE73" s="21"/>
      <c r="AF73" s="21"/>
      <c r="AG73" s="21"/>
      <c r="AH73" s="48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4"/>
    </row>
    <row r="74" spans="1:59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3"/>
      <c r="AA74" s="21"/>
      <c r="AB74" s="21"/>
      <c r="AC74" s="21"/>
      <c r="AD74" s="21"/>
      <c r="AE74" s="21"/>
      <c r="AF74" s="21"/>
      <c r="AG74" s="21"/>
      <c r="AH74" s="48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4"/>
    </row>
    <row r="75" spans="1:59" x14ac:dyDescent="0.35">
      <c r="A75" s="37" t="s">
        <v>1</v>
      </c>
      <c r="B75" s="37" t="s">
        <v>2</v>
      </c>
      <c r="C75" s="37" t="s">
        <v>110</v>
      </c>
      <c r="D75" s="37" t="s">
        <v>66</v>
      </c>
      <c r="E75" s="37" t="s">
        <v>32</v>
      </c>
      <c r="F75" s="37" t="s">
        <v>137</v>
      </c>
      <c r="G75" s="37" t="s">
        <v>138</v>
      </c>
      <c r="H75" s="37" t="s">
        <v>4</v>
      </c>
      <c r="I75" s="37" t="s">
        <v>5</v>
      </c>
      <c r="J75" s="37" t="s">
        <v>6</v>
      </c>
      <c r="K75" s="37" t="s">
        <v>7</v>
      </c>
      <c r="L75" s="37" t="s">
        <v>279</v>
      </c>
      <c r="M75" s="37" t="s">
        <v>280</v>
      </c>
      <c r="N75" s="37" t="s">
        <v>281</v>
      </c>
      <c r="O75" s="37" t="s">
        <v>282</v>
      </c>
      <c r="P75" s="37" t="s">
        <v>283</v>
      </c>
      <c r="Q75" s="37" t="s">
        <v>284</v>
      </c>
      <c r="R75" s="37" t="s">
        <v>904</v>
      </c>
      <c r="S75" s="37" t="s">
        <v>285</v>
      </c>
      <c r="T75" s="37" t="s">
        <v>289</v>
      </c>
      <c r="U75" s="37" t="s">
        <v>8</v>
      </c>
      <c r="V75" s="37" t="s">
        <v>9</v>
      </c>
      <c r="W75" s="37" t="s">
        <v>10</v>
      </c>
      <c r="X75" s="37" t="s">
        <v>100</v>
      </c>
      <c r="Y75" s="37" t="s">
        <v>106</v>
      </c>
      <c r="Z75" s="37" t="s">
        <v>12</v>
      </c>
      <c r="AA75" s="37" t="s">
        <v>11</v>
      </c>
      <c r="AB75" s="37" t="s">
        <v>13</v>
      </c>
      <c r="AC75" s="37" t="s">
        <v>74</v>
      </c>
      <c r="AD75" s="37" t="s">
        <v>21</v>
      </c>
      <c r="AE75" s="37" t="s">
        <v>14</v>
      </c>
      <c r="AF75" s="37" t="s">
        <v>15</v>
      </c>
      <c r="AG75" s="37" t="s">
        <v>16</v>
      </c>
      <c r="AH75" s="15" t="s">
        <v>17</v>
      </c>
    </row>
    <row r="76" spans="1:59" x14ac:dyDescent="0.35">
      <c r="A76" s="38">
        <v>44771</v>
      </c>
      <c r="B76" s="39" t="s">
        <v>223</v>
      </c>
      <c r="C76" s="39" t="s">
        <v>224</v>
      </c>
      <c r="D76" s="45">
        <v>133787</v>
      </c>
      <c r="E76" s="39"/>
      <c r="F76" s="39"/>
      <c r="G76" s="39">
        <v>65</v>
      </c>
      <c r="H76" s="40">
        <v>23590</v>
      </c>
      <c r="I76" s="53">
        <v>0.5</v>
      </c>
      <c r="J76" s="42">
        <f>IFERROR(K76/H76,"")</f>
        <v>0.49322450190758793</v>
      </c>
      <c r="K76" s="40">
        <v>11635.165999999999</v>
      </c>
      <c r="L76" s="40"/>
      <c r="M76" s="40"/>
      <c r="N76" s="40"/>
      <c r="O76" s="40"/>
      <c r="P76" s="40"/>
      <c r="Q76" s="40"/>
      <c r="R76" s="40"/>
      <c r="S76" s="40"/>
      <c r="T76" s="40"/>
      <c r="U76" s="43">
        <v>280</v>
      </c>
      <c r="V76" s="43">
        <f>H76*U76*I76/15</f>
        <v>220173.33333333334</v>
      </c>
      <c r="W76" s="43">
        <v>327.20999999999998</v>
      </c>
      <c r="X76" s="43">
        <v>253809.23</v>
      </c>
      <c r="Y76" s="43">
        <f>G76*60</f>
        <v>3900</v>
      </c>
      <c r="Z76" s="43">
        <v>8891</v>
      </c>
      <c r="AA76" s="43"/>
      <c r="AB76" s="43">
        <v>1820</v>
      </c>
      <c r="AC76" s="43">
        <f>G76*30</f>
        <v>1950</v>
      </c>
      <c r="AD76" s="43">
        <f>IF(F76="",G76*3.83,F76*3.83)</f>
        <v>248.95000000000002</v>
      </c>
      <c r="AE76" s="43">
        <v>507.62</v>
      </c>
      <c r="AF76" s="43">
        <f>V76+Y76+Z76+AA76+AB76+AC76+AD76</f>
        <v>236983.28333333335</v>
      </c>
      <c r="AG76" s="43">
        <f>IFERROR(IFERROR((H76*W76*J76/15)-AE76,""),"")</f>
        <v>253301.89112399996</v>
      </c>
      <c r="AH76" s="26">
        <f>IFERROR(AG76-AF76,"")</f>
        <v>16318.607790666603</v>
      </c>
    </row>
    <row r="77" spans="1:59" x14ac:dyDescent="0.35">
      <c r="A77" s="21"/>
      <c r="B77" s="21"/>
      <c r="C77" s="21"/>
      <c r="D77" s="21"/>
      <c r="E77" s="21"/>
      <c r="F77" s="21"/>
      <c r="G77" s="21"/>
      <c r="H77" s="44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AH76/G76</f>
        <v>251.05550447179391</v>
      </c>
    </row>
    <row r="78" spans="1:59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3"/>
      <c r="AA78" s="21"/>
      <c r="AB78" s="21"/>
      <c r="AC78" s="21"/>
      <c r="AD78" s="21"/>
      <c r="AE78" s="21"/>
      <c r="AF78" s="21"/>
      <c r="AG78" s="21"/>
      <c r="AH78" s="26"/>
    </row>
    <row r="79" spans="1:59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3"/>
      <c r="AA79" s="21"/>
      <c r="AB79" s="21"/>
      <c r="AC79" s="21"/>
      <c r="AD79" s="21"/>
      <c r="AE79" s="21"/>
      <c r="AF79" s="21"/>
      <c r="AG79" s="21"/>
      <c r="AH79" s="48"/>
    </row>
    <row r="80" spans="1:59" ht="15" thickBot="1" x14ac:dyDescent="0.4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48"/>
    </row>
    <row r="81" spans="1:34" ht="16" thickBot="1" x14ac:dyDescent="0.4">
      <c r="A81" s="377" t="s">
        <v>213</v>
      </c>
      <c r="B81" s="378"/>
      <c r="C81" s="378"/>
      <c r="D81" s="378"/>
      <c r="E81" s="378"/>
      <c r="F81" s="378"/>
      <c r="G81" s="378"/>
      <c r="H81" s="378"/>
      <c r="I81" s="378"/>
      <c r="J81" s="378"/>
      <c r="K81" s="378"/>
      <c r="L81" s="46"/>
      <c r="M81" s="46"/>
      <c r="N81" s="46"/>
      <c r="O81" s="46"/>
      <c r="P81" s="46"/>
      <c r="Q81" s="46"/>
      <c r="R81" s="46"/>
      <c r="S81" s="46"/>
      <c r="T81" s="46"/>
      <c r="U81" s="30"/>
      <c r="V81" s="31">
        <f>V4+V10+V16+V22+V28+V34+V40+V46+V52+V58+V64+V70+V76</f>
        <v>2437007.5300000003</v>
      </c>
      <c r="W81" s="30"/>
      <c r="X81" s="30"/>
      <c r="Y81" s="31">
        <f t="shared" ref="Y81:AG81" si="0">Y4+Y10+Y16+Y22+Y28+Y34+Y40+Y46+Y52+Y58+Y64+Y70+Y76</f>
        <v>45000</v>
      </c>
      <c r="Z81" s="31">
        <f t="shared" si="0"/>
        <v>77819.98</v>
      </c>
      <c r="AA81" s="31">
        <f t="shared" si="0"/>
        <v>0</v>
      </c>
      <c r="AB81" s="31">
        <f t="shared" si="0"/>
        <v>16322.5</v>
      </c>
      <c r="AC81" s="31">
        <f t="shared" si="0"/>
        <v>10800</v>
      </c>
      <c r="AD81" s="31">
        <f t="shared" si="0"/>
        <v>2198.42</v>
      </c>
      <c r="AE81" s="31">
        <f t="shared" si="0"/>
        <v>5693.56</v>
      </c>
      <c r="AF81" s="31">
        <f t="shared" si="0"/>
        <v>2589148.4299999997</v>
      </c>
      <c r="AG81" s="31">
        <f t="shared" si="0"/>
        <v>2841102.4909386663</v>
      </c>
      <c r="AH81" s="32"/>
    </row>
  </sheetData>
  <mergeCells count="2">
    <mergeCell ref="U2:AC2"/>
    <mergeCell ref="A81:K8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0"/>
  <dimension ref="A1:BG90"/>
  <sheetViews>
    <sheetView zoomScale="70" zoomScaleNormal="70" workbookViewId="0"/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.26953125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5.26953125" bestFit="1" customWidth="1"/>
    <col min="27" max="27" width="11.81640625" customWidth="1"/>
    <col min="28" max="28" width="14.26953125" customWidth="1"/>
    <col min="29" max="29" width="13.54296875" customWidth="1"/>
    <col min="30" max="30" width="12.81640625" bestFit="1" customWidth="1"/>
    <col min="31" max="31" width="14" customWidth="1"/>
    <col min="32" max="32" width="19.26953125" customWidth="1"/>
    <col min="33" max="33" width="17.1796875" customWidth="1"/>
    <col min="34" max="34" width="17.81640625" bestFit="1" customWidth="1"/>
    <col min="36" max="36" width="18.7265625" bestFit="1" customWidth="1"/>
    <col min="37" max="37" width="17.81640625" bestFit="1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7" x14ac:dyDescent="0.35">
      <c r="A4" s="20">
        <v>44774</v>
      </c>
      <c r="B4" s="21" t="s">
        <v>226</v>
      </c>
      <c r="C4" s="21" t="s">
        <v>124</v>
      </c>
      <c r="D4" s="44">
        <v>133980</v>
      </c>
      <c r="E4" s="21"/>
      <c r="F4" s="21">
        <v>24</v>
      </c>
      <c r="G4" s="21"/>
      <c r="H4" s="22">
        <v>13900</v>
      </c>
      <c r="I4" s="23">
        <v>0.53</v>
      </c>
      <c r="J4" s="24">
        <f>IFERROR(K4/H4,"")</f>
        <v>0.55802589928057555</v>
      </c>
      <c r="K4" s="22">
        <v>7756.56</v>
      </c>
      <c r="L4" s="22"/>
      <c r="M4" s="22"/>
      <c r="N4" s="22"/>
      <c r="O4" s="22"/>
      <c r="P4" s="22"/>
      <c r="Q4" s="22"/>
      <c r="R4" s="22"/>
      <c r="S4" s="22"/>
      <c r="T4" s="22"/>
      <c r="U4" s="25">
        <v>290</v>
      </c>
      <c r="V4" s="25">
        <f>H4*U4*I4/15</f>
        <v>142428.66666666666</v>
      </c>
      <c r="W4" s="25">
        <v>336.06</v>
      </c>
      <c r="X4" s="25">
        <v>173779.37</v>
      </c>
      <c r="Y4" s="82">
        <f>F4*80</f>
        <v>1920</v>
      </c>
      <c r="Z4" s="25">
        <v>7366.56</v>
      </c>
      <c r="AA4" s="25"/>
      <c r="AB4" s="25">
        <v>696</v>
      </c>
      <c r="AC4" s="25">
        <f>F4*30</f>
        <v>720</v>
      </c>
      <c r="AD4" s="25">
        <f>IF(F4="",G4*3.83,F4*3.83)</f>
        <v>91.92</v>
      </c>
      <c r="AE4" s="25">
        <v>347.56</v>
      </c>
      <c r="AF4" s="25">
        <f>V4+Y4+Z4+AA4+AB4+AC4+AD4</f>
        <v>153223.14666666667</v>
      </c>
      <c r="AG4" s="25">
        <f>IFERROR(IFERROR((H4*W4*J4/15)-AE4,""),"")</f>
        <v>173430.41024000003</v>
      </c>
      <c r="AH4" s="26">
        <f>IFERROR(AG4-AF4,"")</f>
        <v>20207.263573333359</v>
      </c>
    </row>
    <row r="5" spans="1:37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IFERROR(AH4/F4,"")</f>
        <v>841.96931555555659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0.11651511142347948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7" x14ac:dyDescent="0.35">
      <c r="A10" s="20">
        <v>44774</v>
      </c>
      <c r="B10" s="21" t="s">
        <v>227</v>
      </c>
      <c r="C10" s="21" t="s">
        <v>124</v>
      </c>
      <c r="D10" s="44">
        <v>133980</v>
      </c>
      <c r="E10" s="21"/>
      <c r="F10" s="21">
        <v>26</v>
      </c>
      <c r="G10" s="21"/>
      <c r="H10" s="22">
        <v>15820</v>
      </c>
      <c r="I10" s="33">
        <v>0.52</v>
      </c>
      <c r="J10" s="24">
        <f>IFERROR(K10/H10,"")</f>
        <v>0.53115929203539824</v>
      </c>
      <c r="K10" s="22">
        <v>8402.94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290</v>
      </c>
      <c r="V10" s="25">
        <f>H10*U10*I10/15</f>
        <v>159043.73333333334</v>
      </c>
      <c r="W10" s="25">
        <v>336.06</v>
      </c>
      <c r="X10" s="25">
        <v>188260.99</v>
      </c>
      <c r="Y10" s="82">
        <f>F10*80</f>
        <v>2080</v>
      </c>
      <c r="Z10" s="25">
        <v>7980.44</v>
      </c>
      <c r="AA10" s="25"/>
      <c r="AB10" s="25">
        <v>754</v>
      </c>
      <c r="AC10" s="25">
        <f>F10*30</f>
        <v>780</v>
      </c>
      <c r="AD10" s="25">
        <f>IF(F10="",F10*G10,F10*3.83)</f>
        <v>99.58</v>
      </c>
      <c r="AE10" s="25">
        <v>376.52</v>
      </c>
      <c r="AF10" s="25">
        <f>V10+Y10+Z10+AA10+AB10+AC10+AD10</f>
        <v>170737.75333333333</v>
      </c>
      <c r="AG10" s="25">
        <f>IFERROR(IFERROR((H10*W10*J10/15)-AE10,""),"")</f>
        <v>187882.94776000001</v>
      </c>
      <c r="AH10" s="26">
        <f>IFERROR(AG10-AF10,"")</f>
        <v>17145.194426666683</v>
      </c>
    </row>
    <row r="11" spans="1:3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IFERROR(AH10/F10,"")</f>
        <v>659.43055487179549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9.1254659515816197E-2</v>
      </c>
      <c r="AJ12" s="6"/>
    </row>
    <row r="15" spans="1:37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7" x14ac:dyDescent="0.35">
      <c r="A16" s="20">
        <v>44774</v>
      </c>
      <c r="B16" s="21" t="s">
        <v>151</v>
      </c>
      <c r="C16" s="21" t="s">
        <v>228</v>
      </c>
      <c r="D16" s="44">
        <v>134080</v>
      </c>
      <c r="E16" s="21"/>
      <c r="F16" s="21">
        <v>50</v>
      </c>
      <c r="G16" s="21"/>
      <c r="H16" s="22">
        <v>26858</v>
      </c>
      <c r="I16" s="33">
        <v>0.53</v>
      </c>
      <c r="J16" s="24">
        <f>IFERROR(K16/H16,"")</f>
        <v>0.5392992776826272</v>
      </c>
      <c r="K16" s="22">
        <v>14484.5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285</v>
      </c>
      <c r="V16" s="25">
        <f>H16*U16*I16/15</f>
        <v>270460.06</v>
      </c>
      <c r="W16" s="25">
        <v>334.19</v>
      </c>
      <c r="X16" s="25">
        <v>322699.69</v>
      </c>
      <c r="Y16" s="25">
        <f>F16*100</f>
        <v>5000</v>
      </c>
      <c r="Z16" s="25">
        <v>4202</v>
      </c>
      <c r="AA16" s="25"/>
      <c r="AB16" s="25">
        <v>1425</v>
      </c>
      <c r="AC16" s="25">
        <v>0</v>
      </c>
      <c r="AD16" s="25">
        <f>F16*3.83</f>
        <v>191.5</v>
      </c>
      <c r="AE16" s="25">
        <v>645.41</v>
      </c>
      <c r="AF16" s="25">
        <f>V16+Y16+Z16+AA16+AB16+AC16+AD16</f>
        <v>281278.56</v>
      </c>
      <c r="AG16" s="25">
        <f>IFERROR(IFERROR((H16*W16*J16/15)-AE16,""),"")</f>
        <v>322059.59366666671</v>
      </c>
      <c r="AH16" s="26">
        <f>IFERROR(AG16-AF16,"")</f>
        <v>40781.033666666714</v>
      </c>
      <c r="AJ16" s="6"/>
      <c r="AK16" s="6"/>
    </row>
    <row r="17" spans="1:38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IFERROR(AH16/F16,"")</f>
        <v>815.62067333333425</v>
      </c>
      <c r="AK17" s="63"/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0.12662573780949152</v>
      </c>
      <c r="AK18" s="63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11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K21" s="63"/>
    </row>
    <row r="22" spans="1:38" x14ac:dyDescent="0.35">
      <c r="A22" s="20">
        <v>44774</v>
      </c>
      <c r="B22" s="21" t="s">
        <v>229</v>
      </c>
      <c r="C22" s="21" t="s">
        <v>111</v>
      </c>
      <c r="D22" s="44">
        <v>133800</v>
      </c>
      <c r="E22" s="21"/>
      <c r="F22" s="21">
        <v>42</v>
      </c>
      <c r="G22" s="21"/>
      <c r="H22" s="22">
        <v>21129</v>
      </c>
      <c r="I22" s="33">
        <v>0.52</v>
      </c>
      <c r="J22" s="24">
        <f>IFERROR(K22/H22,"")</f>
        <v>0.55272374461640394</v>
      </c>
      <c r="K22" s="22">
        <v>11678.5</v>
      </c>
      <c r="L22" s="22"/>
      <c r="M22" s="22"/>
      <c r="N22" s="22"/>
      <c r="O22" s="22"/>
      <c r="P22" s="22"/>
      <c r="Q22" s="22"/>
      <c r="R22" s="22"/>
      <c r="S22" s="22"/>
      <c r="T22" s="22"/>
      <c r="U22" s="25">
        <v>285</v>
      </c>
      <c r="V22" s="25">
        <f>H22*U22*I22/15</f>
        <v>208754.52000000002</v>
      </c>
      <c r="W22" s="25">
        <v>337.13</v>
      </c>
      <c r="X22" s="25">
        <v>262474.18</v>
      </c>
      <c r="Y22" s="25">
        <f>F22*100</f>
        <v>4200</v>
      </c>
      <c r="Z22" s="25">
        <v>4174</v>
      </c>
      <c r="AA22" s="25"/>
      <c r="AB22" s="25">
        <v>1197</v>
      </c>
      <c r="AC22" s="25">
        <v>0</v>
      </c>
      <c r="AD22" s="25">
        <f>IF(F22="",G22*3.83,F22*3.83)</f>
        <v>160.86000000000001</v>
      </c>
      <c r="AE22" s="25">
        <v>524.95000000000005</v>
      </c>
      <c r="AF22" s="25">
        <f>V22+Y22+Z22+AA22+AB22+AC22+AD22</f>
        <v>218486.38</v>
      </c>
      <c r="AG22" s="25">
        <f>IFERROR(IFERROR((H22*W22*J22/15)-AE22,""),"")</f>
        <v>261953.23033333331</v>
      </c>
      <c r="AH22" s="26">
        <f>IFERROR(AG22-AF22,"")</f>
        <v>43466.850333333306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1034.9250079365072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0.16593362974765419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8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8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 t="s">
        <v>32</v>
      </c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11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8" x14ac:dyDescent="0.35">
      <c r="A28" s="20">
        <v>44775</v>
      </c>
      <c r="B28" s="21" t="s">
        <v>230</v>
      </c>
      <c r="C28" s="21" t="s">
        <v>124</v>
      </c>
      <c r="D28" s="44">
        <v>134109</v>
      </c>
      <c r="E28" s="21"/>
      <c r="F28" s="21">
        <v>50</v>
      </c>
      <c r="G28" s="21"/>
      <c r="H28" s="22">
        <v>23400</v>
      </c>
      <c r="I28" s="33">
        <v>0.54</v>
      </c>
      <c r="J28" s="24">
        <f>IFERROR(K28/H28,"")</f>
        <v>0.53670940170940173</v>
      </c>
      <c r="K28" s="22">
        <v>12559</v>
      </c>
      <c r="L28" s="22"/>
      <c r="M28" s="22"/>
      <c r="N28" s="22"/>
      <c r="O28" s="22"/>
      <c r="P28" s="22"/>
      <c r="Q28" s="22"/>
      <c r="R28" s="22"/>
      <c r="S28" s="22"/>
      <c r="T28" s="22"/>
      <c r="U28" s="25">
        <v>290</v>
      </c>
      <c r="V28" s="25">
        <f>H28*U28*I28/15</f>
        <v>244296.00000000003</v>
      </c>
      <c r="W28" s="25">
        <v>327.45</v>
      </c>
      <c r="X28" s="25">
        <v>274165.76000000001</v>
      </c>
      <c r="Y28" s="25">
        <f>F28*80</f>
        <v>4000</v>
      </c>
      <c r="Z28" s="25">
        <v>11296</v>
      </c>
      <c r="AA28" s="25"/>
      <c r="AB28" s="25">
        <v>1450</v>
      </c>
      <c r="AC28" s="25">
        <v>0</v>
      </c>
      <c r="AD28" s="25">
        <f>IF(F28="",G28*3.83,F28*3.83)</f>
        <v>191.5</v>
      </c>
      <c r="AE28" s="25">
        <v>548.33000000000004</v>
      </c>
      <c r="AF28" s="25">
        <f>V28+Y28+Z28+AA28+AB28+AC28+AD28</f>
        <v>261233.50000000003</v>
      </c>
      <c r="AG28" s="25">
        <f>IFERROR(IFERROR((H28*W28*J28/15)-AE28,""),"")</f>
        <v>273614.64</v>
      </c>
      <c r="AH28" s="26">
        <f>IFERROR(AG28-AF28,"")</f>
        <v>12381.139999999985</v>
      </c>
      <c r="AJ28">
        <f>F4+G4+F10+G10+F16+G16+F22+G22+F28+G28+F34+G34+F40+G40+F46+G46+F52+G52+F58+G58+F64+G64+F70+G70+F76+G76+F82+G82</f>
        <v>846</v>
      </c>
      <c r="AK28" s="50" t="s">
        <v>22</v>
      </c>
      <c r="AL28" t="s">
        <v>72</v>
      </c>
    </row>
    <row r="29" spans="1:38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247.6227999999997</v>
      </c>
      <c r="AJ29" s="11">
        <f>AH4+AH10+AH16+AH22+AH28+AH34+AH40+AH46+AH52+AH58+AH64+AH70+AH76+AH82</f>
        <v>400709.74100000039</v>
      </c>
      <c r="AK29" s="11">
        <f>AJ29*30%</f>
        <v>120212.92230000011</v>
      </c>
    </row>
    <row r="30" spans="1:38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4.525028339126877E-2</v>
      </c>
      <c r="AJ30" s="11"/>
      <c r="AK30" s="11"/>
    </row>
    <row r="31" spans="1:38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8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7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32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11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37" x14ac:dyDescent="0.35">
      <c r="A34" s="20">
        <v>44775</v>
      </c>
      <c r="B34" s="21" t="s">
        <v>77</v>
      </c>
      <c r="C34" s="21" t="s">
        <v>182</v>
      </c>
      <c r="D34" s="44">
        <v>134180</v>
      </c>
      <c r="E34" s="21"/>
      <c r="F34" s="21">
        <v>162</v>
      </c>
      <c r="G34" s="21"/>
      <c r="H34" s="22">
        <v>80942</v>
      </c>
      <c r="I34" s="33">
        <v>0.53500000000000003</v>
      </c>
      <c r="J34" s="24">
        <f>IFERROR(K34/H34,"")</f>
        <v>0.54458748239480126</v>
      </c>
      <c r="K34" s="22">
        <v>44080</v>
      </c>
      <c r="L34" s="22"/>
      <c r="M34" s="22"/>
      <c r="N34" s="22"/>
      <c r="O34" s="22"/>
      <c r="P34" s="22"/>
      <c r="Q34" s="22"/>
      <c r="R34" s="22"/>
      <c r="S34" s="22"/>
      <c r="T34" s="22"/>
      <c r="U34" s="25">
        <v>295</v>
      </c>
      <c r="V34" s="25">
        <f>H34*U34*I34/15</f>
        <v>851644.7433333334</v>
      </c>
      <c r="W34" s="25">
        <v>336.85</v>
      </c>
      <c r="X34" s="25">
        <v>989892.53</v>
      </c>
      <c r="Y34" s="25">
        <f>F34*80</f>
        <v>12960</v>
      </c>
      <c r="Z34" s="25">
        <v>10544</v>
      </c>
      <c r="AA34" s="25"/>
      <c r="AB34" s="25">
        <v>4779</v>
      </c>
      <c r="AC34" s="25">
        <f>F34*30</f>
        <v>4860</v>
      </c>
      <c r="AD34" s="25">
        <f>IF(F34="",G34*3.83,F34*3.83)</f>
        <v>620.46</v>
      </c>
      <c r="AE34" s="25">
        <v>1979.78</v>
      </c>
      <c r="AF34" s="25">
        <f>V34+Y34+Z34+AA34+AB34+AC34+AD34</f>
        <v>885408.20333333337</v>
      </c>
      <c r="AG34" s="25">
        <f>IFERROR(IFERROR((H34*W34*J34/15)-AE34,""),"")</f>
        <v>987910.0866666669</v>
      </c>
      <c r="AH34" s="26">
        <f>IFERROR(AG34-AF34,"")</f>
        <v>102501.88333333354</v>
      </c>
    </row>
    <row r="35" spans="1:37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632.72767489712055</v>
      </c>
    </row>
    <row r="36" spans="1:37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0.10375628786136581</v>
      </c>
    </row>
    <row r="37" spans="1:37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7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37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 t="s">
        <v>32</v>
      </c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11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</row>
    <row r="40" spans="1:37" x14ac:dyDescent="0.35">
      <c r="A40" s="20">
        <v>44776</v>
      </c>
      <c r="B40" s="21" t="s">
        <v>77</v>
      </c>
      <c r="C40" s="21" t="s">
        <v>182</v>
      </c>
      <c r="D40" s="44">
        <v>133844</v>
      </c>
      <c r="E40" s="21"/>
      <c r="F40" s="21">
        <v>162</v>
      </c>
      <c r="G40" s="21"/>
      <c r="H40" s="22">
        <v>81300</v>
      </c>
      <c r="I40" s="33">
        <v>0.53500000000000003</v>
      </c>
      <c r="J40" s="24">
        <f>IFERROR(K40/H40,"")</f>
        <v>0.55079950799507993</v>
      </c>
      <c r="K40" s="22">
        <v>44780</v>
      </c>
      <c r="L40" s="22"/>
      <c r="M40" s="22"/>
      <c r="N40" s="22"/>
      <c r="O40" s="22"/>
      <c r="P40" s="22"/>
      <c r="Q40" s="22"/>
      <c r="R40" s="22"/>
      <c r="S40" s="22"/>
      <c r="T40" s="22"/>
      <c r="U40" s="25">
        <v>295</v>
      </c>
      <c r="V40" s="25">
        <f>H40*U40*I40/15</f>
        <v>855411.5</v>
      </c>
      <c r="W40" s="25">
        <v>327.97</v>
      </c>
      <c r="X40" s="25">
        <v>979109.41</v>
      </c>
      <c r="Y40" s="25">
        <f>F40*80</f>
        <v>12960</v>
      </c>
      <c r="Z40" s="25">
        <v>10544</v>
      </c>
      <c r="AA40" s="25"/>
      <c r="AB40" s="25">
        <v>4779</v>
      </c>
      <c r="AC40" s="25">
        <f>F40*30</f>
        <v>4860</v>
      </c>
      <c r="AD40" s="25">
        <f>IF(F40="",G40*3.83,F40*3.83)</f>
        <v>620.46</v>
      </c>
      <c r="AE40" s="25">
        <v>1958.22</v>
      </c>
      <c r="AF40" s="25">
        <f>V40+Y40+Z40+AA40+AB40+AC40+AD40</f>
        <v>889174.96</v>
      </c>
      <c r="AG40" s="25">
        <f>IFERROR(IFERROR((H40*W40*J40/15)-AE40,""),"")</f>
        <v>977141.55333333346</v>
      </c>
      <c r="AH40" s="26">
        <f>IFERROR(AG40-AF40,"")</f>
        <v>87966.593333333498</v>
      </c>
    </row>
    <row r="41" spans="1:37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543.00366255144138</v>
      </c>
      <c r="AJ41" s="11"/>
      <c r="AK41" s="11"/>
    </row>
    <row r="42" spans="1:37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9.0024411543293922E-2</v>
      </c>
      <c r="AJ42" s="11"/>
      <c r="AK42" s="11"/>
    </row>
    <row r="43" spans="1:37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</row>
    <row r="44" spans="1:37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</row>
    <row r="45" spans="1:37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 t="s">
        <v>32</v>
      </c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11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</row>
    <row r="46" spans="1:37" x14ac:dyDescent="0.35">
      <c r="A46" s="20">
        <v>44776</v>
      </c>
      <c r="B46" s="21" t="s">
        <v>230</v>
      </c>
      <c r="C46" s="21" t="s">
        <v>231</v>
      </c>
      <c r="D46" s="44">
        <v>134364</v>
      </c>
      <c r="E46" s="21"/>
      <c r="F46" s="21">
        <v>50</v>
      </c>
      <c r="G46" s="21"/>
      <c r="H46" s="22">
        <v>25040</v>
      </c>
      <c r="I46" s="33">
        <v>0.54</v>
      </c>
      <c r="J46" s="24">
        <f>IFERROR(K46/H46,"")</f>
        <v>0.54868210862619804</v>
      </c>
      <c r="K46" s="22">
        <v>13739</v>
      </c>
      <c r="L46" s="22"/>
      <c r="M46" s="22"/>
      <c r="N46" s="22"/>
      <c r="O46" s="22"/>
      <c r="P46" s="22"/>
      <c r="Q46" s="22"/>
      <c r="R46" s="22"/>
      <c r="S46" s="22"/>
      <c r="T46" s="22"/>
      <c r="U46" s="25">
        <v>290</v>
      </c>
      <c r="V46" s="25">
        <f>H46*U46*I46/15</f>
        <v>261417.60000000003</v>
      </c>
      <c r="W46" s="25">
        <v>317.93</v>
      </c>
      <c r="X46" s="25">
        <v>291197.67</v>
      </c>
      <c r="Y46" s="25">
        <f>F46*80</f>
        <v>4000</v>
      </c>
      <c r="Z46" s="25">
        <v>13634</v>
      </c>
      <c r="AA46" s="25"/>
      <c r="AB46" s="25">
        <v>1450</v>
      </c>
      <c r="AC46" s="25">
        <f>F46*30</f>
        <v>1500</v>
      </c>
      <c r="AD46" s="25">
        <f>IF(F46="",G46*3.83,F46*3.83)</f>
        <v>191.5</v>
      </c>
      <c r="AE46" s="25">
        <v>317.93</v>
      </c>
      <c r="AF46" s="25">
        <f>V46+Y46+Z46+AA46+AB46+AC46+AD46</f>
        <v>282193.10000000003</v>
      </c>
      <c r="AG46" s="25">
        <f>IFERROR(IFERROR((H46*W46*J46/15)-AE46,""),"")</f>
        <v>290884.75466666662</v>
      </c>
      <c r="AH46" s="26">
        <f>IFERROR(AG46-AF46,"")</f>
        <v>8691.6546666665818</v>
      </c>
    </row>
    <row r="47" spans="1:3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173.83309333333165</v>
      </c>
    </row>
    <row r="48" spans="1:3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2.9880062558199739E-2</v>
      </c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</row>
    <row r="51" spans="1:59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 t="s">
        <v>32</v>
      </c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11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47"/>
    </row>
    <row r="52" spans="1:59" x14ac:dyDescent="0.35">
      <c r="A52" s="20">
        <v>44777</v>
      </c>
      <c r="B52" s="21" t="s">
        <v>232</v>
      </c>
      <c r="C52" s="21" t="s">
        <v>124</v>
      </c>
      <c r="D52" s="44">
        <v>133835</v>
      </c>
      <c r="E52" s="21"/>
      <c r="F52" s="21"/>
      <c r="G52" s="21">
        <v>65</v>
      </c>
      <c r="H52" s="22">
        <v>22407</v>
      </c>
      <c r="I52" s="33">
        <v>0.5</v>
      </c>
      <c r="J52" s="24">
        <f>IFERROR(K52/H52,"")</f>
        <v>0.50319096710849287</v>
      </c>
      <c r="K52" s="22">
        <v>11275</v>
      </c>
      <c r="L52" s="22"/>
      <c r="M52" s="22"/>
      <c r="N52" s="22"/>
      <c r="O52" s="22"/>
      <c r="P52" s="22"/>
      <c r="Q52" s="22"/>
      <c r="R52" s="22"/>
      <c r="S52" s="22"/>
      <c r="T52" s="22"/>
      <c r="U52" s="25">
        <v>275</v>
      </c>
      <c r="V52" s="25">
        <f>H52*U52*I52/15</f>
        <v>205397.5</v>
      </c>
      <c r="W52" s="25">
        <v>307.94</v>
      </c>
      <c r="X52" s="25">
        <v>231471.05</v>
      </c>
      <c r="Y52" s="25">
        <f>G52*60</f>
        <v>3900</v>
      </c>
      <c r="Z52" s="25">
        <v>12472</v>
      </c>
      <c r="AA52" s="25">
        <v>100</v>
      </c>
      <c r="AB52" s="25">
        <v>1787.5</v>
      </c>
      <c r="AC52" s="25">
        <f>G52*30</f>
        <v>1950</v>
      </c>
      <c r="AD52" s="25">
        <f>IF(F52="",G52*3.83,G52*3.83)</f>
        <v>248.95000000000002</v>
      </c>
      <c r="AE52" s="25">
        <v>462.94</v>
      </c>
      <c r="AF52" s="25">
        <f>V52+Y52+Z52+AA52+AB52+AC52+AD52</f>
        <v>225855.95</v>
      </c>
      <c r="AG52" s="25">
        <f>IFERROR(IFERROR((H52*W52*J52/15)-AE52,""),"")</f>
        <v>231005.29333333333</v>
      </c>
      <c r="AH52" s="26">
        <f>IFERROR(AG52-AF52,"")</f>
        <v>5149.3433333333232</v>
      </c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47"/>
    </row>
    <row r="53" spans="1:5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AH52/G52</f>
        <v>79.220666666666517</v>
      </c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4"/>
    </row>
    <row r="54" spans="1:5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3"/>
      <c r="AA54" s="21"/>
      <c r="AB54" s="21"/>
      <c r="AC54" s="21"/>
      <c r="AD54" s="21"/>
      <c r="AE54" s="21"/>
      <c r="AF54" s="21"/>
      <c r="AG54" s="21"/>
      <c r="AH54" s="27">
        <f>AH52/AG52</f>
        <v>2.2291018785889825E-2</v>
      </c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4"/>
    </row>
    <row r="55" spans="1:5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48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4"/>
    </row>
    <row r="56" spans="1:5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3"/>
      <c r="AA56" s="21"/>
      <c r="AB56" s="21"/>
      <c r="AC56" s="21"/>
      <c r="AD56" s="21"/>
      <c r="AE56" s="21"/>
      <c r="AF56" s="21"/>
      <c r="AG56" s="21"/>
      <c r="AH56" s="48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4"/>
    </row>
    <row r="57" spans="1:59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 t="s">
        <v>32</v>
      </c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11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4"/>
    </row>
    <row r="58" spans="1:59" x14ac:dyDescent="0.35">
      <c r="A58" s="20">
        <v>44777</v>
      </c>
      <c r="B58" s="21" t="s">
        <v>26</v>
      </c>
      <c r="C58" s="21" t="s">
        <v>141</v>
      </c>
      <c r="D58" s="44">
        <v>134365</v>
      </c>
      <c r="E58" s="21"/>
      <c r="F58" s="21"/>
      <c r="G58" s="21">
        <v>65</v>
      </c>
      <c r="H58" s="22">
        <v>24890</v>
      </c>
      <c r="I58" s="33">
        <v>0.5</v>
      </c>
      <c r="J58" s="24">
        <f>IFERROR(K58/H58,"")</f>
        <v>0.51090799517878671</v>
      </c>
      <c r="K58" s="22">
        <v>12716.5</v>
      </c>
      <c r="L58" s="22"/>
      <c r="M58" s="22"/>
      <c r="N58" s="22"/>
      <c r="O58" s="22"/>
      <c r="P58" s="22"/>
      <c r="Q58" s="22"/>
      <c r="R58" s="22"/>
      <c r="S58" s="22"/>
      <c r="T58" s="22"/>
      <c r="U58" s="25">
        <v>275</v>
      </c>
      <c r="V58" s="25">
        <f>H58*U58*I58/15</f>
        <v>228158.33333333334</v>
      </c>
      <c r="W58" s="25">
        <v>311.97000000000003</v>
      </c>
      <c r="X58" s="25">
        <v>264475.08</v>
      </c>
      <c r="Y58" s="25">
        <f>G58*60</f>
        <v>3900</v>
      </c>
      <c r="Z58" s="25">
        <v>8308.7999999999993</v>
      </c>
      <c r="AA58" s="25"/>
      <c r="AB58" s="25">
        <v>1787.5</v>
      </c>
      <c r="AC58" s="25">
        <f>G58*30</f>
        <v>1950</v>
      </c>
      <c r="AD58" s="25">
        <f>IF(F58="",G58*3.83,F58*3.83)</f>
        <v>248.95000000000002</v>
      </c>
      <c r="AE58" s="25">
        <v>528.96</v>
      </c>
      <c r="AF58" s="25">
        <f>V58+Y58+Z58+AA58+AB58+AC58+AD58</f>
        <v>244353.58333333334</v>
      </c>
      <c r="AG58" s="25">
        <f>IFERROR(IFERROR((H58*W58*J58/15)-AE58,""),"")</f>
        <v>263948.80700000003</v>
      </c>
      <c r="AH58" s="26">
        <f>IFERROR(AG58-AF58,"")</f>
        <v>19595.223666666687</v>
      </c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4"/>
    </row>
    <row r="59" spans="1:59" x14ac:dyDescent="0.35">
      <c r="A59" s="21"/>
      <c r="B59" s="21"/>
      <c r="C59" s="21"/>
      <c r="D59" s="21"/>
      <c r="E59" s="21"/>
      <c r="F59" s="21"/>
      <c r="G59" s="21"/>
      <c r="H59" s="44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AH58/G58</f>
        <v>301.46497948717979</v>
      </c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4"/>
    </row>
    <row r="60" spans="1:5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7">
        <f>AH58/AG58</f>
        <v>7.4238727916154906E-2</v>
      </c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4"/>
    </row>
    <row r="61" spans="1:5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3"/>
      <c r="AA61" s="21"/>
      <c r="AB61" s="21"/>
      <c r="AC61" s="21"/>
      <c r="AD61" s="21"/>
      <c r="AE61" s="21"/>
      <c r="AF61" s="21"/>
      <c r="AG61" s="21"/>
      <c r="AH61" s="48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4"/>
    </row>
    <row r="62" spans="1:5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3"/>
      <c r="AA62" s="21"/>
      <c r="AB62" s="21"/>
      <c r="AC62" s="21"/>
      <c r="AD62" s="21"/>
      <c r="AE62" s="21"/>
      <c r="AF62" s="21"/>
      <c r="AG62" s="21"/>
      <c r="AH62" s="48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4"/>
    </row>
    <row r="63" spans="1:59" x14ac:dyDescent="0.35">
      <c r="A63" s="37" t="s">
        <v>1</v>
      </c>
      <c r="B63" s="37" t="s">
        <v>2</v>
      </c>
      <c r="C63" s="37" t="s">
        <v>110</v>
      </c>
      <c r="D63" s="37" t="s">
        <v>66</v>
      </c>
      <c r="E63" s="37" t="s">
        <v>32</v>
      </c>
      <c r="F63" s="37" t="s">
        <v>137</v>
      </c>
      <c r="G63" s="37" t="s">
        <v>138</v>
      </c>
      <c r="H63" s="37" t="s">
        <v>4</v>
      </c>
      <c r="I63" s="37" t="s">
        <v>5</v>
      </c>
      <c r="J63" s="37" t="s">
        <v>6</v>
      </c>
      <c r="K63" s="37" t="s">
        <v>7</v>
      </c>
      <c r="L63" s="37" t="s">
        <v>279</v>
      </c>
      <c r="M63" s="37" t="s">
        <v>280</v>
      </c>
      <c r="N63" s="37" t="s">
        <v>281</v>
      </c>
      <c r="O63" s="37" t="s">
        <v>282</v>
      </c>
      <c r="P63" s="37" t="s">
        <v>283</v>
      </c>
      <c r="Q63" s="37" t="s">
        <v>284</v>
      </c>
      <c r="R63" s="37" t="s">
        <v>904</v>
      </c>
      <c r="S63" s="37" t="s">
        <v>285</v>
      </c>
      <c r="T63" s="37" t="s">
        <v>289</v>
      </c>
      <c r="U63" s="37" t="s">
        <v>8</v>
      </c>
      <c r="V63" s="37" t="s">
        <v>9</v>
      </c>
      <c r="W63" s="37" t="s">
        <v>10</v>
      </c>
      <c r="X63" s="37" t="s">
        <v>100</v>
      </c>
      <c r="Y63" s="37" t="s">
        <v>106</v>
      </c>
      <c r="Z63" s="37" t="s">
        <v>12</v>
      </c>
      <c r="AA63" s="37" t="s">
        <v>11</v>
      </c>
      <c r="AB63" s="37" t="s">
        <v>13</v>
      </c>
      <c r="AC63" s="37" t="s">
        <v>74</v>
      </c>
      <c r="AD63" s="37" t="s">
        <v>21</v>
      </c>
      <c r="AE63" s="37" t="s">
        <v>14</v>
      </c>
      <c r="AF63" s="37" t="s">
        <v>15</v>
      </c>
      <c r="AG63" s="37" t="s">
        <v>16</v>
      </c>
      <c r="AH63" s="15" t="s">
        <v>17</v>
      </c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4"/>
    </row>
    <row r="64" spans="1:59" x14ac:dyDescent="0.35">
      <c r="A64" s="38">
        <v>44778</v>
      </c>
      <c r="B64" s="39" t="s">
        <v>233</v>
      </c>
      <c r="C64" s="39" t="s">
        <v>195</v>
      </c>
      <c r="D64" s="45">
        <v>134322</v>
      </c>
      <c r="E64" s="39"/>
      <c r="F64" s="39">
        <v>50</v>
      </c>
      <c r="G64" s="39"/>
      <c r="H64" s="40">
        <v>29260</v>
      </c>
      <c r="I64" s="53">
        <v>0.54</v>
      </c>
      <c r="J64" s="42">
        <f>IFERROR(K64/H64,"")</f>
        <v>0.54116541353383463</v>
      </c>
      <c r="K64" s="40">
        <v>15834.5</v>
      </c>
      <c r="L64" s="40"/>
      <c r="M64" s="40"/>
      <c r="N64" s="40"/>
      <c r="O64" s="40"/>
      <c r="P64" s="40"/>
      <c r="Q64" s="40"/>
      <c r="R64" s="40"/>
      <c r="S64" s="40"/>
      <c r="T64" s="40"/>
      <c r="U64" s="43">
        <v>280</v>
      </c>
      <c r="V64" s="43">
        <f>H64*U64*I64/15</f>
        <v>294940.79999999999</v>
      </c>
      <c r="W64" s="43">
        <v>311.2</v>
      </c>
      <c r="X64" s="43">
        <v>328511.46999999997</v>
      </c>
      <c r="Y64" s="43">
        <f>F64*80</f>
        <v>4000</v>
      </c>
      <c r="Z64" s="43">
        <v>9030</v>
      </c>
      <c r="AA64" s="43"/>
      <c r="AB64" s="43">
        <v>1400</v>
      </c>
      <c r="AC64" s="43">
        <f>F64*30</f>
        <v>1500</v>
      </c>
      <c r="AD64" s="43">
        <f>IF(F64="",G64*3.83,F64*3.83)</f>
        <v>191.5</v>
      </c>
      <c r="AE64" s="43">
        <v>657.02</v>
      </c>
      <c r="AF64" s="43">
        <f>V64+Y64+Z64+AA64+AB64+AC64+AD64</f>
        <v>311062.3</v>
      </c>
      <c r="AG64" s="43">
        <f>IFERROR(IFERROR((H64*W64*J64/15)-AE64,""),"")</f>
        <v>327856.07333333336</v>
      </c>
      <c r="AH64" s="26">
        <f>IFERROR(AG64-AF64,"")</f>
        <v>16793.773333333374</v>
      </c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4"/>
    </row>
    <row r="65" spans="1:59" x14ac:dyDescent="0.35">
      <c r="A65" s="21"/>
      <c r="B65" s="21"/>
      <c r="C65" s="21"/>
      <c r="D65" s="21"/>
      <c r="E65" s="21"/>
      <c r="F65" s="21"/>
      <c r="G65" s="21"/>
      <c r="H65" s="44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335.87546666666748</v>
      </c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4"/>
    </row>
    <row r="66" spans="1:59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3"/>
      <c r="AA66" s="21"/>
      <c r="AB66" s="21"/>
      <c r="AC66" s="21"/>
      <c r="AD66" s="21"/>
      <c r="AE66" s="21"/>
      <c r="AF66" s="21"/>
      <c r="AG66" s="21"/>
      <c r="AH66" s="27">
        <f>AH64/AG64</f>
        <v>5.1223005151589909E-2</v>
      </c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4"/>
    </row>
    <row r="67" spans="1:59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3"/>
      <c r="AA67" s="21"/>
      <c r="AB67" s="21"/>
      <c r="AC67" s="21"/>
      <c r="AD67" s="21"/>
      <c r="AE67" s="21"/>
      <c r="AF67" s="21"/>
      <c r="AG67" s="21"/>
      <c r="AH67" s="48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4"/>
    </row>
    <row r="68" spans="1:59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3"/>
      <c r="AA68" s="21"/>
      <c r="AB68" s="21"/>
      <c r="AC68" s="21"/>
      <c r="AD68" s="21"/>
      <c r="AE68" s="21"/>
      <c r="AF68" s="21"/>
      <c r="AG68" s="21"/>
      <c r="AH68" s="48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4"/>
    </row>
    <row r="69" spans="1:59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 t="s">
        <v>32</v>
      </c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11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</row>
    <row r="70" spans="1:59" x14ac:dyDescent="0.35">
      <c r="A70" s="20">
        <v>44778</v>
      </c>
      <c r="B70" s="21" t="s">
        <v>234</v>
      </c>
      <c r="C70" s="21" t="s">
        <v>111</v>
      </c>
      <c r="D70" s="44">
        <v>134463</v>
      </c>
      <c r="E70" s="21"/>
      <c r="F70" s="21">
        <v>50</v>
      </c>
      <c r="G70" s="21"/>
      <c r="H70" s="22">
        <v>27197</v>
      </c>
      <c r="I70" s="33">
        <v>0.52500000000000002</v>
      </c>
      <c r="J70" s="24">
        <f>IFERROR(K70/H70,"")</f>
        <v>0.52112365334411881</v>
      </c>
      <c r="K70" s="22">
        <v>14173</v>
      </c>
      <c r="L70" s="22"/>
      <c r="M70" s="22"/>
      <c r="N70" s="22"/>
      <c r="O70" s="22"/>
      <c r="P70" s="22"/>
      <c r="Q70" s="22"/>
      <c r="R70" s="22"/>
      <c r="S70" s="22"/>
      <c r="T70" s="22"/>
      <c r="U70" s="25">
        <v>290</v>
      </c>
      <c r="V70" s="25">
        <f>H70*U70*I70/15</f>
        <v>276049.55</v>
      </c>
      <c r="W70" s="25">
        <v>314.04000000000002</v>
      </c>
      <c r="X70" s="25">
        <v>296729.34999999998</v>
      </c>
      <c r="Y70" s="25">
        <f>F70*100</f>
        <v>5000</v>
      </c>
      <c r="Z70" s="25">
        <v>4720</v>
      </c>
      <c r="AA70" s="25"/>
      <c r="AB70" s="25">
        <v>1450</v>
      </c>
      <c r="AC70" s="25">
        <v>0</v>
      </c>
      <c r="AD70" s="25">
        <f>IF(F70="",G70*3.83,F70*3.83)</f>
        <v>191.5</v>
      </c>
      <c r="AE70" s="25">
        <v>593.46</v>
      </c>
      <c r="AF70" s="25">
        <f>V70+Y70+Z70+AA70+AB70+AC70+AD70</f>
        <v>287411.05</v>
      </c>
      <c r="AG70" s="25">
        <f>IFERROR(IFERROR((H70*W70*J70/15)-AE70,""),"")</f>
        <v>296132.46799999999</v>
      </c>
      <c r="AH70" s="26">
        <f>IFERROR(AG70-AF70,"")</f>
        <v>8721.4180000000051</v>
      </c>
    </row>
    <row r="71" spans="1:59" x14ac:dyDescent="0.35">
      <c r="A71" s="21"/>
      <c r="B71" s="21"/>
      <c r="C71" s="21"/>
      <c r="D71" s="21"/>
      <c r="E71" s="21"/>
      <c r="F71" s="21"/>
      <c r="G71" s="21"/>
      <c r="H71" s="44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AH70/F70</f>
        <v>174.42836000000011</v>
      </c>
    </row>
    <row r="72" spans="1:59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3"/>
      <c r="AA72" s="21"/>
      <c r="AB72" s="21"/>
      <c r="AC72" s="21"/>
      <c r="AD72" s="21"/>
      <c r="AE72" s="21"/>
      <c r="AF72" s="21"/>
      <c r="AG72" s="21"/>
      <c r="AH72" s="27">
        <f>AH70/AG70</f>
        <v>2.9451069850267162E-2</v>
      </c>
    </row>
    <row r="73" spans="1:59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3"/>
      <c r="AA73" s="21"/>
      <c r="AB73" s="21"/>
      <c r="AC73" s="21"/>
      <c r="AD73" s="21"/>
      <c r="AE73" s="21"/>
      <c r="AF73" s="21"/>
      <c r="AG73" s="21"/>
      <c r="AH73" s="48"/>
    </row>
    <row r="74" spans="1:59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3"/>
      <c r="AA74" s="21"/>
      <c r="AB74" s="21"/>
      <c r="AC74" s="21"/>
      <c r="AD74" s="21"/>
      <c r="AE74" s="21"/>
      <c r="AF74" s="21"/>
      <c r="AG74" s="21"/>
      <c r="AH74" s="48"/>
    </row>
    <row r="75" spans="1:59" x14ac:dyDescent="0.35">
      <c r="A75" s="14" t="s">
        <v>1</v>
      </c>
      <c r="B75" s="14" t="s">
        <v>2</v>
      </c>
      <c r="C75" s="14" t="s">
        <v>110</v>
      </c>
      <c r="D75" s="14" t="s">
        <v>66</v>
      </c>
      <c r="E75" s="14" t="s">
        <v>32</v>
      </c>
      <c r="F75" s="14" t="s">
        <v>137</v>
      </c>
      <c r="G75" s="14" t="s">
        <v>138</v>
      </c>
      <c r="H75" s="14" t="s">
        <v>4</v>
      </c>
      <c r="I75" s="14" t="s">
        <v>5</v>
      </c>
      <c r="J75" s="14" t="s">
        <v>6</v>
      </c>
      <c r="K75" s="14" t="s">
        <v>7</v>
      </c>
      <c r="L75" s="14" t="s">
        <v>279</v>
      </c>
      <c r="M75" s="14" t="s">
        <v>280</v>
      </c>
      <c r="N75" s="14" t="s">
        <v>281</v>
      </c>
      <c r="O75" s="14" t="s">
        <v>282</v>
      </c>
      <c r="P75" s="14" t="s">
        <v>283</v>
      </c>
      <c r="Q75" s="14" t="s">
        <v>284</v>
      </c>
      <c r="R75" s="14" t="s">
        <v>904</v>
      </c>
      <c r="S75" s="14" t="s">
        <v>285</v>
      </c>
      <c r="T75" s="14" t="s">
        <v>289</v>
      </c>
      <c r="U75" s="14" t="s">
        <v>8</v>
      </c>
      <c r="V75" s="14" t="s">
        <v>9</v>
      </c>
      <c r="W75" s="14" t="s">
        <v>10</v>
      </c>
      <c r="X75" s="14" t="s">
        <v>100</v>
      </c>
      <c r="Y75" s="14" t="s">
        <v>106</v>
      </c>
      <c r="Z75" s="14" t="s">
        <v>12</v>
      </c>
      <c r="AA75" s="14" t="s">
        <v>11</v>
      </c>
      <c r="AB75" s="14" t="s">
        <v>13</v>
      </c>
      <c r="AC75" s="14" t="s">
        <v>74</v>
      </c>
      <c r="AD75" s="14" t="s">
        <v>21</v>
      </c>
      <c r="AE75" s="14" t="s">
        <v>14</v>
      </c>
      <c r="AF75" s="14" t="s">
        <v>15</v>
      </c>
      <c r="AG75" s="14" t="s">
        <v>16</v>
      </c>
      <c r="AH75" s="15" t="s">
        <v>17</v>
      </c>
    </row>
    <row r="76" spans="1:59" x14ac:dyDescent="0.35">
      <c r="A76" s="20">
        <v>44778</v>
      </c>
      <c r="B76" s="21" t="s">
        <v>149</v>
      </c>
      <c r="C76" s="21" t="s">
        <v>111</v>
      </c>
      <c r="D76" s="44">
        <v>134462</v>
      </c>
      <c r="E76" s="21"/>
      <c r="F76" s="21">
        <v>16</v>
      </c>
      <c r="G76" s="21"/>
      <c r="H76" s="22">
        <v>7888</v>
      </c>
      <c r="I76" s="33">
        <v>0.52</v>
      </c>
      <c r="J76" s="24">
        <f>IFERROR(K76/H76,"")</f>
        <v>0.55967545638945237</v>
      </c>
      <c r="K76" s="22">
        <v>4414.72</v>
      </c>
      <c r="L76" s="22"/>
      <c r="M76" s="22"/>
      <c r="N76" s="22"/>
      <c r="O76" s="22"/>
      <c r="P76" s="22"/>
      <c r="Q76" s="22"/>
      <c r="R76" s="22"/>
      <c r="S76" s="22"/>
      <c r="T76" s="22"/>
      <c r="U76" s="25">
        <v>290</v>
      </c>
      <c r="V76" s="25">
        <f>H76*U76*I76/15</f>
        <v>79300.693333333344</v>
      </c>
      <c r="W76" s="25">
        <v>313.94</v>
      </c>
      <c r="X76" s="25">
        <v>92397.84</v>
      </c>
      <c r="Y76" s="25">
        <f>F76*100</f>
        <v>1600</v>
      </c>
      <c r="Z76" s="25">
        <v>1174.4000000000001</v>
      </c>
      <c r="AA76" s="25"/>
      <c r="AB76" s="25">
        <v>464</v>
      </c>
      <c r="AC76" s="25">
        <v>0</v>
      </c>
      <c r="AD76" s="25">
        <f>IF(F76="",G76*3.83,F76*3.83)</f>
        <v>61.28</v>
      </c>
      <c r="AE76" s="25">
        <v>184.79</v>
      </c>
      <c r="AF76" s="25">
        <f>V76+Y76+Z76+AA76+AB76+AC76+AD76</f>
        <v>82600.373333333337</v>
      </c>
      <c r="AG76" s="25">
        <f>IFERROR(IFERROR((H76*W76*J76/15)-AE76,""),"")</f>
        <v>92212.356453333356</v>
      </c>
      <c r="AH76" s="26">
        <f>IFERROR(AG76-AF76,"")</f>
        <v>9611.983120000019</v>
      </c>
    </row>
    <row r="77" spans="1:59" x14ac:dyDescent="0.35">
      <c r="A77" s="21"/>
      <c r="B77" s="21"/>
      <c r="C77" s="21"/>
      <c r="D77" s="21"/>
      <c r="E77" s="21"/>
      <c r="F77" s="21"/>
      <c r="G77" s="21"/>
      <c r="H77" s="44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AH76/F76</f>
        <v>600.74894500000119</v>
      </c>
    </row>
    <row r="78" spans="1:59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3"/>
      <c r="AA78" s="21"/>
      <c r="AB78" s="21"/>
      <c r="AC78" s="21"/>
      <c r="AD78" s="21"/>
      <c r="AE78" s="21"/>
      <c r="AF78" s="21"/>
      <c r="AG78" s="21"/>
      <c r="AH78" s="27">
        <f>AH76/AG76</f>
        <v>0.10423747412706487</v>
      </c>
    </row>
    <row r="79" spans="1:59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3"/>
      <c r="AA79" s="21"/>
      <c r="AB79" s="21"/>
      <c r="AC79" s="21"/>
      <c r="AD79" s="21"/>
      <c r="AE79" s="21"/>
      <c r="AF79" s="21"/>
      <c r="AG79" s="21"/>
      <c r="AH79" s="48"/>
    </row>
    <row r="80" spans="1:59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48"/>
    </row>
    <row r="81" spans="1:34" x14ac:dyDescent="0.35">
      <c r="A81" s="14" t="s">
        <v>1</v>
      </c>
      <c r="B81" s="14" t="s">
        <v>2</v>
      </c>
      <c r="C81" s="14" t="s">
        <v>110</v>
      </c>
      <c r="D81" s="14" t="s">
        <v>66</v>
      </c>
      <c r="E81" s="14" t="s">
        <v>32</v>
      </c>
      <c r="F81" s="14" t="s">
        <v>137</v>
      </c>
      <c r="G81" s="14" t="s">
        <v>138</v>
      </c>
      <c r="H81" s="14" t="s">
        <v>4</v>
      </c>
      <c r="I81" s="14" t="s">
        <v>5</v>
      </c>
      <c r="J81" s="14" t="s">
        <v>6</v>
      </c>
      <c r="K81" s="14" t="s">
        <v>7</v>
      </c>
      <c r="L81" s="14" t="s">
        <v>279</v>
      </c>
      <c r="M81" s="14" t="s">
        <v>280</v>
      </c>
      <c r="N81" s="14" t="s">
        <v>281</v>
      </c>
      <c r="O81" s="14" t="s">
        <v>282</v>
      </c>
      <c r="P81" s="14" t="s">
        <v>283</v>
      </c>
      <c r="Q81" s="14" t="s">
        <v>284</v>
      </c>
      <c r="R81" s="14" t="s">
        <v>904</v>
      </c>
      <c r="S81" s="14" t="s">
        <v>285</v>
      </c>
      <c r="T81" s="14" t="s">
        <v>289</v>
      </c>
      <c r="U81" s="14" t="s">
        <v>8</v>
      </c>
      <c r="V81" s="14" t="s">
        <v>9</v>
      </c>
      <c r="W81" s="14" t="s">
        <v>10</v>
      </c>
      <c r="X81" s="14" t="s">
        <v>100</v>
      </c>
      <c r="Y81" s="14" t="s">
        <v>106</v>
      </c>
      <c r="Z81" s="14" t="s">
        <v>12</v>
      </c>
      <c r="AA81" s="14" t="s">
        <v>11</v>
      </c>
      <c r="AB81" s="14" t="s">
        <v>13</v>
      </c>
      <c r="AC81" s="14" t="s">
        <v>74</v>
      </c>
      <c r="AD81" s="14" t="s">
        <v>21</v>
      </c>
      <c r="AE81" s="14" t="s">
        <v>14</v>
      </c>
      <c r="AF81" s="14" t="s">
        <v>15</v>
      </c>
      <c r="AG81" s="14" t="s">
        <v>16</v>
      </c>
      <c r="AH81" s="15" t="s">
        <v>17</v>
      </c>
    </row>
    <row r="82" spans="1:34" x14ac:dyDescent="0.35">
      <c r="A82" s="20">
        <v>44778</v>
      </c>
      <c r="B82" s="21" t="s">
        <v>149</v>
      </c>
      <c r="C82" s="21" t="s">
        <v>111</v>
      </c>
      <c r="D82" s="44">
        <v>134462</v>
      </c>
      <c r="E82" s="21"/>
      <c r="F82" s="21">
        <v>34</v>
      </c>
      <c r="G82" s="21"/>
      <c r="H82" s="22">
        <v>17688</v>
      </c>
      <c r="I82" s="33">
        <v>0.53</v>
      </c>
      <c r="J82" s="24">
        <f>IFERROR(K82/H82,"")</f>
        <v>0.5303753957485301</v>
      </c>
      <c r="K82" s="22">
        <v>9381.2800000000007</v>
      </c>
      <c r="L82" s="22"/>
      <c r="M82" s="22"/>
      <c r="N82" s="22"/>
      <c r="O82" s="22"/>
      <c r="P82" s="22"/>
      <c r="Q82" s="22"/>
      <c r="R82" s="22"/>
      <c r="S82" s="22"/>
      <c r="T82" s="22"/>
      <c r="U82" s="25">
        <v>290</v>
      </c>
      <c r="V82" s="25">
        <f>H82*U82*I82/15</f>
        <v>181243.04</v>
      </c>
      <c r="W82" s="25">
        <v>313.94</v>
      </c>
      <c r="X82" s="25">
        <v>196345.43</v>
      </c>
      <c r="Y82" s="25">
        <f>F82*100</f>
        <v>3400</v>
      </c>
      <c r="Z82" s="25">
        <v>2495.6</v>
      </c>
      <c r="AA82" s="25"/>
      <c r="AB82" s="25">
        <v>986</v>
      </c>
      <c r="AC82" s="25">
        <v>0</v>
      </c>
      <c r="AD82" s="25">
        <f>IF(F82="",G82*3.83,F82*3.83)</f>
        <v>130.22</v>
      </c>
      <c r="AE82" s="25">
        <v>392.69</v>
      </c>
      <c r="AF82" s="25">
        <f>V82+Y82+Z82+AA82+AB82+AC82+AD82</f>
        <v>188254.86000000002</v>
      </c>
      <c r="AG82" s="25">
        <f>IFERROR(IFERROR((H82*W82*J82/15)-AE82,""),"")</f>
        <v>195951.24621333333</v>
      </c>
      <c r="AH82" s="26">
        <f>IFERROR(AG82-AF82,"")</f>
        <v>7696.3862133333168</v>
      </c>
    </row>
    <row r="83" spans="1:34" x14ac:dyDescent="0.35">
      <c r="A83" s="21"/>
      <c r="B83" s="21"/>
      <c r="C83" s="21"/>
      <c r="D83" s="21"/>
      <c r="E83" s="21"/>
      <c r="F83" s="21"/>
      <c r="G83" s="21"/>
      <c r="H83" s="44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3"/>
      <c r="AA83" s="21"/>
      <c r="AB83" s="21"/>
      <c r="AC83" s="21"/>
      <c r="AD83" s="21"/>
      <c r="AE83" s="21"/>
      <c r="AF83" s="21"/>
      <c r="AG83" s="21"/>
      <c r="AH83" s="26">
        <f>AH82/F82</f>
        <v>226.36430039215637</v>
      </c>
    </row>
    <row r="84" spans="1:34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3"/>
      <c r="AA84" s="21"/>
      <c r="AB84" s="21"/>
      <c r="AC84" s="21"/>
      <c r="AD84" s="21"/>
      <c r="AE84" s="21"/>
      <c r="AF84" s="21"/>
      <c r="AG84" s="21"/>
      <c r="AH84" s="27">
        <f>AH82/AG82</f>
        <v>3.9277046520817802E-2</v>
      </c>
    </row>
    <row r="85" spans="1:34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48"/>
    </row>
    <row r="86" spans="1:34" ht="15" thickBot="1" x14ac:dyDescent="0.4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3"/>
      <c r="AA86" s="21"/>
      <c r="AB86" s="21"/>
      <c r="AC86" s="21"/>
      <c r="AD86" s="21"/>
      <c r="AE86" s="21"/>
      <c r="AF86" s="21"/>
      <c r="AG86" s="21"/>
      <c r="AH86" s="48"/>
    </row>
    <row r="87" spans="1:34" ht="16" thickBot="1" x14ac:dyDescent="0.4">
      <c r="A87" s="377" t="s">
        <v>225</v>
      </c>
      <c r="B87" s="378"/>
      <c r="C87" s="378"/>
      <c r="D87" s="378"/>
      <c r="E87" s="378"/>
      <c r="F87" s="378"/>
      <c r="G87" s="378"/>
      <c r="H87" s="378"/>
      <c r="I87" s="378"/>
      <c r="J87" s="378"/>
      <c r="K87" s="378"/>
      <c r="L87" s="46"/>
      <c r="M87" s="46"/>
      <c r="N87" s="46"/>
      <c r="O87" s="46"/>
      <c r="P87" s="46"/>
      <c r="Q87" s="46"/>
      <c r="R87" s="46"/>
      <c r="S87" s="46"/>
      <c r="T87" s="46"/>
      <c r="U87" s="30"/>
      <c r="V87" s="31">
        <f>V4+V10+V16+V22+V28+V34+V40+V46+V52+V58+V64+V70+V76+V82</f>
        <v>4258546.74</v>
      </c>
      <c r="W87" s="30"/>
      <c r="X87" s="30"/>
      <c r="Y87" s="31">
        <f t="shared" ref="Y87:AG87" si="0">Y4+Y10+Y16+Y22+Y28+Y34+Y40+Y46+Y52+Y58+Y64+Y70+Y76+Y82</f>
        <v>68920</v>
      </c>
      <c r="Z87" s="31">
        <f t="shared" si="0"/>
        <v>107941.8</v>
      </c>
      <c r="AA87" s="31">
        <f t="shared" si="0"/>
        <v>100</v>
      </c>
      <c r="AB87" s="31">
        <f t="shared" si="0"/>
        <v>24405</v>
      </c>
      <c r="AC87" s="31">
        <f t="shared" si="0"/>
        <v>18120</v>
      </c>
      <c r="AD87" s="31">
        <f t="shared" si="0"/>
        <v>3240.18</v>
      </c>
      <c r="AE87" s="31">
        <f t="shared" si="0"/>
        <v>9518.5600000000031</v>
      </c>
      <c r="AF87" s="31">
        <f t="shared" si="0"/>
        <v>4481273.7200000007</v>
      </c>
      <c r="AG87" s="31">
        <f t="shared" si="0"/>
        <v>4881983.4610000011</v>
      </c>
      <c r="AH87" s="32"/>
    </row>
    <row r="90" spans="1:34" x14ac:dyDescent="0.35">
      <c r="Y90" s="83"/>
    </row>
  </sheetData>
  <mergeCells count="2">
    <mergeCell ref="U2:AC2"/>
    <mergeCell ref="A87:K8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1"/>
  <dimension ref="A1:AL34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7" x14ac:dyDescent="0.35">
      <c r="A4" s="20">
        <v>44781</v>
      </c>
      <c r="B4" s="21" t="s">
        <v>202</v>
      </c>
      <c r="C4" s="21" t="s">
        <v>124</v>
      </c>
      <c r="D4" s="44">
        <v>134324</v>
      </c>
      <c r="E4" s="21"/>
      <c r="F4" s="21">
        <v>50</v>
      </c>
      <c r="G4" s="21"/>
      <c r="H4" s="22">
        <v>23780</v>
      </c>
      <c r="I4" s="23">
        <v>0.53</v>
      </c>
      <c r="J4" s="24">
        <f>IFERROR(K4/H4,"")</f>
        <v>0.63071909167367535</v>
      </c>
      <c r="K4" s="22">
        <v>14998.5</v>
      </c>
      <c r="L4" s="22"/>
      <c r="M4" s="22"/>
      <c r="N4" s="22"/>
      <c r="O4" s="22"/>
      <c r="P4" s="22"/>
      <c r="Q4" s="22"/>
      <c r="R4" s="22"/>
      <c r="S4" s="22"/>
      <c r="T4" s="22"/>
      <c r="U4" s="25">
        <v>290</v>
      </c>
      <c r="V4" s="25">
        <f>H4*U4*I4/15</f>
        <v>243665.73333333334</v>
      </c>
      <c r="W4" s="25">
        <v>326.11</v>
      </c>
      <c r="X4" s="25">
        <v>326081.38</v>
      </c>
      <c r="Y4" s="82">
        <f>F4*80</f>
        <v>4000</v>
      </c>
      <c r="Z4" s="25">
        <v>12220.8</v>
      </c>
      <c r="AA4" s="25"/>
      <c r="AB4" s="25">
        <v>1450</v>
      </c>
      <c r="AC4" s="25">
        <f>F4*30</f>
        <v>1500</v>
      </c>
      <c r="AD4" s="25">
        <f>IF(F4="",G4*3.83,F4*3.83)</f>
        <v>191.5</v>
      </c>
      <c r="AE4" s="25">
        <v>652.16</v>
      </c>
      <c r="AF4" s="25">
        <f>V4+Y4+Z4+AA4+AB4+AC4+AD4</f>
        <v>263028.03333333333</v>
      </c>
      <c r="AG4" s="25">
        <f>IFERROR(IFERROR((H4*W4*J4/15)-AE4,""),"")</f>
        <v>325425.22900000005</v>
      </c>
      <c r="AH4" s="26">
        <f>IFERROR(AG4-AF4,"")</f>
        <v>62397.195666666725</v>
      </c>
    </row>
    <row r="5" spans="1:37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IFERROR(AH4/F4,"")</f>
        <v>1247.9439133333344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0.19174049860364917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7" x14ac:dyDescent="0.35">
      <c r="A10" s="20">
        <v>44781</v>
      </c>
      <c r="B10" s="21" t="s">
        <v>162</v>
      </c>
      <c r="C10" s="21" t="s">
        <v>163</v>
      </c>
      <c r="D10" s="44">
        <v>134324</v>
      </c>
      <c r="E10" s="21"/>
      <c r="F10" s="21">
        <v>100</v>
      </c>
      <c r="G10" s="21"/>
      <c r="H10" s="22">
        <v>56710</v>
      </c>
      <c r="I10" s="33">
        <v>0.55000000000000004</v>
      </c>
      <c r="J10" s="24">
        <f>IFERROR(K10/H10,"")</f>
        <v>0.52895432904249695</v>
      </c>
      <c r="K10" s="22">
        <v>29997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290</v>
      </c>
      <c r="V10" s="25">
        <f>H10*U10*I10/15</f>
        <v>603016.33333333337</v>
      </c>
      <c r="W10" s="25">
        <v>326.11</v>
      </c>
      <c r="X10" s="25">
        <v>652162.76</v>
      </c>
      <c r="Y10" s="82">
        <f>F10*80</f>
        <v>8000</v>
      </c>
      <c r="Z10" s="25">
        <v>21864</v>
      </c>
      <c r="AA10" s="25"/>
      <c r="AB10" s="25">
        <v>2900</v>
      </c>
      <c r="AC10" s="25">
        <f>F10*30</f>
        <v>3000</v>
      </c>
      <c r="AD10" s="25">
        <f>IF(F10="",F10*G10,F10*3.83)</f>
        <v>383</v>
      </c>
      <c r="AE10" s="25">
        <v>1304.32</v>
      </c>
      <c r="AF10" s="25">
        <f>V10+Y10+Z10+AA10+AB10+AC10+AD10</f>
        <v>639163.33333333337</v>
      </c>
      <c r="AG10" s="25">
        <f>IFERROR(IFERROR((H10*W10*J10/15)-AE10,""),"")</f>
        <v>650850.45800000022</v>
      </c>
      <c r="AH10" s="26">
        <f>IFERROR(AG10-AF10,"")</f>
        <v>11687.124666666845</v>
      </c>
    </row>
    <row r="11" spans="1:3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IFERROR(AH10/F10,"")</f>
        <v>116.87124666666845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1.795669730736648E-2</v>
      </c>
      <c r="AJ12" s="6"/>
    </row>
    <row r="15" spans="1:37" x14ac:dyDescent="0.35">
      <c r="A15" s="37" t="s">
        <v>1</v>
      </c>
      <c r="B15" s="37" t="s">
        <v>2</v>
      </c>
      <c r="C15" s="37" t="s">
        <v>110</v>
      </c>
      <c r="D15" s="37" t="s">
        <v>66</v>
      </c>
      <c r="E15" s="37" t="s">
        <v>32</v>
      </c>
      <c r="F15" s="37" t="s">
        <v>137</v>
      </c>
      <c r="G15" s="37" t="s">
        <v>138</v>
      </c>
      <c r="H15" s="37" t="s">
        <v>4</v>
      </c>
      <c r="I15" s="37" t="s">
        <v>5</v>
      </c>
      <c r="J15" s="37" t="s">
        <v>6</v>
      </c>
      <c r="K15" s="37" t="s">
        <v>7</v>
      </c>
      <c r="L15" s="37" t="s">
        <v>279</v>
      </c>
      <c r="M15" s="37" t="s">
        <v>280</v>
      </c>
      <c r="N15" s="37" t="s">
        <v>281</v>
      </c>
      <c r="O15" s="37" t="s">
        <v>282</v>
      </c>
      <c r="P15" s="37" t="s">
        <v>283</v>
      </c>
      <c r="Q15" s="37" t="s">
        <v>284</v>
      </c>
      <c r="R15" s="37" t="s">
        <v>904</v>
      </c>
      <c r="S15" s="37" t="s">
        <v>285</v>
      </c>
      <c r="T15" s="37" t="s">
        <v>289</v>
      </c>
      <c r="U15" s="37" t="s">
        <v>8</v>
      </c>
      <c r="V15" s="37" t="s">
        <v>9</v>
      </c>
      <c r="W15" s="37" t="s">
        <v>10</v>
      </c>
      <c r="X15" s="37" t="s">
        <v>100</v>
      </c>
      <c r="Y15" s="37" t="s">
        <v>106</v>
      </c>
      <c r="Z15" s="37" t="s">
        <v>12</v>
      </c>
      <c r="AA15" s="37" t="s">
        <v>11</v>
      </c>
      <c r="AB15" s="37" t="s">
        <v>13</v>
      </c>
      <c r="AC15" s="37" t="s">
        <v>74</v>
      </c>
      <c r="AD15" s="37" t="s">
        <v>21</v>
      </c>
      <c r="AE15" s="37" t="s">
        <v>14</v>
      </c>
      <c r="AF15" s="37" t="s">
        <v>15</v>
      </c>
      <c r="AG15" s="37" t="s">
        <v>16</v>
      </c>
      <c r="AH15" s="15" t="s">
        <v>17</v>
      </c>
    </row>
    <row r="16" spans="1:37" x14ac:dyDescent="0.35">
      <c r="A16" s="38">
        <v>44782</v>
      </c>
      <c r="B16" s="39" t="s">
        <v>236</v>
      </c>
      <c r="C16" s="39" t="s">
        <v>237</v>
      </c>
      <c r="D16" s="45">
        <v>134327</v>
      </c>
      <c r="E16" s="39"/>
      <c r="F16" s="39">
        <v>200</v>
      </c>
      <c r="G16" s="39"/>
      <c r="H16" s="40">
        <v>104220</v>
      </c>
      <c r="I16" s="53">
        <v>0.55000000000000004</v>
      </c>
      <c r="J16" s="42">
        <f>IFERROR(K16/H16,"")</f>
        <v>0.57026002686624444</v>
      </c>
      <c r="K16" s="40">
        <v>59432.5</v>
      </c>
      <c r="L16" s="40"/>
      <c r="M16" s="40"/>
      <c r="N16" s="40"/>
      <c r="O16" s="40"/>
      <c r="P16" s="40"/>
      <c r="Q16" s="40"/>
      <c r="R16" s="40"/>
      <c r="S16" s="40"/>
      <c r="T16" s="40"/>
      <c r="U16" s="43">
        <v>295</v>
      </c>
      <c r="V16" s="43">
        <f>H16*U16*I16/15</f>
        <v>1127313</v>
      </c>
      <c r="W16" s="43">
        <v>326.69</v>
      </c>
      <c r="X16" s="43">
        <v>1294400.8600000001</v>
      </c>
      <c r="Y16" s="43">
        <f>F16*80</f>
        <v>16000</v>
      </c>
      <c r="Z16" s="43">
        <v>45827.8</v>
      </c>
      <c r="AA16" s="43"/>
      <c r="AB16" s="43">
        <v>5900</v>
      </c>
      <c r="AC16" s="43">
        <f>F16*30</f>
        <v>6000</v>
      </c>
      <c r="AD16" s="43">
        <f>F16*3.83</f>
        <v>766</v>
      </c>
      <c r="AE16" s="43">
        <v>2588.8000000000002</v>
      </c>
      <c r="AF16" s="43">
        <f>V16+Y16+Z16+AA16+AB16+AC16+AD16</f>
        <v>1201806.8</v>
      </c>
      <c r="AG16" s="43">
        <f>IFERROR(IFERROR((H16*W16*J16/15)-AE16,""),"")</f>
        <v>1291811.428333333</v>
      </c>
      <c r="AH16" s="26">
        <f>IFERROR(AG16-AF16,"")</f>
        <v>90004.628333332948</v>
      </c>
      <c r="AJ16" s="6"/>
      <c r="AK16" s="6"/>
    </row>
    <row r="17" spans="1:38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IFERROR(AH16/F16,"")</f>
        <v>450.02314166666474</v>
      </c>
      <c r="AK17" s="63"/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6.9673194058559276E-2</v>
      </c>
      <c r="AK18" s="63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11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K21" s="63"/>
    </row>
    <row r="22" spans="1:38" x14ac:dyDescent="0.35">
      <c r="A22" s="20">
        <v>44783</v>
      </c>
      <c r="B22" s="21" t="s">
        <v>236</v>
      </c>
      <c r="C22" s="21" t="s">
        <v>237</v>
      </c>
      <c r="D22" s="44">
        <v>134329</v>
      </c>
      <c r="E22" s="21"/>
      <c r="F22" s="21">
        <v>250</v>
      </c>
      <c r="G22" s="21"/>
      <c r="H22" s="22">
        <v>127680</v>
      </c>
      <c r="I22" s="33">
        <v>0.55000000000000004</v>
      </c>
      <c r="J22" s="24">
        <f>IFERROR(K22/H22,"")</f>
        <v>0.56156798245614037</v>
      </c>
      <c r="K22" s="22">
        <v>71701</v>
      </c>
      <c r="L22" s="22"/>
      <c r="M22" s="22"/>
      <c r="N22" s="22"/>
      <c r="O22" s="22"/>
      <c r="P22" s="22"/>
      <c r="Q22" s="22"/>
      <c r="R22" s="22"/>
      <c r="S22" s="22"/>
      <c r="T22" s="22"/>
      <c r="U22" s="25">
        <v>295</v>
      </c>
      <c r="V22" s="25">
        <f>H22*U22*I22/15</f>
        <v>1381072</v>
      </c>
      <c r="W22" s="25">
        <v>324.22000000000003</v>
      </c>
      <c r="X22" s="25">
        <v>1549767.83</v>
      </c>
      <c r="Y22" s="25">
        <f>F22*80</f>
        <v>20000</v>
      </c>
      <c r="Z22" s="25">
        <v>58784.4</v>
      </c>
      <c r="AA22" s="25"/>
      <c r="AB22" s="25">
        <v>7375</v>
      </c>
      <c r="AC22" s="25">
        <f>F22*30</f>
        <v>7500</v>
      </c>
      <c r="AD22" s="25">
        <f>IF(F22="",G22*3.83,F22*3.83)</f>
        <v>957.5</v>
      </c>
      <c r="AE22" s="25">
        <v>3099.54</v>
      </c>
      <c r="AF22" s="25">
        <f>V22+Y22+Z22+AA22+AB22+AC22+AD22</f>
        <v>1475688.9</v>
      </c>
      <c r="AG22" s="25">
        <f>IFERROR(IFERROR((H22*W22*J22/15)-AE22,""),"")</f>
        <v>1546693.6746666669</v>
      </c>
      <c r="AH22" s="26">
        <f>IFERROR(AG22-AF22,"")</f>
        <v>71004.774666666985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284.01909866666796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4.5907457843563926E-2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8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8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 t="s">
        <v>32</v>
      </c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11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8" x14ac:dyDescent="0.35">
      <c r="A28" s="20">
        <v>44785</v>
      </c>
      <c r="B28" s="21" t="s">
        <v>236</v>
      </c>
      <c r="C28" s="21" t="s">
        <v>237</v>
      </c>
      <c r="D28" s="44">
        <v>134621</v>
      </c>
      <c r="E28" s="21"/>
      <c r="F28" s="21">
        <v>150</v>
      </c>
      <c r="G28" s="21"/>
      <c r="H28" s="22">
        <v>78880</v>
      </c>
      <c r="I28" s="33">
        <v>0.55000000000000004</v>
      </c>
      <c r="J28" s="24">
        <f>IFERROR(K28/H28,"")</f>
        <v>0.56182809330628802</v>
      </c>
      <c r="K28" s="22">
        <v>44317</v>
      </c>
      <c r="L28" s="22"/>
      <c r="M28" s="22"/>
      <c r="N28" s="22"/>
      <c r="O28" s="22"/>
      <c r="P28" s="22"/>
      <c r="Q28" s="22"/>
      <c r="R28" s="22"/>
      <c r="S28" s="22"/>
      <c r="T28" s="22"/>
      <c r="U28" s="25">
        <v>295</v>
      </c>
      <c r="V28" s="25">
        <f>H28*U28*I28/15</f>
        <v>853218.66666666674</v>
      </c>
      <c r="W28" s="25">
        <v>323.14999999999998</v>
      </c>
      <c r="X28" s="25">
        <v>954720.26</v>
      </c>
      <c r="Y28" s="25">
        <v>0</v>
      </c>
      <c r="Z28" s="25">
        <v>35072.400000000001</v>
      </c>
      <c r="AA28" s="25"/>
      <c r="AB28" s="25">
        <v>4425</v>
      </c>
      <c r="AC28" s="25">
        <f>F28*30</f>
        <v>4500</v>
      </c>
      <c r="AD28" s="25">
        <f>IF(F28="",G28*3.83,F28*3.83)</f>
        <v>574.5</v>
      </c>
      <c r="AE28" s="25">
        <v>1909.44</v>
      </c>
      <c r="AF28" s="25">
        <f>V28+Y28+Z28+AA28+AB28+AC28+AD28</f>
        <v>897790.56666666677</v>
      </c>
      <c r="AG28" s="25">
        <f>IFERROR(IFERROR((H28*W28*J28/15)-AE28,""),"")</f>
        <v>952826.46333333326</v>
      </c>
      <c r="AH28" s="26">
        <f>IFERROR(AG28-AF28,"")</f>
        <v>55035.896666666493</v>
      </c>
      <c r="AJ28">
        <f>F4+G4+F10+G10+F16+G16+F22+G22+F28+G28</f>
        <v>750</v>
      </c>
      <c r="AK28" s="50" t="s">
        <v>22</v>
      </c>
      <c r="AL28" t="s">
        <v>72</v>
      </c>
    </row>
    <row r="29" spans="1:38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366.90597777777663</v>
      </c>
      <c r="AJ29" s="11">
        <f>AH4+AH10+AH16+AH22+AH28</f>
        <v>290129.62</v>
      </c>
      <c r="AK29" s="11">
        <f>AJ29*30%</f>
        <v>87038.885999999999</v>
      </c>
    </row>
    <row r="30" spans="1:38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5.7760671837483318E-2</v>
      </c>
      <c r="AJ30" s="11"/>
      <c r="AK30" s="11"/>
    </row>
    <row r="31" spans="1:38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8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4" ht="15" thickBot="1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3"/>
      <c r="AA33" s="21"/>
      <c r="AB33" s="21"/>
      <c r="AC33" s="21"/>
      <c r="AD33" s="21"/>
      <c r="AE33" s="21"/>
      <c r="AF33" s="21"/>
      <c r="AG33" s="21"/>
      <c r="AH33" s="48"/>
    </row>
    <row r="34" spans="1:34" ht="16" thickBot="1" x14ac:dyDescent="0.4">
      <c r="A34" s="377" t="s">
        <v>235</v>
      </c>
      <c r="B34" s="378"/>
      <c r="C34" s="378"/>
      <c r="D34" s="378"/>
      <c r="E34" s="378"/>
      <c r="F34" s="378"/>
      <c r="G34" s="378"/>
      <c r="H34" s="378"/>
      <c r="I34" s="378"/>
      <c r="J34" s="378"/>
      <c r="K34" s="378"/>
      <c r="L34" s="46"/>
      <c r="M34" s="46"/>
      <c r="N34" s="46"/>
      <c r="O34" s="46"/>
      <c r="P34" s="46"/>
      <c r="Q34" s="46"/>
      <c r="R34" s="46"/>
      <c r="S34" s="46"/>
      <c r="T34" s="46"/>
      <c r="U34" s="30"/>
      <c r="V34" s="31">
        <f>V4+V10+V16+V22+V28</f>
        <v>4208285.7333333334</v>
      </c>
      <c r="W34" s="30"/>
      <c r="X34" s="30"/>
      <c r="Y34" s="31">
        <f t="shared" ref="Y34:AG34" si="0">Y4+Y10+Y16+Y22+Y28</f>
        <v>48000</v>
      </c>
      <c r="Z34" s="31">
        <f t="shared" si="0"/>
        <v>173769.4</v>
      </c>
      <c r="AA34" s="31">
        <f t="shared" si="0"/>
        <v>0</v>
      </c>
      <c r="AB34" s="31">
        <f t="shared" si="0"/>
        <v>22050</v>
      </c>
      <c r="AC34" s="31">
        <f t="shared" si="0"/>
        <v>22500</v>
      </c>
      <c r="AD34" s="31">
        <f t="shared" si="0"/>
        <v>2872.5</v>
      </c>
      <c r="AE34" s="31">
        <f t="shared" si="0"/>
        <v>9554.26</v>
      </c>
      <c r="AF34" s="31">
        <f t="shared" si="0"/>
        <v>4477477.6333333338</v>
      </c>
      <c r="AG34" s="31">
        <f t="shared" si="0"/>
        <v>4767607.2533333329</v>
      </c>
      <c r="AH34" s="32"/>
    </row>
  </sheetData>
  <mergeCells count="2">
    <mergeCell ref="U2:AC2"/>
    <mergeCell ref="A34:K3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2"/>
  <dimension ref="A1:BG59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7" x14ac:dyDescent="0.35">
      <c r="A4" s="20">
        <v>44788</v>
      </c>
      <c r="B4" s="21" t="s">
        <v>239</v>
      </c>
      <c r="C4" s="21" t="s">
        <v>141</v>
      </c>
      <c r="D4" s="44">
        <v>134622</v>
      </c>
      <c r="E4" s="21"/>
      <c r="F4" s="21"/>
      <c r="G4" s="21">
        <v>131</v>
      </c>
      <c r="H4" s="22">
        <v>49355.81</v>
      </c>
      <c r="I4" s="23">
        <v>0.5</v>
      </c>
      <c r="J4" s="24">
        <f>IFERROR(K4/H4,"")</f>
        <v>0.51320199182223936</v>
      </c>
      <c r="K4" s="22">
        <v>25329.5</v>
      </c>
      <c r="L4" s="22"/>
      <c r="M4" s="22"/>
      <c r="N4" s="22"/>
      <c r="O4" s="22"/>
      <c r="P4" s="22"/>
      <c r="Q4" s="22"/>
      <c r="R4" s="22"/>
      <c r="S4" s="22"/>
      <c r="T4" s="22"/>
      <c r="U4" s="25">
        <v>270</v>
      </c>
      <c r="V4" s="25">
        <f>H4*U4*I4/15</f>
        <v>444202.29</v>
      </c>
      <c r="W4" s="25">
        <v>317.04000000000002</v>
      </c>
      <c r="X4" s="25">
        <v>535357.31000000006</v>
      </c>
      <c r="Y4" s="82">
        <f>G4*60</f>
        <v>7860</v>
      </c>
      <c r="Z4" s="25">
        <v>16576</v>
      </c>
      <c r="AA4" s="25">
        <v>500</v>
      </c>
      <c r="AB4" s="25">
        <v>3510</v>
      </c>
      <c r="AC4" s="25">
        <f>G4*30</f>
        <v>3930</v>
      </c>
      <c r="AD4" s="25">
        <f>IF(F4="",G4*3.83,F4*3.83)</f>
        <v>501.73</v>
      </c>
      <c r="AE4" s="25">
        <v>1070.72</v>
      </c>
      <c r="AF4" s="25">
        <f>V4+Y4+Z4+AA4+AB4+AC4+AD4</f>
        <v>477080.01999999996</v>
      </c>
      <c r="AG4" s="25">
        <f>IFERROR(IFERROR((H4*W4*J4/15)-AE4,""),"")</f>
        <v>534293.59200000006</v>
      </c>
      <c r="AH4" s="26">
        <f>IFERROR(AG4-AF4,"")</f>
        <v>57213.572000000102</v>
      </c>
    </row>
    <row r="5" spans="1:37" x14ac:dyDescent="0.35">
      <c r="A5" s="21"/>
      <c r="B5" s="21"/>
      <c r="C5" s="21"/>
      <c r="D5" s="21"/>
      <c r="E5" s="21"/>
      <c r="F5" s="21"/>
      <c r="G5" s="21">
        <v>130</v>
      </c>
      <c r="H5" s="21">
        <v>48900</v>
      </c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IFERROR(AH4/G4,"")</f>
        <v>436.74482442748172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0.10708264680067527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37" t="s">
        <v>1</v>
      </c>
      <c r="B9" s="37" t="s">
        <v>2</v>
      </c>
      <c r="C9" s="37" t="s">
        <v>110</v>
      </c>
      <c r="D9" s="37" t="s">
        <v>66</v>
      </c>
      <c r="E9" s="37" t="s">
        <v>32</v>
      </c>
      <c r="F9" s="37" t="s">
        <v>137</v>
      </c>
      <c r="G9" s="37" t="s">
        <v>138</v>
      </c>
      <c r="H9" s="37" t="s">
        <v>4</v>
      </c>
      <c r="I9" s="37" t="s">
        <v>5</v>
      </c>
      <c r="J9" s="37" t="s">
        <v>6</v>
      </c>
      <c r="K9" s="37" t="s">
        <v>7</v>
      </c>
      <c r="L9" s="37" t="s">
        <v>279</v>
      </c>
      <c r="M9" s="37" t="s">
        <v>280</v>
      </c>
      <c r="N9" s="37" t="s">
        <v>281</v>
      </c>
      <c r="O9" s="37" t="s">
        <v>282</v>
      </c>
      <c r="P9" s="37" t="s">
        <v>283</v>
      </c>
      <c r="Q9" s="37" t="s">
        <v>284</v>
      </c>
      <c r="R9" s="37" t="s">
        <v>904</v>
      </c>
      <c r="S9" s="37" t="s">
        <v>285</v>
      </c>
      <c r="T9" s="37" t="s">
        <v>289</v>
      </c>
      <c r="U9" s="37" t="s">
        <v>8</v>
      </c>
      <c r="V9" s="37" t="s">
        <v>9</v>
      </c>
      <c r="W9" s="37" t="s">
        <v>10</v>
      </c>
      <c r="X9" s="37" t="s">
        <v>100</v>
      </c>
      <c r="Y9" s="37" t="s">
        <v>106</v>
      </c>
      <c r="Z9" s="37" t="s">
        <v>12</v>
      </c>
      <c r="AA9" s="37" t="s">
        <v>92</v>
      </c>
      <c r="AB9" s="37" t="s">
        <v>13</v>
      </c>
      <c r="AC9" s="37" t="s">
        <v>74</v>
      </c>
      <c r="AD9" s="37" t="s">
        <v>21</v>
      </c>
      <c r="AE9" s="37" t="s">
        <v>14</v>
      </c>
      <c r="AF9" s="37" t="s">
        <v>15</v>
      </c>
      <c r="AG9" s="37" t="s">
        <v>16</v>
      </c>
      <c r="AH9" s="15" t="s">
        <v>17</v>
      </c>
    </row>
    <row r="10" spans="1:37" x14ac:dyDescent="0.35">
      <c r="A10" s="38">
        <v>44789</v>
      </c>
      <c r="B10" s="39" t="s">
        <v>76</v>
      </c>
      <c r="C10" s="39" t="s">
        <v>152</v>
      </c>
      <c r="D10" s="45">
        <v>134623</v>
      </c>
      <c r="E10" s="39"/>
      <c r="F10" s="39"/>
      <c r="G10" s="39">
        <v>195</v>
      </c>
      <c r="H10" s="40">
        <v>80793</v>
      </c>
      <c r="I10" s="53">
        <v>0.5</v>
      </c>
      <c r="J10" s="42">
        <f>IFERROR(K10/H10,"")</f>
        <v>0.51872686990209549</v>
      </c>
      <c r="K10" s="40">
        <v>41909.5</v>
      </c>
      <c r="L10" s="40"/>
      <c r="M10" s="40"/>
      <c r="N10" s="40"/>
      <c r="O10" s="40"/>
      <c r="P10" s="40"/>
      <c r="Q10" s="40"/>
      <c r="R10" s="40"/>
      <c r="S10" s="40"/>
      <c r="T10" s="40"/>
      <c r="U10" s="43">
        <v>270</v>
      </c>
      <c r="V10" s="43">
        <f>H10*U10*I10/15</f>
        <v>727137</v>
      </c>
      <c r="W10" s="43">
        <v>325.5</v>
      </c>
      <c r="X10" s="43">
        <v>909439.65</v>
      </c>
      <c r="Y10" s="84">
        <f>G10*60</f>
        <v>11700</v>
      </c>
      <c r="Z10" s="43">
        <v>8336</v>
      </c>
      <c r="AA10" s="43"/>
      <c r="AB10" s="43">
        <v>5265</v>
      </c>
      <c r="AC10" s="43">
        <f>G10*30</f>
        <v>5850</v>
      </c>
      <c r="AD10" s="43">
        <f>IF(F10="",G10*3.83,G10*3.83)</f>
        <v>746.85</v>
      </c>
      <c r="AE10" s="43">
        <v>1818.88</v>
      </c>
      <c r="AF10" s="43">
        <f>V10+Y10+Z10+AA10+AB10+AC10+AD10</f>
        <v>759034.85</v>
      </c>
      <c r="AG10" s="43">
        <f>IFERROR(IFERROR((H10*W10*J10/15)-AE10,""),"")</f>
        <v>907617.27</v>
      </c>
      <c r="AH10" s="26">
        <f>IFERROR(AG10-AF10,"")</f>
        <v>148582.42000000004</v>
      </c>
    </row>
    <row r="11" spans="1:3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IFERROR(AH10/G10,"")</f>
        <v>761.96112820512838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0.16370602996569253</v>
      </c>
      <c r="AJ12" s="6"/>
    </row>
    <row r="15" spans="1:37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7" x14ac:dyDescent="0.35">
      <c r="A16" s="20">
        <v>44790</v>
      </c>
      <c r="B16" s="21" t="s">
        <v>27</v>
      </c>
      <c r="C16" s="21" t="s">
        <v>240</v>
      </c>
      <c r="D16" s="44">
        <v>134707</v>
      </c>
      <c r="E16" s="21"/>
      <c r="F16" s="21"/>
      <c r="G16" s="21">
        <v>125</v>
      </c>
      <c r="H16" s="22">
        <v>50810</v>
      </c>
      <c r="I16" s="33">
        <v>0.5</v>
      </c>
      <c r="J16" s="24">
        <f>IFERROR(K16/H16,"")</f>
        <v>0.52498523912615624</v>
      </c>
      <c r="K16" s="22">
        <v>26674.5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270</v>
      </c>
      <c r="V16" s="25">
        <f>H16*U16*I16/15</f>
        <v>457290</v>
      </c>
      <c r="W16" s="25">
        <v>325.62</v>
      </c>
      <c r="X16" s="25">
        <v>579042.22</v>
      </c>
      <c r="Y16" s="25">
        <f>G16*60</f>
        <v>7500</v>
      </c>
      <c r="Z16" s="25">
        <v>14128</v>
      </c>
      <c r="AA16" s="25"/>
      <c r="AB16" s="25">
        <v>3375</v>
      </c>
      <c r="AC16" s="25">
        <f>G16*30</f>
        <v>3750</v>
      </c>
      <c r="AD16" s="25">
        <f>G16*3.83</f>
        <v>478.75</v>
      </c>
      <c r="AE16" s="25">
        <v>1158.0899999999999</v>
      </c>
      <c r="AF16" s="25">
        <f>V16+Y16+Z16+AA16+AB16+AC16+AD16</f>
        <v>486521.75</v>
      </c>
      <c r="AG16" s="25">
        <f>IFERROR(IFERROR((H16*W16*J16/15)-AE16,""),"")</f>
        <v>577891.95600000001</v>
      </c>
      <c r="AH16" s="26">
        <f>IFERROR(AG16-AF16,"")</f>
        <v>91370.206000000006</v>
      </c>
      <c r="AJ16" s="6"/>
      <c r="AK16" s="6"/>
    </row>
    <row r="17" spans="1:38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IFERROR(AH16/G16,"")</f>
        <v>730.96164800000008</v>
      </c>
      <c r="AK17" s="63"/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0.15810949616332781</v>
      </c>
      <c r="AK18" s="63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11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K21" s="63"/>
    </row>
    <row r="22" spans="1:38" x14ac:dyDescent="0.35">
      <c r="A22" s="20">
        <v>44790</v>
      </c>
      <c r="B22" s="21" t="s">
        <v>76</v>
      </c>
      <c r="C22" s="21" t="s">
        <v>152</v>
      </c>
      <c r="D22" s="44">
        <v>134624</v>
      </c>
      <c r="E22" s="21"/>
      <c r="F22" s="21">
        <v>100</v>
      </c>
      <c r="G22" s="21"/>
      <c r="H22" s="22">
        <v>52276</v>
      </c>
      <c r="I22" s="33">
        <v>0.53</v>
      </c>
      <c r="J22" s="24">
        <f>IFERROR(K22/H22,"")</f>
        <v>0.53258665544418093</v>
      </c>
      <c r="K22" s="22">
        <v>27841.5</v>
      </c>
      <c r="L22" s="22"/>
      <c r="M22" s="22"/>
      <c r="N22" s="22"/>
      <c r="O22" s="22"/>
      <c r="P22" s="22"/>
      <c r="Q22" s="22"/>
      <c r="R22" s="22"/>
      <c r="S22" s="22"/>
      <c r="T22" s="22"/>
      <c r="U22" s="25">
        <v>280</v>
      </c>
      <c r="V22" s="25">
        <f>H22*U22*I22/15</f>
        <v>517183.89333333337</v>
      </c>
      <c r="W22" s="25">
        <v>327.56</v>
      </c>
      <c r="X22" s="25">
        <v>607984.12</v>
      </c>
      <c r="Y22" s="25">
        <f>F22*120</f>
        <v>12000</v>
      </c>
      <c r="Z22" s="25">
        <v>11060</v>
      </c>
      <c r="AA22" s="25">
        <v>2150</v>
      </c>
      <c r="AB22" s="25">
        <v>2800</v>
      </c>
      <c r="AC22" s="25">
        <f>F22*30</f>
        <v>3000</v>
      </c>
      <c r="AD22" s="25">
        <f>IF(F22="",G22*3.83,F22*3.83)</f>
        <v>383</v>
      </c>
      <c r="AE22" s="25">
        <v>1215.97</v>
      </c>
      <c r="AF22" s="25">
        <f>V22+Y22+Z22+AA22+AB22+AC22+AD22</f>
        <v>548576.89333333331</v>
      </c>
      <c r="AG22" s="25">
        <f>IFERROR(IFERROR((H22*W22*J22/15)-AE22,""),"")</f>
        <v>606768.14600000007</v>
      </c>
      <c r="AH22" s="26">
        <f>IFERROR(AG22-AF22,"")</f>
        <v>58191.252666666755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581.91252666666753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9.5903605108938514E-2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8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8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 t="s">
        <v>32</v>
      </c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11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8" x14ac:dyDescent="0.35">
      <c r="A28" s="20">
        <v>44791</v>
      </c>
      <c r="B28" s="21" t="s">
        <v>27</v>
      </c>
      <c r="C28" s="21" t="s">
        <v>240</v>
      </c>
      <c r="D28" s="44">
        <v>134708</v>
      </c>
      <c r="E28" s="21"/>
      <c r="F28" s="21"/>
      <c r="G28" s="21">
        <v>125</v>
      </c>
      <c r="H28" s="22">
        <v>50100</v>
      </c>
      <c r="I28" s="33">
        <v>0.5</v>
      </c>
      <c r="J28" s="24">
        <f>IFERROR(K28/H28,"")</f>
        <v>0.52238522954091815</v>
      </c>
      <c r="K28" s="22">
        <v>26171.5</v>
      </c>
      <c r="L28" s="22"/>
      <c r="M28" s="22"/>
      <c r="N28" s="22"/>
      <c r="O28" s="22"/>
      <c r="P28" s="22"/>
      <c r="Q28" s="22"/>
      <c r="R28" s="22"/>
      <c r="S28" s="22"/>
      <c r="T28" s="22"/>
      <c r="U28" s="25">
        <v>270</v>
      </c>
      <c r="V28" s="25">
        <f>H28*U28*I28/15</f>
        <v>450900</v>
      </c>
      <c r="W28" s="25">
        <v>324.22000000000003</v>
      </c>
      <c r="X28" s="25">
        <v>565694.24</v>
      </c>
      <c r="Y28" s="25">
        <v>0</v>
      </c>
      <c r="Z28" s="25">
        <v>14128</v>
      </c>
      <c r="AA28" s="25"/>
      <c r="AB28" s="25">
        <v>3375</v>
      </c>
      <c r="AC28" s="25">
        <f>G28*30</f>
        <v>3750</v>
      </c>
      <c r="AD28" s="25">
        <f>IF(F28="",G28*3.83,F28*3.83)</f>
        <v>478.75</v>
      </c>
      <c r="AE28" s="25">
        <v>1131.4000000000001</v>
      </c>
      <c r="AF28" s="25">
        <f>V28+Y28+Z28+AA28+AB28+AC28+AD28</f>
        <v>472631.75</v>
      </c>
      <c r="AG28" s="25">
        <f>IFERROR(IFERROR((H28*W28*J28/15)-AE28,""),"")</f>
        <v>564556.84866666666</v>
      </c>
      <c r="AH28" s="26">
        <f>IFERROR(AG28-AF28,"")</f>
        <v>91925.098666666658</v>
      </c>
      <c r="AJ28">
        <f>F4+G4+F10+G10+F16+G16+F22+G22+F28+G28+F34+G34+F40+G40+F46+G46+F52+G52</f>
        <v>938</v>
      </c>
      <c r="AK28" s="50" t="s">
        <v>22</v>
      </c>
      <c r="AL28" t="s">
        <v>72</v>
      </c>
    </row>
    <row r="29" spans="1:38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AH28/G28</f>
        <v>735.40078933333325</v>
      </c>
      <c r="AJ29" s="11">
        <f>AH4+AH10+AH16+AH22+AH28+AH34+AH40+AH46+AH52</f>
        <v>671812.53400000033</v>
      </c>
      <c r="AK29" s="11">
        <f>AJ29*30%</f>
        <v>201543.76020000011</v>
      </c>
    </row>
    <row r="30" spans="1:38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0.16282700118468021</v>
      </c>
      <c r="AJ30" s="11"/>
      <c r="AK30" s="11"/>
    </row>
    <row r="31" spans="1:38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8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7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32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11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37" x14ac:dyDescent="0.35">
      <c r="A34" s="20">
        <v>44792</v>
      </c>
      <c r="B34" s="21" t="s">
        <v>241</v>
      </c>
      <c r="C34" s="21" t="s">
        <v>242</v>
      </c>
      <c r="D34" s="44">
        <v>135193</v>
      </c>
      <c r="E34" s="21"/>
      <c r="F34" s="21">
        <v>97</v>
      </c>
      <c r="G34" s="21"/>
      <c r="H34" s="22">
        <v>63400</v>
      </c>
      <c r="I34" s="33">
        <v>0.55000000000000004</v>
      </c>
      <c r="J34" s="24">
        <f>IFERROR(K34/H34,"")</f>
        <v>0.56793375394321766</v>
      </c>
      <c r="K34" s="22">
        <v>36007</v>
      </c>
      <c r="L34" s="22"/>
      <c r="M34" s="22"/>
      <c r="N34" s="22"/>
      <c r="O34" s="22"/>
      <c r="P34" s="22"/>
      <c r="Q34" s="22"/>
      <c r="R34" s="22"/>
      <c r="S34" s="22"/>
      <c r="T34" s="22"/>
      <c r="U34" s="25">
        <v>280</v>
      </c>
      <c r="V34" s="25">
        <f>H34*U34*I34/15</f>
        <v>650906.66666666663</v>
      </c>
      <c r="W34" s="25">
        <v>323.51</v>
      </c>
      <c r="X34" s="25">
        <v>776578.39</v>
      </c>
      <c r="Y34" s="25">
        <f>G34*100</f>
        <v>0</v>
      </c>
      <c r="Z34" s="25">
        <v>18974</v>
      </c>
      <c r="AA34" s="25"/>
      <c r="AB34" s="25">
        <v>2716</v>
      </c>
      <c r="AC34" s="25">
        <f>F34*30</f>
        <v>2910</v>
      </c>
      <c r="AD34" s="25">
        <f>IF(F34="",G34*3.83,F34*3.83)</f>
        <v>371.51</v>
      </c>
      <c r="AE34" s="25">
        <v>1553.15</v>
      </c>
      <c r="AF34" s="25">
        <f>V34+Y34+Z34+AA34+AB34+AC34+AD34</f>
        <v>675878.17666666664</v>
      </c>
      <c r="AG34" s="25">
        <f>IFERROR(IFERROR((H34*W34*J34/15)-AE34,""),"")</f>
        <v>775021.82133333338</v>
      </c>
      <c r="AH34" s="26">
        <f>IFERROR(AG34-AF34,"")</f>
        <v>99143.644666666747</v>
      </c>
    </row>
    <row r="35" spans="1:37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1022.0994295532654</v>
      </c>
    </row>
    <row r="36" spans="1:37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0.12792368155015538</v>
      </c>
    </row>
    <row r="37" spans="1:37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7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37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 t="s">
        <v>32</v>
      </c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11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</row>
    <row r="40" spans="1:37" x14ac:dyDescent="0.35">
      <c r="A40" s="20">
        <v>44792</v>
      </c>
      <c r="B40" s="21" t="s">
        <v>243</v>
      </c>
      <c r="C40" s="21" t="s">
        <v>244</v>
      </c>
      <c r="D40" s="44">
        <v>135023</v>
      </c>
      <c r="E40" s="21"/>
      <c r="F40" s="21">
        <v>50</v>
      </c>
      <c r="G40" s="21"/>
      <c r="H40" s="22">
        <v>27040</v>
      </c>
      <c r="I40" s="33">
        <v>0.54</v>
      </c>
      <c r="J40" s="24">
        <f>IFERROR(K40/H40,"")</f>
        <v>0.56242603550295855</v>
      </c>
      <c r="K40" s="22">
        <v>15208</v>
      </c>
      <c r="L40" s="22"/>
      <c r="M40" s="22"/>
      <c r="N40" s="22"/>
      <c r="O40" s="22"/>
      <c r="P40" s="22"/>
      <c r="Q40" s="22"/>
      <c r="R40" s="22"/>
      <c r="S40" s="22"/>
      <c r="T40" s="22"/>
      <c r="U40" s="25">
        <v>280</v>
      </c>
      <c r="V40" s="25">
        <f>H40*U40*I40/15</f>
        <v>272563.20000000001</v>
      </c>
      <c r="W40" s="25">
        <v>327.55</v>
      </c>
      <c r="X40" s="25">
        <v>332089.36</v>
      </c>
      <c r="Y40" s="25">
        <v>0</v>
      </c>
      <c r="Z40" s="25">
        <v>11170</v>
      </c>
      <c r="AA40" s="25"/>
      <c r="AB40" s="25">
        <v>1400</v>
      </c>
      <c r="AC40" s="25">
        <f>F40*30</f>
        <v>1500</v>
      </c>
      <c r="AD40" s="25">
        <f>IF(F40="",G40*3.83,F40*3.83)</f>
        <v>191.5</v>
      </c>
      <c r="AE40" s="25">
        <v>664.18</v>
      </c>
      <c r="AF40" s="25">
        <f>V40+Y40+Z40+AA40+AB40+AC40+AD40</f>
        <v>286824.7</v>
      </c>
      <c r="AG40" s="25">
        <f>IFERROR(IFERROR((H40*W40*J40/15)-AE40,""),"")</f>
        <v>331427.84666666662</v>
      </c>
      <c r="AH40" s="26">
        <f>IFERROR(AG40-AF40,"")</f>
        <v>44603.146666666609</v>
      </c>
    </row>
    <row r="41" spans="1:37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892.06293333333224</v>
      </c>
      <c r="AJ41" s="11"/>
      <c r="AK41" s="11"/>
    </row>
    <row r="42" spans="1:37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0.13457875406445916</v>
      </c>
      <c r="AJ42" s="11"/>
      <c r="AK42" s="11"/>
    </row>
    <row r="43" spans="1:37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</row>
    <row r="44" spans="1:37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</row>
    <row r="45" spans="1:37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 t="s">
        <v>32</v>
      </c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11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</row>
    <row r="46" spans="1:37" x14ac:dyDescent="0.35">
      <c r="A46" s="20">
        <v>44794</v>
      </c>
      <c r="B46" s="21" t="s">
        <v>26</v>
      </c>
      <c r="C46" s="21" t="s">
        <v>141</v>
      </c>
      <c r="D46" s="44">
        <v>135024</v>
      </c>
      <c r="E46" s="21"/>
      <c r="F46" s="21"/>
      <c r="G46" s="21">
        <v>65</v>
      </c>
      <c r="H46" s="22">
        <v>23710</v>
      </c>
      <c r="I46" s="33">
        <v>0.5</v>
      </c>
      <c r="J46" s="24">
        <f>IFERROR(K46/H46,"")</f>
        <v>0.51697595951075492</v>
      </c>
      <c r="K46" s="22">
        <v>12257.5</v>
      </c>
      <c r="L46" s="22"/>
      <c r="M46" s="22"/>
      <c r="N46" s="22"/>
      <c r="O46" s="22"/>
      <c r="P46" s="22"/>
      <c r="Q46" s="22"/>
      <c r="R46" s="22"/>
      <c r="S46" s="22"/>
      <c r="T46" s="22"/>
      <c r="U46" s="25">
        <v>270</v>
      </c>
      <c r="V46" s="25">
        <f>H46*U46*I46/15</f>
        <v>213390</v>
      </c>
      <c r="W46" s="25">
        <v>322.76</v>
      </c>
      <c r="X46" s="25">
        <v>263747.09999999998</v>
      </c>
      <c r="Y46" s="25">
        <v>0</v>
      </c>
      <c r="Z46" s="25">
        <v>9026.52</v>
      </c>
      <c r="AA46" s="25"/>
      <c r="AB46" s="25">
        <v>1755</v>
      </c>
      <c r="AC46" s="25">
        <f>G46*30</f>
        <v>1950</v>
      </c>
      <c r="AD46" s="25">
        <f>IF(F46="",G46*3.83,F46*3.83)</f>
        <v>248.95000000000002</v>
      </c>
      <c r="AE46" s="25">
        <v>527.5</v>
      </c>
      <c r="AF46" s="25">
        <f>V46+Y46+Z46+AA46+AB46+AC46+AD46</f>
        <v>226370.47</v>
      </c>
      <c r="AG46" s="25">
        <f>IFERROR(IFERROR((H46*W46*J46/15)-AE46,""),"")</f>
        <v>263221.21333333332</v>
      </c>
      <c r="AH46" s="26">
        <f>IFERROR(AG46-AF46,"")</f>
        <v>36850.743333333317</v>
      </c>
    </row>
    <row r="47" spans="1:3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AH46/G46</f>
        <v>566.93451282051262</v>
      </c>
    </row>
    <row r="48" spans="1:3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0.13999913938040753</v>
      </c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</row>
    <row r="51" spans="1:59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 t="s">
        <v>32</v>
      </c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11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47"/>
    </row>
    <row r="52" spans="1:59" x14ac:dyDescent="0.35">
      <c r="A52" s="20">
        <v>44794</v>
      </c>
      <c r="B52" s="21" t="s">
        <v>26</v>
      </c>
      <c r="C52" s="21" t="s">
        <v>141</v>
      </c>
      <c r="D52" s="44">
        <v>135192</v>
      </c>
      <c r="E52" s="21"/>
      <c r="F52" s="21">
        <v>50</v>
      </c>
      <c r="G52" s="21"/>
      <c r="H52" s="22">
        <v>25440</v>
      </c>
      <c r="I52" s="33">
        <v>0.51</v>
      </c>
      <c r="J52" s="24">
        <f>IFERROR(K52/H52,"")</f>
        <v>0.53685141509433965</v>
      </c>
      <c r="K52" s="22">
        <v>13657.5</v>
      </c>
      <c r="L52" s="22"/>
      <c r="M52" s="22"/>
      <c r="N52" s="22"/>
      <c r="O52" s="22"/>
      <c r="P52" s="22"/>
      <c r="Q52" s="22"/>
      <c r="R52" s="22"/>
      <c r="S52" s="22"/>
      <c r="T52" s="22"/>
      <c r="U52" s="25">
        <v>280</v>
      </c>
      <c r="V52" s="25">
        <f>H52*U52*I52/15</f>
        <v>242188.79999999999</v>
      </c>
      <c r="W52" s="25">
        <v>327.02</v>
      </c>
      <c r="X52" s="25">
        <v>297747.73</v>
      </c>
      <c r="Y52" s="25">
        <v>0</v>
      </c>
      <c r="Z52" s="25">
        <v>6943.47</v>
      </c>
      <c r="AA52" s="25"/>
      <c r="AB52" s="25">
        <v>1400</v>
      </c>
      <c r="AC52" s="25">
        <f>F52*50</f>
        <v>2500</v>
      </c>
      <c r="AD52" s="25">
        <f>IF(F52="",G52*3.83,F52*3.83)</f>
        <v>191.5</v>
      </c>
      <c r="AE52" s="25">
        <v>595.49</v>
      </c>
      <c r="AF52" s="25">
        <f>V52+Y52+Z52+AA52+AB52+AC52+AD52</f>
        <v>253223.77</v>
      </c>
      <c r="AG52" s="25">
        <f>IFERROR(IFERROR((H52*W52*J52/15)-AE52,""),"")</f>
        <v>297156.22000000003</v>
      </c>
      <c r="AH52" s="26">
        <f>IFERROR(AG52-AF52,"")</f>
        <v>43932.450000000041</v>
      </c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47"/>
    </row>
    <row r="53" spans="1:5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878.6490000000008</v>
      </c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4"/>
    </row>
    <row r="54" spans="1:5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3"/>
      <c r="AA54" s="21"/>
      <c r="AB54" s="21"/>
      <c r="AC54" s="21"/>
      <c r="AD54" s="21"/>
      <c r="AE54" s="21"/>
      <c r="AF54" s="21"/>
      <c r="AG54" s="21"/>
      <c r="AH54" s="27">
        <f>IFERROR(AH52/AG52,"")</f>
        <v>0.1478429426784337</v>
      </c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4"/>
    </row>
    <row r="55" spans="1:5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48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4"/>
    </row>
    <row r="56" spans="1:5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3"/>
      <c r="AA56" s="21"/>
      <c r="AB56" s="21"/>
      <c r="AC56" s="21"/>
      <c r="AD56" s="21"/>
      <c r="AE56" s="21"/>
      <c r="AF56" s="21"/>
      <c r="AG56" s="21"/>
      <c r="AH56" s="48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4"/>
    </row>
    <row r="57" spans="1:5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3"/>
      <c r="AA57" s="21"/>
      <c r="AB57" s="21"/>
      <c r="AC57" s="21"/>
      <c r="AD57" s="21"/>
      <c r="AE57" s="21"/>
      <c r="AF57" s="21"/>
      <c r="AG57" s="21"/>
      <c r="AH57" s="48"/>
    </row>
    <row r="58" spans="1:59" ht="15" thickBot="1" x14ac:dyDescent="0.4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3"/>
      <c r="AA58" s="21"/>
      <c r="AB58" s="21"/>
      <c r="AC58" s="21"/>
      <c r="AD58" s="21"/>
      <c r="AE58" s="21"/>
      <c r="AF58" s="21"/>
      <c r="AG58" s="21"/>
      <c r="AH58" s="48"/>
    </row>
    <row r="59" spans="1:59" ht="16" thickBot="1" x14ac:dyDescent="0.4">
      <c r="A59" s="377" t="s">
        <v>238</v>
      </c>
      <c r="B59" s="378"/>
      <c r="C59" s="378"/>
      <c r="D59" s="378"/>
      <c r="E59" s="378"/>
      <c r="F59" s="378"/>
      <c r="G59" s="378"/>
      <c r="H59" s="378"/>
      <c r="I59" s="378"/>
      <c r="J59" s="378"/>
      <c r="K59" s="378"/>
      <c r="L59" s="46"/>
      <c r="M59" s="46"/>
      <c r="N59" s="46"/>
      <c r="O59" s="46"/>
      <c r="P59" s="46"/>
      <c r="Q59" s="46"/>
      <c r="R59" s="46"/>
      <c r="S59" s="46"/>
      <c r="T59" s="46"/>
      <c r="U59" s="30"/>
      <c r="V59" s="31">
        <f>V4+V10+V16+V22+V28+V34+V40+V46+V52</f>
        <v>3975761.85</v>
      </c>
      <c r="W59" s="30"/>
      <c r="X59" s="30"/>
      <c r="Y59" s="31">
        <f t="shared" ref="Y59:AG59" si="0">Y4+Y10+Y16+Y22+Y28+Y34+Y40+Y46+Y52</f>
        <v>39060</v>
      </c>
      <c r="Z59" s="31">
        <f t="shared" si="0"/>
        <v>110341.99</v>
      </c>
      <c r="AA59" s="31">
        <f t="shared" si="0"/>
        <v>2650</v>
      </c>
      <c r="AB59" s="31">
        <f t="shared" si="0"/>
        <v>25596</v>
      </c>
      <c r="AC59" s="31">
        <f t="shared" si="0"/>
        <v>29140</v>
      </c>
      <c r="AD59" s="31">
        <f t="shared" si="0"/>
        <v>3592.54</v>
      </c>
      <c r="AE59" s="31">
        <f t="shared" si="0"/>
        <v>9735.380000000001</v>
      </c>
      <c r="AF59" s="31">
        <f t="shared" si="0"/>
        <v>4186142.3800000004</v>
      </c>
      <c r="AG59" s="31">
        <f t="shared" si="0"/>
        <v>4857954.9139999989</v>
      </c>
      <c r="AH59" s="32"/>
    </row>
  </sheetData>
  <mergeCells count="2">
    <mergeCell ref="U2:AC2"/>
    <mergeCell ref="A59:K5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3"/>
  <dimension ref="A1:AL34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7" x14ac:dyDescent="0.35">
      <c r="A4" s="20">
        <v>44795</v>
      </c>
      <c r="B4" s="21" t="s">
        <v>246</v>
      </c>
      <c r="C4" s="21" t="s">
        <v>124</v>
      </c>
      <c r="D4" s="44">
        <v>135026</v>
      </c>
      <c r="E4" s="21"/>
      <c r="F4" s="21">
        <v>200</v>
      </c>
      <c r="G4" s="21"/>
      <c r="H4" s="22">
        <v>105120</v>
      </c>
      <c r="I4" s="23">
        <v>0.53</v>
      </c>
      <c r="J4" s="24">
        <f>IFERROR(K4/H4,"")</f>
        <v>0.53844653729071534</v>
      </c>
      <c r="K4" s="22">
        <v>56601.5</v>
      </c>
      <c r="L4" s="22"/>
      <c r="M4" s="22"/>
      <c r="N4" s="22"/>
      <c r="O4" s="22"/>
      <c r="P4" s="22"/>
      <c r="Q4" s="22"/>
      <c r="R4" s="22"/>
      <c r="S4" s="22"/>
      <c r="T4" s="22"/>
      <c r="U4" s="25">
        <v>280</v>
      </c>
      <c r="V4" s="25">
        <f>H4*U4*I4/15</f>
        <v>1039987.2</v>
      </c>
      <c r="W4" s="25">
        <v>324.24</v>
      </c>
      <c r="X4" s="25">
        <v>1223496.1100000001</v>
      </c>
      <c r="Y4" s="82">
        <f>G4*60</f>
        <v>0</v>
      </c>
      <c r="Z4" s="25">
        <v>42179.6</v>
      </c>
      <c r="AA4" s="25">
        <v>500</v>
      </c>
      <c r="AB4" s="25">
        <v>5600</v>
      </c>
      <c r="AC4" s="25">
        <f>F4*30</f>
        <v>6000</v>
      </c>
      <c r="AD4" s="25">
        <f>IF(F4="",G4*3.83,F4*3.83)</f>
        <v>766</v>
      </c>
      <c r="AE4" s="25">
        <v>2447</v>
      </c>
      <c r="AF4" s="25">
        <f>V4+Y4+Z4+AA4+AB4+AC4+AD4</f>
        <v>1095032.8</v>
      </c>
      <c r="AG4" s="25">
        <f>IFERROR(IFERROR((H4*W4*J4/15)-AE4,""),"")</f>
        <v>1221051.0240000002</v>
      </c>
      <c r="AH4" s="26">
        <f>IFERROR(AG4-AF4,"")</f>
        <v>126018.22400000016</v>
      </c>
    </row>
    <row r="5" spans="1:37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IFERROR(AH4/F4,"")</f>
        <v>630.09112000000084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0.10320471587434674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37" t="s">
        <v>1</v>
      </c>
      <c r="B9" s="37" t="s">
        <v>2</v>
      </c>
      <c r="C9" s="37" t="s">
        <v>110</v>
      </c>
      <c r="D9" s="37" t="s">
        <v>66</v>
      </c>
      <c r="E9" s="37" t="s">
        <v>32</v>
      </c>
      <c r="F9" s="37" t="s">
        <v>137</v>
      </c>
      <c r="G9" s="37" t="s">
        <v>138</v>
      </c>
      <c r="H9" s="37" t="s">
        <v>4</v>
      </c>
      <c r="I9" s="37" t="s">
        <v>5</v>
      </c>
      <c r="J9" s="37" t="s">
        <v>6</v>
      </c>
      <c r="K9" s="37" t="s">
        <v>7</v>
      </c>
      <c r="L9" s="37" t="s">
        <v>279</v>
      </c>
      <c r="M9" s="37" t="s">
        <v>280</v>
      </c>
      <c r="N9" s="37" t="s">
        <v>281</v>
      </c>
      <c r="O9" s="37" t="s">
        <v>282</v>
      </c>
      <c r="P9" s="37" t="s">
        <v>283</v>
      </c>
      <c r="Q9" s="37" t="s">
        <v>284</v>
      </c>
      <c r="R9" s="37" t="s">
        <v>904</v>
      </c>
      <c r="S9" s="37" t="s">
        <v>285</v>
      </c>
      <c r="T9" s="37" t="s">
        <v>289</v>
      </c>
      <c r="U9" s="37" t="s">
        <v>8</v>
      </c>
      <c r="V9" s="37" t="s">
        <v>9</v>
      </c>
      <c r="W9" s="37" t="s">
        <v>10</v>
      </c>
      <c r="X9" s="37" t="s">
        <v>100</v>
      </c>
      <c r="Y9" s="37" t="s">
        <v>106</v>
      </c>
      <c r="Z9" s="37" t="s">
        <v>12</v>
      </c>
      <c r="AA9" s="37" t="s">
        <v>92</v>
      </c>
      <c r="AB9" s="37" t="s">
        <v>13</v>
      </c>
      <c r="AC9" s="37" t="s">
        <v>74</v>
      </c>
      <c r="AD9" s="37" t="s">
        <v>21</v>
      </c>
      <c r="AE9" s="37" t="s">
        <v>14</v>
      </c>
      <c r="AF9" s="37" t="s">
        <v>15</v>
      </c>
      <c r="AG9" s="37" t="s">
        <v>16</v>
      </c>
      <c r="AH9" s="15" t="s">
        <v>17</v>
      </c>
    </row>
    <row r="10" spans="1:37" x14ac:dyDescent="0.35">
      <c r="A10" s="38">
        <v>44796</v>
      </c>
      <c r="B10" s="39" t="s">
        <v>247</v>
      </c>
      <c r="C10" s="39" t="s">
        <v>248</v>
      </c>
      <c r="D10" s="45">
        <v>135027</v>
      </c>
      <c r="E10" s="39"/>
      <c r="F10" s="39">
        <v>50</v>
      </c>
      <c r="G10" s="39"/>
      <c r="H10" s="40">
        <v>25220</v>
      </c>
      <c r="I10" s="53">
        <v>0.53</v>
      </c>
      <c r="J10" s="42">
        <f>IFERROR(K10/H10,"")</f>
        <v>0.5273988897700238</v>
      </c>
      <c r="K10" s="40">
        <v>13301</v>
      </c>
      <c r="L10" s="40"/>
      <c r="M10" s="40"/>
      <c r="N10" s="40"/>
      <c r="O10" s="40"/>
      <c r="P10" s="40"/>
      <c r="Q10" s="40"/>
      <c r="R10" s="40"/>
      <c r="S10" s="40"/>
      <c r="T10" s="40"/>
      <c r="U10" s="43">
        <v>280</v>
      </c>
      <c r="V10" s="43">
        <f>H10*U10*I10/15</f>
        <v>249509.86666666667</v>
      </c>
      <c r="W10" s="43">
        <v>324.22000000000003</v>
      </c>
      <c r="X10" s="43">
        <v>287497.78999999998</v>
      </c>
      <c r="Y10" s="84">
        <f>G10*60</f>
        <v>0</v>
      </c>
      <c r="Z10" s="43">
        <v>10681.6</v>
      </c>
      <c r="AA10" s="43"/>
      <c r="AB10" s="43">
        <v>1400</v>
      </c>
      <c r="AC10" s="43">
        <f>F10*30</f>
        <v>1500</v>
      </c>
      <c r="AD10" s="43">
        <f>IF(F10="",G10*3.83,F10*3.83)</f>
        <v>191.5</v>
      </c>
      <c r="AE10" s="43">
        <v>575</v>
      </c>
      <c r="AF10" s="43">
        <f>V10+Y10+Z10+AA10+AB10+AC10+AD10</f>
        <v>263282.96666666667</v>
      </c>
      <c r="AG10" s="43">
        <f>IFERROR(IFERROR((H10*W10*J10/15)-AE10,""),"")</f>
        <v>286921.68133333337</v>
      </c>
      <c r="AH10" s="26">
        <f>IFERROR(AG10-AF10,"")</f>
        <v>23638.714666666696</v>
      </c>
    </row>
    <row r="11" spans="1:3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IFERROR(AH10/F10,"")</f>
        <v>472.7742933333339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8.2387341928350982E-2</v>
      </c>
      <c r="AJ12" s="6"/>
    </row>
    <row r="15" spans="1:37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7" x14ac:dyDescent="0.35">
      <c r="A16" s="20">
        <v>44797</v>
      </c>
      <c r="B16" s="21" t="s">
        <v>249</v>
      </c>
      <c r="C16" s="21" t="s">
        <v>242</v>
      </c>
      <c r="D16" s="44">
        <v>135029</v>
      </c>
      <c r="E16" s="21"/>
      <c r="F16" s="21">
        <v>94</v>
      </c>
      <c r="G16" s="21"/>
      <c r="H16" s="22">
        <v>60000</v>
      </c>
      <c r="I16" s="33">
        <v>0.55000000000000004</v>
      </c>
      <c r="J16" s="24">
        <f>IFERROR(K16/H16,"")</f>
        <v>0.56300833333333333</v>
      </c>
      <c r="K16" s="22">
        <v>33780.5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280</v>
      </c>
      <c r="V16" s="25">
        <f>H16*U16*I16/15</f>
        <v>616000</v>
      </c>
      <c r="W16" s="25">
        <v>308.33</v>
      </c>
      <c r="X16" s="25">
        <v>694370.01</v>
      </c>
      <c r="Y16" s="25">
        <f>G16*60</f>
        <v>0</v>
      </c>
      <c r="Z16" s="25">
        <v>17947.2</v>
      </c>
      <c r="AA16" s="25"/>
      <c r="AB16" s="25">
        <v>2632</v>
      </c>
      <c r="AC16" s="25">
        <f>F16*30</f>
        <v>2820</v>
      </c>
      <c r="AD16" s="25">
        <f>F16*3.83</f>
        <v>360.02</v>
      </c>
      <c r="AE16" s="25">
        <v>1388.74</v>
      </c>
      <c r="AF16" s="25">
        <f>V16+Y16+Z16+AA16+AB16+AC16+AD16</f>
        <v>639759.22</v>
      </c>
      <c r="AG16" s="25">
        <f>IFERROR(IFERROR((H16*W16*J16/15)-AE16,""),"")</f>
        <v>692980.69766666659</v>
      </c>
      <c r="AH16" s="26">
        <f>IFERROR(AG16-AF16,"")</f>
        <v>53221.477666666615</v>
      </c>
      <c r="AJ16" s="6"/>
      <c r="AK16" s="6"/>
    </row>
    <row r="17" spans="1:38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IFERROR(AH16/F16,"")</f>
        <v>566.18593262411298</v>
      </c>
      <c r="AK17" s="63"/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7.6800808227225528E-2</v>
      </c>
      <c r="AK18" s="63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11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K21" s="63"/>
    </row>
    <row r="22" spans="1:38" x14ac:dyDescent="0.35">
      <c r="A22" s="20">
        <v>44797</v>
      </c>
      <c r="B22" s="21" t="s">
        <v>250</v>
      </c>
      <c r="C22" s="21" t="s">
        <v>150</v>
      </c>
      <c r="D22" s="44">
        <v>135028</v>
      </c>
      <c r="E22" s="21"/>
      <c r="F22" s="21"/>
      <c r="G22" s="21">
        <v>62</v>
      </c>
      <c r="H22" s="22">
        <v>26270</v>
      </c>
      <c r="I22" s="33">
        <v>0.5</v>
      </c>
      <c r="J22" s="24">
        <f>IFERROR(K22/H22,"")</f>
        <v>0.52392462885420632</v>
      </c>
      <c r="K22" s="22">
        <v>13763.5</v>
      </c>
      <c r="L22" s="22"/>
      <c r="M22" s="22"/>
      <c r="N22" s="22"/>
      <c r="O22" s="22"/>
      <c r="P22" s="22"/>
      <c r="Q22" s="22"/>
      <c r="R22" s="22"/>
      <c r="S22" s="22"/>
      <c r="T22" s="22"/>
      <c r="U22" s="25">
        <v>270</v>
      </c>
      <c r="V22" s="25">
        <f>H22*U22*I22/15</f>
        <v>236430</v>
      </c>
      <c r="W22" s="25">
        <v>324.07</v>
      </c>
      <c r="X22" s="25">
        <v>297356.49</v>
      </c>
      <c r="Y22" s="25">
        <f>G22*120</f>
        <v>7440</v>
      </c>
      <c r="Z22" s="25">
        <v>3228</v>
      </c>
      <c r="AA22" s="25">
        <v>280</v>
      </c>
      <c r="AB22" s="25">
        <v>1674</v>
      </c>
      <c r="AC22" s="25">
        <f>F22*30</f>
        <v>0</v>
      </c>
      <c r="AD22" s="25">
        <f>IF(F22="",G22*3.83,F22*3.83)</f>
        <v>237.46</v>
      </c>
      <c r="AE22" s="25">
        <v>594.71</v>
      </c>
      <c r="AF22" s="25">
        <f>V22+Y22+Z22+AA22+AB22+AC22+AD22</f>
        <v>249289.46</v>
      </c>
      <c r="AG22" s="25">
        <f>IFERROR(IFERROR((H22*W22*J22/15)-AE22,""),"")</f>
        <v>296761.11966666667</v>
      </c>
      <c r="AH22" s="26">
        <f>IFERROR(AG22-AF22,"")</f>
        <v>47471.659666666674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AH22/G22</f>
        <v>765.67193010752703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0.15996590024996751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8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8" x14ac:dyDescent="0.35">
      <c r="A27" s="37" t="s">
        <v>1</v>
      </c>
      <c r="B27" s="37" t="s">
        <v>2</v>
      </c>
      <c r="C27" s="37" t="s">
        <v>110</v>
      </c>
      <c r="D27" s="37" t="s">
        <v>66</v>
      </c>
      <c r="E27" s="37" t="s">
        <v>32</v>
      </c>
      <c r="F27" s="37" t="s">
        <v>137</v>
      </c>
      <c r="G27" s="37" t="s">
        <v>138</v>
      </c>
      <c r="H27" s="37" t="s">
        <v>4</v>
      </c>
      <c r="I27" s="37" t="s">
        <v>5</v>
      </c>
      <c r="J27" s="37" t="s">
        <v>6</v>
      </c>
      <c r="K27" s="37" t="s">
        <v>7</v>
      </c>
      <c r="L27" s="37" t="s">
        <v>279</v>
      </c>
      <c r="M27" s="37" t="s">
        <v>280</v>
      </c>
      <c r="N27" s="37" t="s">
        <v>281</v>
      </c>
      <c r="O27" s="37" t="s">
        <v>282</v>
      </c>
      <c r="P27" s="37" t="s">
        <v>283</v>
      </c>
      <c r="Q27" s="37" t="s">
        <v>284</v>
      </c>
      <c r="R27" s="37" t="s">
        <v>904</v>
      </c>
      <c r="S27" s="37" t="s">
        <v>285</v>
      </c>
      <c r="T27" s="37" t="s">
        <v>289</v>
      </c>
      <c r="U27" s="37" t="s">
        <v>8</v>
      </c>
      <c r="V27" s="37" t="s">
        <v>9</v>
      </c>
      <c r="W27" s="37" t="s">
        <v>10</v>
      </c>
      <c r="X27" s="37" t="s">
        <v>100</v>
      </c>
      <c r="Y27" s="37" t="s">
        <v>106</v>
      </c>
      <c r="Z27" s="37" t="s">
        <v>12</v>
      </c>
      <c r="AA27" s="37" t="s">
        <v>11</v>
      </c>
      <c r="AB27" s="37" t="s">
        <v>13</v>
      </c>
      <c r="AC27" s="37" t="s">
        <v>74</v>
      </c>
      <c r="AD27" s="37" t="s">
        <v>21</v>
      </c>
      <c r="AE27" s="37" t="s">
        <v>14</v>
      </c>
      <c r="AF27" s="37" t="s">
        <v>15</v>
      </c>
      <c r="AG27" s="37" t="s">
        <v>16</v>
      </c>
      <c r="AH27" s="15" t="s">
        <v>17</v>
      </c>
    </row>
    <row r="28" spans="1:38" x14ac:dyDescent="0.35">
      <c r="A28" s="38">
        <v>44799</v>
      </c>
      <c r="B28" s="39" t="s">
        <v>249</v>
      </c>
      <c r="C28" s="39" t="s">
        <v>242</v>
      </c>
      <c r="D28" s="45">
        <v>135116</v>
      </c>
      <c r="E28" s="39"/>
      <c r="F28" s="39">
        <v>281</v>
      </c>
      <c r="G28" s="39"/>
      <c r="H28" s="40">
        <v>180178.79</v>
      </c>
      <c r="I28" s="53">
        <v>0.55000000000000004</v>
      </c>
      <c r="J28" s="42">
        <f>IFERROR(K28/H28,"")</f>
        <v>0.59008055276650484</v>
      </c>
      <c r="K28" s="40">
        <v>106320</v>
      </c>
      <c r="L28" s="40"/>
      <c r="M28" s="40"/>
      <c r="N28" s="40"/>
      <c r="O28" s="40"/>
      <c r="P28" s="40"/>
      <c r="Q28" s="40"/>
      <c r="R28" s="40"/>
      <c r="S28" s="40"/>
      <c r="T28" s="40"/>
      <c r="U28" s="43">
        <v>280</v>
      </c>
      <c r="V28" s="43">
        <f>H28*U28*I28/15</f>
        <v>1849835.5773333337</v>
      </c>
      <c r="W28" s="43">
        <v>321.08999999999997</v>
      </c>
      <c r="X28" s="43">
        <v>2280140.48</v>
      </c>
      <c r="Y28" s="43">
        <v>0</v>
      </c>
      <c r="Z28" s="43">
        <v>55663.199999999997</v>
      </c>
      <c r="AA28" s="43"/>
      <c r="AB28" s="43">
        <v>7896</v>
      </c>
      <c r="AC28" s="43">
        <f>F28*30</f>
        <v>8430</v>
      </c>
      <c r="AD28" s="43">
        <f>IF(F28="",G28*3.83,F28*3.83)</f>
        <v>1076.23</v>
      </c>
      <c r="AE28" s="43">
        <v>4560.28</v>
      </c>
      <c r="AF28" s="43">
        <f>V28+Y28+Z28+AA28+AB28+AC28+AD28</f>
        <v>1922901.0073333336</v>
      </c>
      <c r="AG28" s="43">
        <f>IFERROR(IFERROR((H28*W28*J28/15)-AE28,""),"")</f>
        <v>2271325.64</v>
      </c>
      <c r="AH28" s="26">
        <f>IFERROR(AG28-AF28,"")</f>
        <v>348424.63266666653</v>
      </c>
      <c r="AJ28">
        <f>F4+G4+F10+G10+F16+G16+F22+G22+F28+G28</f>
        <v>687</v>
      </c>
      <c r="AK28" s="50" t="s">
        <v>22</v>
      </c>
      <c r="AL28" t="s">
        <v>72</v>
      </c>
    </row>
    <row r="29" spans="1:38" x14ac:dyDescent="0.35">
      <c r="A29" s="21"/>
      <c r="B29" s="21"/>
      <c r="C29" s="21"/>
      <c r="D29" s="21"/>
      <c r="E29" s="21"/>
      <c r="F29" s="21">
        <v>282</v>
      </c>
      <c r="G29" s="21"/>
      <c r="H29" s="21">
        <v>180820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1239.9453119810196</v>
      </c>
      <c r="AJ29" s="11">
        <f>AH4+AH10+AH16+AH22+AH28</f>
        <v>598774.70866666664</v>
      </c>
      <c r="AK29" s="11">
        <f>AJ29*30%</f>
        <v>179632.41259999998</v>
      </c>
    </row>
    <row r="30" spans="1:38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0.15340144386635221</v>
      </c>
      <c r="AJ30" s="11"/>
      <c r="AK30" s="11"/>
    </row>
    <row r="31" spans="1:38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8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4" ht="15" thickBot="1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3"/>
      <c r="AA33" s="21"/>
      <c r="AB33" s="21"/>
      <c r="AC33" s="21"/>
      <c r="AD33" s="21"/>
      <c r="AE33" s="21"/>
      <c r="AF33" s="21"/>
      <c r="AG33" s="21"/>
      <c r="AH33" s="48"/>
    </row>
    <row r="34" spans="1:34" ht="16" thickBot="1" x14ac:dyDescent="0.4">
      <c r="A34" s="377" t="s">
        <v>245</v>
      </c>
      <c r="B34" s="378"/>
      <c r="C34" s="378"/>
      <c r="D34" s="378"/>
      <c r="E34" s="378"/>
      <c r="F34" s="378"/>
      <c r="G34" s="378"/>
      <c r="H34" s="378"/>
      <c r="I34" s="378"/>
      <c r="J34" s="378"/>
      <c r="K34" s="378"/>
      <c r="L34" s="46"/>
      <c r="M34" s="46"/>
      <c r="N34" s="46"/>
      <c r="O34" s="46"/>
      <c r="P34" s="46"/>
      <c r="Q34" s="46"/>
      <c r="R34" s="46"/>
      <c r="S34" s="46"/>
      <c r="T34" s="46"/>
      <c r="U34" s="30"/>
      <c r="V34" s="31">
        <f>V4+V10+V16+V22+V28</f>
        <v>3991762.6440000003</v>
      </c>
      <c r="W34" s="30"/>
      <c r="X34" s="30"/>
      <c r="Y34" s="31">
        <f t="shared" ref="Y34:AG34" si="0">Y4+Y10+Y16+Y22+Y28</f>
        <v>7440</v>
      </c>
      <c r="Z34" s="31">
        <f t="shared" si="0"/>
        <v>129699.59999999999</v>
      </c>
      <c r="AA34" s="31">
        <f t="shared" si="0"/>
        <v>780</v>
      </c>
      <c r="AB34" s="31">
        <f t="shared" si="0"/>
        <v>19202</v>
      </c>
      <c r="AC34" s="31">
        <f t="shared" si="0"/>
        <v>18750</v>
      </c>
      <c r="AD34" s="31">
        <f t="shared" si="0"/>
        <v>2631.21</v>
      </c>
      <c r="AE34" s="31">
        <f t="shared" si="0"/>
        <v>9565.73</v>
      </c>
      <c r="AF34" s="31">
        <f t="shared" si="0"/>
        <v>4170265.4540000004</v>
      </c>
      <c r="AG34" s="31">
        <f t="shared" si="0"/>
        <v>4769040.1626666673</v>
      </c>
      <c r="AH34" s="32"/>
    </row>
  </sheetData>
  <mergeCells count="2">
    <mergeCell ref="U2:AC2"/>
    <mergeCell ref="A34:K3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4"/>
  <dimension ref="A1:AL23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44804</v>
      </c>
      <c r="B4" s="21" t="s">
        <v>252</v>
      </c>
      <c r="C4" s="21" t="s">
        <v>253</v>
      </c>
      <c r="D4" s="44">
        <v>135115</v>
      </c>
      <c r="E4" s="21"/>
      <c r="F4" s="21">
        <v>150</v>
      </c>
      <c r="G4" s="21"/>
      <c r="H4" s="22">
        <v>86240</v>
      </c>
      <c r="I4" s="23">
        <v>0.54</v>
      </c>
      <c r="J4" s="24">
        <f>IFERROR(K4/H4,"")</f>
        <v>0.55477736549165124</v>
      </c>
      <c r="K4" s="22">
        <v>47844</v>
      </c>
      <c r="L4" s="22"/>
      <c r="M4" s="22"/>
      <c r="N4" s="22"/>
      <c r="O4" s="22"/>
      <c r="P4" s="22"/>
      <c r="Q4" s="22"/>
      <c r="R4" s="22"/>
      <c r="S4" s="22"/>
      <c r="T4" s="22"/>
      <c r="U4" s="25">
        <v>275</v>
      </c>
      <c r="V4" s="25">
        <f>H4*U4*I4/15</f>
        <v>853776</v>
      </c>
      <c r="W4" s="25">
        <v>324.22000000000003</v>
      </c>
      <c r="X4" s="25">
        <v>1034192.78</v>
      </c>
      <c r="Y4" s="82">
        <f>G4*60</f>
        <v>0</v>
      </c>
      <c r="Z4" s="25">
        <v>27321</v>
      </c>
      <c r="AA4" s="25">
        <v>0</v>
      </c>
      <c r="AB4" s="25">
        <v>4125</v>
      </c>
      <c r="AC4" s="25">
        <v>0</v>
      </c>
      <c r="AD4" s="25">
        <f>IF(F4="",G4*3.83,F4*3.83)</f>
        <v>574.5</v>
      </c>
      <c r="AE4" s="25">
        <v>2068.2600000000002</v>
      </c>
      <c r="AF4" s="25">
        <f>V4+Y4+Z4+AA4+AB4+AC4+AD4</f>
        <v>885796.5</v>
      </c>
      <c r="AG4" s="25">
        <f>IFERROR(IFERROR((H4*W4*J4/15)-AE4,""),"")</f>
        <v>1032063.8520000001</v>
      </c>
      <c r="AH4" s="26">
        <f>IFERROR(AG4-AF4,"")</f>
        <v>146267.35200000007</v>
      </c>
    </row>
    <row r="5" spans="1:38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IFERROR(AH4/F4,"")</f>
        <v>975.11568000000045</v>
      </c>
      <c r="AJ5" s="11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0.14172316152392483</v>
      </c>
      <c r="AJ6" s="1"/>
    </row>
    <row r="7" spans="1:38" x14ac:dyDescent="0.35">
      <c r="AJ7" s="11"/>
    </row>
    <row r="8" spans="1:38" x14ac:dyDescent="0.35">
      <c r="AJ8" s="1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92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8" x14ac:dyDescent="0.35">
      <c r="A10" s="20">
        <v>44805</v>
      </c>
      <c r="B10" s="21" t="s">
        <v>26</v>
      </c>
      <c r="C10" s="21" t="s">
        <v>141</v>
      </c>
      <c r="D10" s="44">
        <v>135786</v>
      </c>
      <c r="E10" s="21"/>
      <c r="F10" s="21">
        <v>25</v>
      </c>
      <c r="G10" s="21"/>
      <c r="H10" s="22">
        <v>10205</v>
      </c>
      <c r="I10" s="33">
        <v>0.5</v>
      </c>
      <c r="J10" s="24">
        <f>IFERROR(K10/H10,"")</f>
        <v>0.59750122488975987</v>
      </c>
      <c r="K10" s="22">
        <v>6097.5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260</v>
      </c>
      <c r="V10" s="25">
        <f>H10*U10*I10/15</f>
        <v>88443.333333333328</v>
      </c>
      <c r="W10" s="25">
        <v>322.17</v>
      </c>
      <c r="X10" s="25">
        <v>130963.22</v>
      </c>
      <c r="Y10" s="82">
        <f>G10*60</f>
        <v>0</v>
      </c>
      <c r="Z10" s="25">
        <v>4030</v>
      </c>
      <c r="AA10" s="25"/>
      <c r="AB10" s="25">
        <v>650</v>
      </c>
      <c r="AC10" s="25">
        <v>0</v>
      </c>
      <c r="AD10" s="25">
        <f>IF(F10="",G10*3.83,F10*3.83)</f>
        <v>95.75</v>
      </c>
      <c r="AE10" s="25">
        <v>261.93</v>
      </c>
      <c r="AF10" s="25">
        <f>V10+Y10+Z10+AA10+AB10+AC10+AD10</f>
        <v>93219.083333333328</v>
      </c>
      <c r="AG10" s="25">
        <f>IFERROR(IFERROR((H10*W10*J10/15)-AE10,""),"")</f>
        <v>130700.175</v>
      </c>
      <c r="AH10" s="26">
        <f>IFERROR(AG10-AF10,"")</f>
        <v>37481.091666666674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IFERROR(AH10/F10,"")</f>
        <v>1499.243666666667</v>
      </c>
      <c r="AJ11" s="6"/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0.28677154920922387</v>
      </c>
      <c r="AJ12" s="6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11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20">
        <v>44805</v>
      </c>
      <c r="B16" s="21" t="s">
        <v>26</v>
      </c>
      <c r="C16" s="21" t="s">
        <v>141</v>
      </c>
      <c r="D16" s="44">
        <v>135787</v>
      </c>
      <c r="E16" s="21"/>
      <c r="F16" s="21"/>
      <c r="G16" s="21">
        <v>25</v>
      </c>
      <c r="H16" s="22">
        <v>10205</v>
      </c>
      <c r="I16" s="33">
        <v>0.5</v>
      </c>
      <c r="J16" s="24">
        <f>IFERROR(K16/H16,"")</f>
        <v>0.46599706026457621</v>
      </c>
      <c r="K16" s="22">
        <v>4755.5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260</v>
      </c>
      <c r="V16" s="25">
        <f>H16*U16*I16/15</f>
        <v>88443.333333333328</v>
      </c>
      <c r="W16" s="25">
        <v>319.49</v>
      </c>
      <c r="X16" s="25">
        <v>101288.89</v>
      </c>
      <c r="Y16" s="25">
        <v>0</v>
      </c>
      <c r="Z16" s="25">
        <v>4030</v>
      </c>
      <c r="AA16" s="25"/>
      <c r="AB16" s="25">
        <v>650</v>
      </c>
      <c r="AC16" s="25">
        <f>F16*30</f>
        <v>0</v>
      </c>
      <c r="AD16" s="25">
        <f>G16*3.83</f>
        <v>95.75</v>
      </c>
      <c r="AE16" s="25">
        <v>202.58</v>
      </c>
      <c r="AF16" s="25">
        <f>V16+Y16+Z16+AA16+AB16+AC16+AD16</f>
        <v>93219.083333333328</v>
      </c>
      <c r="AG16" s="25">
        <f>IFERROR(IFERROR((H16*W16*J16/15)-AE16,""),"")</f>
        <v>101086.39966666666</v>
      </c>
      <c r="AH16" s="26">
        <f>IFERROR(AG16-AF16,"")</f>
        <v>7867.3163333333359</v>
      </c>
      <c r="AJ16" s="85">
        <f>F4+G4+F10+G10+F16+G16</f>
        <v>200</v>
      </c>
      <c r="AK16" s="13" t="s">
        <v>22</v>
      </c>
      <c r="AL16" t="s">
        <v>72</v>
      </c>
    </row>
    <row r="17" spans="1:37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IFERROR(AH16/G16,"")</f>
        <v>314.69265333333345</v>
      </c>
      <c r="AJ17" s="87">
        <f>AH4+AH10+AH16</f>
        <v>191615.76000000007</v>
      </c>
      <c r="AK17" s="86">
        <f>AJ17*30%</f>
        <v>57484.728000000017</v>
      </c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7.7827644067608351E-2</v>
      </c>
      <c r="AK18" s="63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7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3"/>
      <c r="AA21" s="21"/>
      <c r="AB21" s="21"/>
      <c r="AC21" s="21"/>
      <c r="AD21" s="21"/>
      <c r="AE21" s="21"/>
      <c r="AF21" s="21"/>
      <c r="AG21" s="21"/>
      <c r="AH21" s="48"/>
    </row>
    <row r="22" spans="1:37" ht="15" thickBot="1" x14ac:dyDescent="0.4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3"/>
      <c r="AA22" s="21"/>
      <c r="AB22" s="21"/>
      <c r="AC22" s="21"/>
      <c r="AD22" s="21"/>
      <c r="AE22" s="21"/>
      <c r="AF22" s="21"/>
      <c r="AG22" s="21"/>
      <c r="AH22" s="48"/>
    </row>
    <row r="23" spans="1:37" ht="16" thickBot="1" x14ac:dyDescent="0.4">
      <c r="A23" s="377" t="s">
        <v>251</v>
      </c>
      <c r="B23" s="378"/>
      <c r="C23" s="378"/>
      <c r="D23" s="378"/>
      <c r="E23" s="378"/>
      <c r="F23" s="378"/>
      <c r="G23" s="378"/>
      <c r="H23" s="378"/>
      <c r="I23" s="378"/>
      <c r="J23" s="378"/>
      <c r="K23" s="378"/>
      <c r="L23" s="46"/>
      <c r="M23" s="46"/>
      <c r="N23" s="46"/>
      <c r="O23" s="46"/>
      <c r="P23" s="46"/>
      <c r="Q23" s="46"/>
      <c r="R23" s="46"/>
      <c r="S23" s="46"/>
      <c r="T23" s="46"/>
      <c r="U23" s="30"/>
      <c r="V23" s="31">
        <f>V4+V10+V16</f>
        <v>1030662.6666666667</v>
      </c>
      <c r="W23" s="30"/>
      <c r="X23" s="30"/>
      <c r="Y23" s="31">
        <f t="shared" ref="Y23:AG23" si="0">Y4+Y10+Y16</f>
        <v>0</v>
      </c>
      <c r="Z23" s="31">
        <f t="shared" si="0"/>
        <v>35381</v>
      </c>
      <c r="AA23" s="31">
        <f t="shared" si="0"/>
        <v>0</v>
      </c>
      <c r="AB23" s="31">
        <f t="shared" si="0"/>
        <v>5425</v>
      </c>
      <c r="AC23" s="31">
        <f t="shared" si="0"/>
        <v>0</v>
      </c>
      <c r="AD23" s="31">
        <f t="shared" si="0"/>
        <v>766</v>
      </c>
      <c r="AE23" s="31">
        <f t="shared" si="0"/>
        <v>2532.77</v>
      </c>
      <c r="AF23" s="31">
        <f t="shared" si="0"/>
        <v>1072234.6666666667</v>
      </c>
      <c r="AG23" s="31">
        <f t="shared" si="0"/>
        <v>1263850.4266666668</v>
      </c>
      <c r="AH23" s="32"/>
    </row>
  </sheetData>
  <mergeCells count="2">
    <mergeCell ref="U2:AC2"/>
    <mergeCell ref="A23:K2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5"/>
  <dimension ref="A1:AL45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18.54296875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1.81640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7" x14ac:dyDescent="0.35">
      <c r="A4" s="20">
        <v>44809</v>
      </c>
      <c r="B4" s="21" t="s">
        <v>255</v>
      </c>
      <c r="C4" s="21" t="s">
        <v>119</v>
      </c>
      <c r="D4" s="44">
        <v>135598</v>
      </c>
      <c r="E4" s="21"/>
      <c r="F4" s="21"/>
      <c r="G4" s="21">
        <v>65</v>
      </c>
      <c r="H4" s="22">
        <v>23400</v>
      </c>
      <c r="I4" s="23">
        <v>0.5</v>
      </c>
      <c r="J4" s="24">
        <f>IFERROR(K4/H4,"")</f>
        <v>0.56072606837606842</v>
      </c>
      <c r="K4" s="22">
        <v>13120.99</v>
      </c>
      <c r="L4" s="22"/>
      <c r="M4" s="22"/>
      <c r="N4" s="22"/>
      <c r="O4" s="22"/>
      <c r="P4" s="22"/>
      <c r="Q4" s="22"/>
      <c r="R4" s="22"/>
      <c r="S4" s="22"/>
      <c r="T4" s="22"/>
      <c r="U4" s="25">
        <v>265</v>
      </c>
      <c r="V4" s="25">
        <f>H4*U4*I4/15</f>
        <v>206700</v>
      </c>
      <c r="W4" s="25">
        <v>318.52</v>
      </c>
      <c r="X4" s="25">
        <v>278617.78999999998</v>
      </c>
      <c r="Y4" s="82">
        <v>0</v>
      </c>
      <c r="Z4" s="25">
        <v>7792.4</v>
      </c>
      <c r="AA4" s="25">
        <v>420</v>
      </c>
      <c r="AB4" s="25">
        <v>1722.5</v>
      </c>
      <c r="AC4" s="25">
        <f>G4*30</f>
        <v>1950</v>
      </c>
      <c r="AD4" s="25">
        <f>IF(F4="",G4*3.83,F4*3.83)</f>
        <v>248.95000000000002</v>
      </c>
      <c r="AE4" s="25">
        <v>557.23</v>
      </c>
      <c r="AF4" s="25">
        <f>V4+Y4+Z4+AA4+AB4+AC4+AD4</f>
        <v>218833.85</v>
      </c>
      <c r="AG4" s="25">
        <f>IFERROR(IFERROR((H4*W4*J4/15)-AE4,""),"")</f>
        <v>278062.61898666673</v>
      </c>
      <c r="AH4" s="26">
        <f>IFERROR(AG4-AF4,"")</f>
        <v>59228.768986666721</v>
      </c>
    </row>
    <row r="5" spans="1:37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IFERROR(AH4/G4,"")</f>
        <v>911.21183056410337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0.2130051468353133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7" x14ac:dyDescent="0.35">
      <c r="A10" s="20">
        <v>44809</v>
      </c>
      <c r="B10" s="21" t="s">
        <v>256</v>
      </c>
      <c r="C10" s="21" t="s">
        <v>257</v>
      </c>
      <c r="D10" s="44">
        <v>135598</v>
      </c>
      <c r="E10" s="21"/>
      <c r="F10" s="21"/>
      <c r="G10" s="21">
        <v>130</v>
      </c>
      <c r="H10" s="22">
        <v>55320</v>
      </c>
      <c r="I10" s="33">
        <v>0.5</v>
      </c>
      <c r="J10" s="24">
        <f>IFERROR(K10/H10,"")</f>
        <v>0.47436677512653652</v>
      </c>
      <c r="K10" s="22">
        <v>26241.97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260</v>
      </c>
      <c r="V10" s="25">
        <f>H10*U10*I10/15</f>
        <v>479440</v>
      </c>
      <c r="W10" s="25">
        <v>318.52</v>
      </c>
      <c r="X10" s="25">
        <v>557235.59</v>
      </c>
      <c r="Y10" s="82">
        <v>0</v>
      </c>
      <c r="Z10" s="25">
        <v>29352</v>
      </c>
      <c r="AA10" s="25">
        <v>2385.1999999999998</v>
      </c>
      <c r="AB10" s="25">
        <v>3380</v>
      </c>
      <c r="AC10" s="25">
        <f>G10*30</f>
        <v>3900</v>
      </c>
      <c r="AD10" s="25">
        <f>IF(F10="",G10*3.83,F10*3.83)</f>
        <v>497.90000000000003</v>
      </c>
      <c r="AE10" s="25">
        <v>1114.45</v>
      </c>
      <c r="AF10" s="25">
        <f>V10+Y10+Z10+AA10+AB10+AC10+AD10</f>
        <v>518955.10000000003</v>
      </c>
      <c r="AG10" s="25">
        <f>IFERROR(IFERROR((H10*W10*J10/15)-AE10,""),"")</f>
        <v>556125.03562666662</v>
      </c>
      <c r="AH10" s="26">
        <f>IFERROR(AG10-AF10,"")</f>
        <v>37169.935626666585</v>
      </c>
    </row>
    <row r="11" spans="1:3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IFERROR(AH10/G10,"")</f>
        <v>285.92258174358909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6.6837371536028464E-2</v>
      </c>
      <c r="AJ12" s="6"/>
    </row>
    <row r="15" spans="1:37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7" x14ac:dyDescent="0.35">
      <c r="A16" s="20">
        <v>44810</v>
      </c>
      <c r="B16" s="21" t="s">
        <v>259</v>
      </c>
      <c r="C16" s="21" t="s">
        <v>237</v>
      </c>
      <c r="D16" s="44">
        <v>135604</v>
      </c>
      <c r="E16" s="21"/>
      <c r="F16" s="21">
        <v>150</v>
      </c>
      <c r="G16" s="21"/>
      <c r="H16" s="22">
        <v>74180</v>
      </c>
      <c r="I16" s="33">
        <v>0.54</v>
      </c>
      <c r="J16" s="24">
        <f>IFERROR(K16/H16,"")</f>
        <v>0.56773389053653278</v>
      </c>
      <c r="K16" s="22">
        <v>42114.5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270</v>
      </c>
      <c r="V16" s="25">
        <f>H16*U16*I16/15</f>
        <v>721029.6</v>
      </c>
      <c r="W16" s="25">
        <v>321.10000000000002</v>
      </c>
      <c r="X16" s="25">
        <v>901537.73</v>
      </c>
      <c r="Y16" s="25">
        <v>0</v>
      </c>
      <c r="Z16" s="25">
        <v>29800.799999999999</v>
      </c>
      <c r="AA16" s="25">
        <v>1300</v>
      </c>
      <c r="AB16" s="25">
        <v>4050</v>
      </c>
      <c r="AC16" s="25">
        <f>F16*30</f>
        <v>4500</v>
      </c>
      <c r="AD16" s="25">
        <f>F16*3.83</f>
        <v>574.5</v>
      </c>
      <c r="AE16" s="25">
        <v>1803.08</v>
      </c>
      <c r="AF16" s="25">
        <f>V16+Y16+Z16+AA16+AB16+AC16+AD16</f>
        <v>761254.9</v>
      </c>
      <c r="AG16" s="25">
        <f>IFERROR(IFERROR((H16*W16*J16/15)-AE16,""),"")</f>
        <v>899727.9833333334</v>
      </c>
      <c r="AH16" s="26">
        <f>IFERROR(AG16-AF16,"")</f>
        <v>138473.08333333337</v>
      </c>
      <c r="AJ16" s="6"/>
      <c r="AK16" s="6"/>
    </row>
    <row r="17" spans="1:38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IFERROR(AH16/F16,"")</f>
        <v>923.15388888888913</v>
      </c>
      <c r="AK17" s="63"/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0.15390549799319905</v>
      </c>
      <c r="AK18" s="63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11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K21" s="63"/>
    </row>
    <row r="22" spans="1:38" x14ac:dyDescent="0.35">
      <c r="A22" s="20">
        <v>44811</v>
      </c>
      <c r="B22" s="21" t="s">
        <v>26</v>
      </c>
      <c r="C22" s="21" t="s">
        <v>141</v>
      </c>
      <c r="D22" s="44">
        <v>135986</v>
      </c>
      <c r="E22" s="21"/>
      <c r="F22" s="21">
        <v>50</v>
      </c>
      <c r="G22" s="21"/>
      <c r="H22" s="22">
        <v>22680</v>
      </c>
      <c r="I22" s="33">
        <v>0.5</v>
      </c>
      <c r="J22" s="24">
        <f>IFERROR(K22/H22,"")</f>
        <v>0.5125881834215168</v>
      </c>
      <c r="K22" s="22">
        <v>11625.5</v>
      </c>
      <c r="L22" s="22"/>
      <c r="M22" s="22"/>
      <c r="N22" s="22"/>
      <c r="O22" s="22"/>
      <c r="P22" s="22"/>
      <c r="Q22" s="22"/>
      <c r="R22" s="22"/>
      <c r="S22" s="22"/>
      <c r="T22" s="22"/>
      <c r="U22" s="25">
        <v>260</v>
      </c>
      <c r="V22" s="25">
        <f>H22*U22*I22/15</f>
        <v>196560</v>
      </c>
      <c r="W22" s="25">
        <v>317.57</v>
      </c>
      <c r="X22" s="25">
        <v>246126.44</v>
      </c>
      <c r="Y22" s="25">
        <f>G22*120</f>
        <v>0</v>
      </c>
      <c r="Z22" s="25">
        <v>8658.4</v>
      </c>
      <c r="AA22" s="25"/>
      <c r="AB22" s="25">
        <v>1300</v>
      </c>
      <c r="AC22" s="25">
        <f>F22*30</f>
        <v>1500</v>
      </c>
      <c r="AD22" s="25">
        <f>IF(F22="",G22*3.83,F22*3.83)</f>
        <v>191.5</v>
      </c>
      <c r="AE22" s="25">
        <v>492.26</v>
      </c>
      <c r="AF22" s="25">
        <f>V22+Y22+Z22+AA22+AB22+AC22+AD22</f>
        <v>208209.9</v>
      </c>
      <c r="AG22" s="25">
        <f>IFERROR(IFERROR((H22*W22*J22/15)-AE22,""),"")</f>
        <v>245635.07566666667</v>
      </c>
      <c r="AH22" s="26">
        <f>IFERROR(AG22-AF22,"")</f>
        <v>37425.175666666677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748.50351333333356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0.15236087747278257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8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8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 t="s">
        <v>32</v>
      </c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11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8" x14ac:dyDescent="0.35">
      <c r="A28" s="20">
        <v>44811</v>
      </c>
      <c r="B28" s="21" t="s">
        <v>260</v>
      </c>
      <c r="C28" s="21" t="s">
        <v>237</v>
      </c>
      <c r="D28" s="44">
        <v>135612</v>
      </c>
      <c r="E28" s="21"/>
      <c r="F28" s="21">
        <v>200</v>
      </c>
      <c r="G28" s="21"/>
      <c r="H28" s="22">
        <v>100300</v>
      </c>
      <c r="I28" s="33">
        <v>0.54</v>
      </c>
      <c r="J28" s="24">
        <f>IFERROR(K28/H28,"")</f>
        <v>0.54322033898305089</v>
      </c>
      <c r="K28" s="22">
        <v>54485</v>
      </c>
      <c r="L28" s="22"/>
      <c r="M28" s="22"/>
      <c r="N28" s="22"/>
      <c r="O28" s="22"/>
      <c r="P28" s="22"/>
      <c r="Q28" s="22"/>
      <c r="R28" s="22"/>
      <c r="S28" s="22"/>
      <c r="T28" s="22"/>
      <c r="U28" s="25">
        <v>275</v>
      </c>
      <c r="V28" s="25">
        <f>H28*U28*I28/15</f>
        <v>992970.00000000012</v>
      </c>
      <c r="W28" s="25">
        <v>320.43</v>
      </c>
      <c r="X28" s="25">
        <v>1163903</v>
      </c>
      <c r="Y28" s="25">
        <v>0</v>
      </c>
      <c r="Z28" s="25">
        <v>39544</v>
      </c>
      <c r="AA28" s="25"/>
      <c r="AB28" s="25">
        <v>5500</v>
      </c>
      <c r="AC28" s="25">
        <f>F28*30</f>
        <v>6000</v>
      </c>
      <c r="AD28" s="25">
        <f>IF(F28="",G28*3.83,F28*3.83)</f>
        <v>766</v>
      </c>
      <c r="AE28" s="25">
        <v>2327.81</v>
      </c>
      <c r="AF28" s="25">
        <f>V28+Y28+Z28+AA28+AB28+AC28+AD28</f>
        <v>1044780.0000000001</v>
      </c>
      <c r="AG28" s="25">
        <f>IFERROR(IFERROR((H28*W28*J28/15)-AE28,""),"")</f>
        <v>1161580.76</v>
      </c>
      <c r="AH28" s="26">
        <f>IFERROR(AG28-AF28,"")</f>
        <v>116800.75999999989</v>
      </c>
      <c r="AJ28">
        <f>F4+G4+F10+G10+F16+G16+F22+G22+F28+G28+F34+G34+F40+G40</f>
        <v>995</v>
      </c>
      <c r="AK28" s="50" t="s">
        <v>22</v>
      </c>
      <c r="AL28" t="s">
        <v>72</v>
      </c>
    </row>
    <row r="29" spans="1:38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584.0037999999995</v>
      </c>
      <c r="AJ29" s="11">
        <f>AH4+AH10+AH16+AH22+AH28+AH34+AH40</f>
        <v>599707.98227999988</v>
      </c>
      <c r="AK29" s="11">
        <f>AJ29*30%</f>
        <v>179912.39468399997</v>
      </c>
    </row>
    <row r="30" spans="1:38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0.10055328395763019</v>
      </c>
      <c r="AJ30" s="11"/>
      <c r="AK30" s="11"/>
    </row>
    <row r="31" spans="1:38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8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7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32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11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37" x14ac:dyDescent="0.35">
      <c r="A34" s="20">
        <v>44812</v>
      </c>
      <c r="B34" s="21" t="s">
        <v>260</v>
      </c>
      <c r="C34" s="21" t="s">
        <v>237</v>
      </c>
      <c r="D34" s="44">
        <v>135619</v>
      </c>
      <c r="E34" s="21"/>
      <c r="F34" s="21">
        <v>200</v>
      </c>
      <c r="G34" s="21"/>
      <c r="H34" s="22">
        <v>99020</v>
      </c>
      <c r="I34" s="33">
        <v>0.54</v>
      </c>
      <c r="J34" s="24">
        <f>IFERROR(K34/H34,"")</f>
        <v>0.55369622298525545</v>
      </c>
      <c r="K34" s="22">
        <v>54827</v>
      </c>
      <c r="L34" s="22"/>
      <c r="M34" s="22"/>
      <c r="N34" s="22"/>
      <c r="O34" s="22"/>
      <c r="P34" s="22"/>
      <c r="Q34" s="22"/>
      <c r="R34" s="22"/>
      <c r="S34" s="22"/>
      <c r="T34" s="22"/>
      <c r="U34" s="25">
        <v>275</v>
      </c>
      <c r="V34" s="25">
        <f>H34*U34*I34/15</f>
        <v>980298.00000000012</v>
      </c>
      <c r="W34" s="25">
        <v>313.16000000000003</v>
      </c>
      <c r="X34" s="25">
        <v>1144645.01</v>
      </c>
      <c r="Y34" s="25">
        <f>G34*100</f>
        <v>0</v>
      </c>
      <c r="Z34" s="25">
        <v>39349.599999999999</v>
      </c>
      <c r="AA34" s="25"/>
      <c r="AB34" s="25">
        <v>5500</v>
      </c>
      <c r="AC34" s="25">
        <f>F34*30</f>
        <v>6000</v>
      </c>
      <c r="AD34" s="25">
        <f>IF(F34="",G34*3.83,F34*3.83)</f>
        <v>766</v>
      </c>
      <c r="AE34" s="25">
        <v>2289.29</v>
      </c>
      <c r="AF34" s="25">
        <f>V34+Y34+Z34+AA34+AB34+AC34+AD34</f>
        <v>1031913.6000000001</v>
      </c>
      <c r="AG34" s="25">
        <f>IFERROR(IFERROR((H34*W34*J34/15)-AE34,""),"")</f>
        <v>1142352.2646666667</v>
      </c>
      <c r="AH34" s="26">
        <f>IFERROR(AG34-AF34,"")</f>
        <v>110438.66466666665</v>
      </c>
    </row>
    <row r="35" spans="1:37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552.1933233333333</v>
      </c>
    </row>
    <row r="36" spans="1:37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9.6676540225437521E-2</v>
      </c>
    </row>
    <row r="37" spans="1:37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7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37" x14ac:dyDescent="0.35">
      <c r="A39" s="37" t="s">
        <v>1</v>
      </c>
      <c r="B39" s="37" t="s">
        <v>2</v>
      </c>
      <c r="C39" s="37" t="s">
        <v>110</v>
      </c>
      <c r="D39" s="37" t="s">
        <v>66</v>
      </c>
      <c r="E39" s="37" t="s">
        <v>32</v>
      </c>
      <c r="F39" s="37" t="s">
        <v>137</v>
      </c>
      <c r="G39" s="37" t="s">
        <v>138</v>
      </c>
      <c r="H39" s="37" t="s">
        <v>4</v>
      </c>
      <c r="I39" s="37" t="s">
        <v>5</v>
      </c>
      <c r="J39" s="37" t="s">
        <v>6</v>
      </c>
      <c r="K39" s="37" t="s">
        <v>7</v>
      </c>
      <c r="L39" s="37" t="s">
        <v>279</v>
      </c>
      <c r="M39" s="37" t="s">
        <v>280</v>
      </c>
      <c r="N39" s="37" t="s">
        <v>281</v>
      </c>
      <c r="O39" s="37" t="s">
        <v>282</v>
      </c>
      <c r="P39" s="37" t="s">
        <v>283</v>
      </c>
      <c r="Q39" s="37" t="s">
        <v>284</v>
      </c>
      <c r="R39" s="37" t="s">
        <v>904</v>
      </c>
      <c r="S39" s="37" t="s">
        <v>285</v>
      </c>
      <c r="T39" s="37" t="s">
        <v>289</v>
      </c>
      <c r="U39" s="37" t="s">
        <v>8</v>
      </c>
      <c r="V39" s="37" t="s">
        <v>9</v>
      </c>
      <c r="W39" s="37" t="s">
        <v>10</v>
      </c>
      <c r="X39" s="37" t="s">
        <v>100</v>
      </c>
      <c r="Y39" s="37" t="s">
        <v>106</v>
      </c>
      <c r="Z39" s="37" t="s">
        <v>12</v>
      </c>
      <c r="AA39" s="37" t="s">
        <v>11</v>
      </c>
      <c r="AB39" s="37" t="s">
        <v>13</v>
      </c>
      <c r="AC39" s="37" t="s">
        <v>74</v>
      </c>
      <c r="AD39" s="37" t="s">
        <v>21</v>
      </c>
      <c r="AE39" s="37" t="s">
        <v>14</v>
      </c>
      <c r="AF39" s="37" t="s">
        <v>15</v>
      </c>
      <c r="AG39" s="37" t="s">
        <v>16</v>
      </c>
      <c r="AH39" s="15" t="s">
        <v>17</v>
      </c>
    </row>
    <row r="40" spans="1:37" x14ac:dyDescent="0.35">
      <c r="A40" s="38">
        <v>44813</v>
      </c>
      <c r="B40" s="39" t="s">
        <v>260</v>
      </c>
      <c r="C40" s="39" t="s">
        <v>237</v>
      </c>
      <c r="D40" s="45">
        <v>135884</v>
      </c>
      <c r="E40" s="39"/>
      <c r="F40" s="39">
        <v>200</v>
      </c>
      <c r="G40" s="39"/>
      <c r="H40" s="40">
        <v>99540</v>
      </c>
      <c r="I40" s="53">
        <v>0.54</v>
      </c>
      <c r="J40" s="42">
        <f>IFERROR(K40/H40,"")</f>
        <v>0.54772955595740402</v>
      </c>
      <c r="K40" s="40">
        <v>54521</v>
      </c>
      <c r="L40" s="40"/>
      <c r="M40" s="40"/>
      <c r="N40" s="40"/>
      <c r="O40" s="40"/>
      <c r="P40" s="40"/>
      <c r="Q40" s="40"/>
      <c r="R40" s="40"/>
      <c r="S40" s="40"/>
      <c r="T40" s="40"/>
      <c r="U40" s="43">
        <v>275</v>
      </c>
      <c r="V40" s="43">
        <f>H40*U40*I40/15</f>
        <v>985446.00000000012</v>
      </c>
      <c r="W40" s="43">
        <v>313.56</v>
      </c>
      <c r="X40" s="43">
        <v>1139696.6499999999</v>
      </c>
      <c r="Y40" s="43">
        <v>0</v>
      </c>
      <c r="Z40" s="43">
        <v>39544</v>
      </c>
      <c r="AA40" s="43"/>
      <c r="AB40" s="43">
        <v>5500</v>
      </c>
      <c r="AC40" s="43">
        <f>F40*30</f>
        <v>6000</v>
      </c>
      <c r="AD40" s="43">
        <f>IF(F40="",G40*3.83,F40*3.83)</f>
        <v>766</v>
      </c>
      <c r="AE40" s="43">
        <v>2279.39</v>
      </c>
      <c r="AF40" s="43">
        <f>V40+Y40+Z40+AA40+AB40+AC40+AD40</f>
        <v>1037256.0000000001</v>
      </c>
      <c r="AG40" s="43">
        <f>IFERROR(IFERROR((H40*W40*J40/15)-AE40,""),"")</f>
        <v>1137427.594</v>
      </c>
      <c r="AH40" s="26">
        <f>IFERROR(AG40-AF40,"")</f>
        <v>100171.59399999992</v>
      </c>
    </row>
    <row r="41" spans="1:37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500.85796999999963</v>
      </c>
      <c r="AJ41" s="11"/>
      <c r="AK41" s="11"/>
    </row>
    <row r="42" spans="1:37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8.8068545662520578E-2</v>
      </c>
      <c r="AJ42" s="11"/>
      <c r="AK42" s="11"/>
    </row>
    <row r="43" spans="1:37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</row>
    <row r="44" spans="1:37" ht="15" thickBot="1" x14ac:dyDescent="0.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</row>
    <row r="45" spans="1:37" ht="16" thickBot="1" x14ac:dyDescent="0.4">
      <c r="A45" s="377" t="s">
        <v>254</v>
      </c>
      <c r="B45" s="378"/>
      <c r="C45" s="378"/>
      <c r="D45" s="378"/>
      <c r="E45" s="378"/>
      <c r="F45" s="378"/>
      <c r="G45" s="378"/>
      <c r="H45" s="378"/>
      <c r="I45" s="378"/>
      <c r="J45" s="378"/>
      <c r="K45" s="378"/>
      <c r="L45" s="46"/>
      <c r="M45" s="46"/>
      <c r="N45" s="46"/>
      <c r="O45" s="46"/>
      <c r="P45" s="46"/>
      <c r="Q45" s="46"/>
      <c r="R45" s="46"/>
      <c r="S45" s="46"/>
      <c r="T45" s="46"/>
      <c r="U45" s="30"/>
      <c r="V45" s="31">
        <f>V4+V10+V16+V22+V28+V34+V40</f>
        <v>4562443.6000000006</v>
      </c>
      <c r="W45" s="30"/>
      <c r="X45" s="30"/>
      <c r="Y45" s="31">
        <f>Y4+Y10+Y16+Y22+Y28+Y34+Y40</f>
        <v>0</v>
      </c>
      <c r="Z45" s="31">
        <f>Z4+Z10+Z16+Z22+Z28+Z34+Z40</f>
        <v>194041.19999999998</v>
      </c>
      <c r="AA45" s="31">
        <f>AA4+AA10+AA16+AA22+AA28+AA34+AA40</f>
        <v>4105.2</v>
      </c>
      <c r="AB45" s="31">
        <f>AB4+AB10+AB16+AB22+AB28+AB34+AB40</f>
        <v>26952.5</v>
      </c>
      <c r="AC45" s="31">
        <f>AC4+AC10+AC16+AC22+AC28+AC34</f>
        <v>23850</v>
      </c>
      <c r="AD45" s="31">
        <f>AD4+AD10+AD16+AD22+AD28+AD34+AD40</f>
        <v>3810.85</v>
      </c>
      <c r="AE45" s="31">
        <f>AE4+AE10+AE16+AE22+AE28+AE34+AE40</f>
        <v>10863.509999999998</v>
      </c>
      <c r="AF45" s="31">
        <f>AF4+AF10+AF16+AF22+AF28+AF34+AF40</f>
        <v>4821203.3500000006</v>
      </c>
      <c r="AG45" s="31">
        <f>AG4+AG10+AG16+AG22+AG28+AG34+AG40</f>
        <v>5420911.3322800007</v>
      </c>
      <c r="AH45" s="32"/>
    </row>
  </sheetData>
  <mergeCells count="2">
    <mergeCell ref="U2:AC2"/>
    <mergeCell ref="A45:K4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6"/>
  <dimension ref="A1:BG123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19.81640625" bestFit="1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6" width="6" bestFit="1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7" x14ac:dyDescent="0.35">
      <c r="A4" s="20">
        <v>44816</v>
      </c>
      <c r="B4" s="21" t="s">
        <v>262</v>
      </c>
      <c r="C4" s="21" t="s">
        <v>124</v>
      </c>
      <c r="D4" s="44">
        <v>135892</v>
      </c>
      <c r="E4" s="21"/>
      <c r="F4" s="21">
        <v>199</v>
      </c>
      <c r="G4" s="21"/>
      <c r="H4" s="22">
        <v>125580</v>
      </c>
      <c r="I4" s="23">
        <v>0.54</v>
      </c>
      <c r="J4" s="24">
        <f>IFERROR(K4/H4,"")</f>
        <v>0.55246854594680683</v>
      </c>
      <c r="K4" s="22">
        <v>69379</v>
      </c>
      <c r="L4" s="22"/>
      <c r="M4" s="22"/>
      <c r="N4" s="22"/>
      <c r="O4" s="22"/>
      <c r="P4" s="22"/>
      <c r="Q4" s="22"/>
      <c r="R4" s="22"/>
      <c r="S4" s="22"/>
      <c r="T4" s="22"/>
      <c r="U4" s="25">
        <v>275</v>
      </c>
      <c r="V4" s="25">
        <f>H4*U4*I4/15</f>
        <v>1243242</v>
      </c>
      <c r="W4" s="25">
        <v>309.10000000000002</v>
      </c>
      <c r="X4" s="25">
        <v>1429659.14</v>
      </c>
      <c r="Y4" s="82">
        <v>0</v>
      </c>
      <c r="Z4" s="25">
        <v>42261.2</v>
      </c>
      <c r="AA4" s="25">
        <v>500</v>
      </c>
      <c r="AB4" s="25">
        <v>5472.5</v>
      </c>
      <c r="AC4" s="25">
        <f>F4*30</f>
        <v>5970</v>
      </c>
      <c r="AD4" s="25">
        <f>IF(F4="",G4*3.83,F4*3.83)</f>
        <v>762.17</v>
      </c>
      <c r="AE4" s="25">
        <v>2859.32</v>
      </c>
      <c r="AF4" s="25">
        <f>V4+Y4+Z4+AA4+AB4+AC4+AD4</f>
        <v>1298207.8699999999</v>
      </c>
      <c r="AG4" s="25">
        <f>IFERROR(IFERROR((H4*W4*J4/15)-AE4,""),"")</f>
        <v>1426810.6066666667</v>
      </c>
      <c r="AH4" s="26">
        <f>IFERROR(AG4-AF4,"")</f>
        <v>128602.73666666681</v>
      </c>
    </row>
    <row r="5" spans="1:37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IFERROR(AH4/F4,"")</f>
        <v>646.24490787269758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9.0133011393229115E-2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 t="s">
        <v>32</v>
      </c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</row>
    <row r="10" spans="1:37" x14ac:dyDescent="0.35">
      <c r="A10" s="20">
        <v>44816</v>
      </c>
      <c r="B10" s="21" t="s">
        <v>263</v>
      </c>
      <c r="C10" s="21" t="s">
        <v>150</v>
      </c>
      <c r="D10" s="44">
        <v>135887</v>
      </c>
      <c r="E10" s="21"/>
      <c r="F10" s="21">
        <v>5</v>
      </c>
      <c r="G10" s="21"/>
      <c r="H10" s="22">
        <v>2156</v>
      </c>
      <c r="I10" s="33">
        <v>0.5</v>
      </c>
      <c r="J10" s="24">
        <f>IFERROR(K10/H10,"")</f>
        <v>0.59922077922077921</v>
      </c>
      <c r="K10" s="22">
        <v>1291.92</v>
      </c>
      <c r="L10" s="22"/>
      <c r="M10" s="22"/>
      <c r="N10" s="22"/>
      <c r="O10" s="22"/>
      <c r="P10" s="22"/>
      <c r="Q10" s="22"/>
      <c r="R10" s="22"/>
      <c r="S10" s="22"/>
      <c r="T10" s="22"/>
      <c r="U10" s="25">
        <v>250</v>
      </c>
      <c r="V10" s="25">
        <f>H10*U10*I10/15</f>
        <v>17966.666666666668</v>
      </c>
      <c r="W10" s="25">
        <v>305.41000000000003</v>
      </c>
      <c r="X10" s="25">
        <v>26304.14</v>
      </c>
      <c r="Y10" s="82">
        <f>F10*120</f>
        <v>600</v>
      </c>
      <c r="Z10" s="25">
        <v>408</v>
      </c>
      <c r="AA10" s="25">
        <v>1100</v>
      </c>
      <c r="AB10" s="25">
        <v>125</v>
      </c>
      <c r="AC10" s="25">
        <v>0</v>
      </c>
      <c r="AD10" s="25">
        <f>IF(F10="",G10*3.83,F10*3.83)</f>
        <v>19.149999999999999</v>
      </c>
      <c r="AE10" s="25">
        <v>52.6</v>
      </c>
      <c r="AF10" s="25">
        <f>V10+Y10+Z10+AA10+AB10+AC10+AD10</f>
        <v>20218.816666666669</v>
      </c>
      <c r="AG10" s="25">
        <f>IFERROR(IFERROR((H10*W10*J10/15)-AE10,""),"")</f>
        <v>26251.752480000003</v>
      </c>
      <c r="AH10" s="26">
        <f>IFERROR(AG10-AF10,"")</f>
        <v>6032.9358133333335</v>
      </c>
    </row>
    <row r="11" spans="1:3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IFERROR(AH10/F10,"")</f>
        <v>1206.5871626666667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0.22981078379165537</v>
      </c>
      <c r="AJ12" s="6"/>
    </row>
    <row r="15" spans="1:37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7" x14ac:dyDescent="0.35">
      <c r="A16" s="20">
        <v>44816</v>
      </c>
      <c r="B16" s="21" t="s">
        <v>263</v>
      </c>
      <c r="C16" s="21" t="s">
        <v>150</v>
      </c>
      <c r="D16" s="44">
        <v>135887</v>
      </c>
      <c r="E16" s="21"/>
      <c r="F16" s="21">
        <v>26</v>
      </c>
      <c r="G16" s="21"/>
      <c r="H16" s="22">
        <v>13366</v>
      </c>
      <c r="I16" s="33">
        <v>0.53</v>
      </c>
      <c r="J16" s="24">
        <f>IFERROR(K16/H16,"")</f>
        <v>0.50261933263504421</v>
      </c>
      <c r="K16" s="22">
        <v>6718.01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270</v>
      </c>
      <c r="V16" s="25">
        <f>H16*U16*I16/15</f>
        <v>127511.64</v>
      </c>
      <c r="W16" s="25">
        <v>305.41000000000003</v>
      </c>
      <c r="X16" s="25">
        <v>136781.54999999999</v>
      </c>
      <c r="Y16" s="25">
        <f>F16*120</f>
        <v>3120</v>
      </c>
      <c r="Z16" s="25">
        <v>2121.6</v>
      </c>
      <c r="AA16" s="25">
        <v>0</v>
      </c>
      <c r="AB16" s="25">
        <v>702</v>
      </c>
      <c r="AC16" s="25">
        <v>0</v>
      </c>
      <c r="AD16" s="25">
        <f>F16*3.83</f>
        <v>99.58</v>
      </c>
      <c r="AE16" s="25">
        <v>273.56</v>
      </c>
      <c r="AF16" s="25">
        <f>V16+Y16+Z16+AA16+AB16+AC16+AD16</f>
        <v>133554.81999999998</v>
      </c>
      <c r="AG16" s="25">
        <f>IFERROR(IFERROR((H16*W16*J16/15)-AE16,""),"")</f>
        <v>136509.60227333338</v>
      </c>
      <c r="AH16" s="26">
        <f>IFERROR(AG16-AF16,"")</f>
        <v>2954.7822733334033</v>
      </c>
      <c r="AJ16" s="6"/>
      <c r="AK16" s="6"/>
    </row>
    <row r="17" spans="1:38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IFERROR(AH16/F16,"")</f>
        <v>113.64547205128474</v>
      </c>
      <c r="AK17" s="63"/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2.1645233918541777E-2</v>
      </c>
      <c r="AK18" s="63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11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K21" s="63"/>
    </row>
    <row r="22" spans="1:38" x14ac:dyDescent="0.35">
      <c r="A22" s="20">
        <v>44816</v>
      </c>
      <c r="B22" s="21" t="s">
        <v>263</v>
      </c>
      <c r="C22" s="21" t="s">
        <v>150</v>
      </c>
      <c r="D22" s="44">
        <v>135887</v>
      </c>
      <c r="E22" s="21"/>
      <c r="F22" s="21">
        <v>40</v>
      </c>
      <c r="G22" s="21"/>
      <c r="H22" s="22">
        <v>19511</v>
      </c>
      <c r="I22" s="33">
        <v>0.52</v>
      </c>
      <c r="J22" s="24">
        <f>IFERROR(K22/H22,"")</f>
        <v>0.52972169545384651</v>
      </c>
      <c r="K22" s="22">
        <v>10335.4</v>
      </c>
      <c r="L22" s="22"/>
      <c r="M22" s="22"/>
      <c r="N22" s="22"/>
      <c r="O22" s="22"/>
      <c r="P22" s="22"/>
      <c r="Q22" s="22"/>
      <c r="R22" s="22"/>
      <c r="S22" s="22"/>
      <c r="T22" s="22"/>
      <c r="U22" s="25">
        <v>270</v>
      </c>
      <c r="V22" s="25">
        <f>H22*U22*I22/15</f>
        <v>182622.96</v>
      </c>
      <c r="W22" s="25">
        <v>305.41000000000003</v>
      </c>
      <c r="X22" s="25">
        <v>210433.16</v>
      </c>
      <c r="Y22" s="25">
        <f>F22*120</f>
        <v>4800</v>
      </c>
      <c r="Z22" s="25">
        <v>3264</v>
      </c>
      <c r="AA22" s="25"/>
      <c r="AB22" s="25">
        <v>1080</v>
      </c>
      <c r="AC22" s="25">
        <v>0</v>
      </c>
      <c r="AD22" s="25">
        <f>IF(F22="",G22*3.83,F22*3.83)</f>
        <v>153.19999999999999</v>
      </c>
      <c r="AE22" s="25">
        <v>420.86</v>
      </c>
      <c r="AF22" s="25">
        <f>V22+Y22+Z22+AA22+AB22+AC22+AD22</f>
        <v>191920.16</v>
      </c>
      <c r="AG22" s="25">
        <f>IFERROR(IFERROR((H22*W22*J22/15)-AE22,""),"")</f>
        <v>210014.77426666667</v>
      </c>
      <c r="AH22" s="26">
        <f>IFERROR(AG22-AF22,"")</f>
        <v>18094.614266666671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452.3653566666668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8.6158768257375062E-2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8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8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 t="s">
        <v>32</v>
      </c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11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8" x14ac:dyDescent="0.35">
      <c r="A28" s="20">
        <v>44816</v>
      </c>
      <c r="B28" s="21" t="s">
        <v>263</v>
      </c>
      <c r="C28" s="21" t="s">
        <v>150</v>
      </c>
      <c r="D28" s="44">
        <v>135887</v>
      </c>
      <c r="E28" s="21"/>
      <c r="F28" s="21">
        <v>16</v>
      </c>
      <c r="G28" s="21"/>
      <c r="H28" s="22">
        <v>7701</v>
      </c>
      <c r="I28" s="33">
        <v>0.51</v>
      </c>
      <c r="J28" s="24">
        <f>IFERROR(K28/H28,"")</f>
        <v>0.53683417737956107</v>
      </c>
      <c r="K28" s="22">
        <v>4134.16</v>
      </c>
      <c r="L28" s="22"/>
      <c r="M28" s="22"/>
      <c r="N28" s="22"/>
      <c r="O28" s="22"/>
      <c r="P28" s="22"/>
      <c r="Q28" s="22"/>
      <c r="R28" s="22"/>
      <c r="S28" s="22"/>
      <c r="T28" s="22"/>
      <c r="U28" s="25">
        <v>270</v>
      </c>
      <c r="V28" s="25">
        <f>H28*U28*I28/15</f>
        <v>70695.179999999993</v>
      </c>
      <c r="W28" s="25">
        <v>305.41000000000003</v>
      </c>
      <c r="X28" s="25">
        <v>84173.26</v>
      </c>
      <c r="Y28" s="25">
        <f>F28*120</f>
        <v>1920</v>
      </c>
      <c r="Z28" s="25">
        <v>1305.5999999999999</v>
      </c>
      <c r="AA28" s="25"/>
      <c r="AB28" s="25">
        <v>432</v>
      </c>
      <c r="AC28" s="25">
        <f>G28*30</f>
        <v>0</v>
      </c>
      <c r="AD28" s="25">
        <f>IF(F28="",G28*3.83,F28*3.83)</f>
        <v>61.28</v>
      </c>
      <c r="AE28" s="25">
        <v>168.34</v>
      </c>
      <c r="AF28" s="25">
        <f>V28+Y28+Z28+AA28+AB28+AC28+AD28</f>
        <v>74414.06</v>
      </c>
      <c r="AG28" s="25">
        <f>IFERROR(IFERROR((H28*W28*J28/15)-AE28,""),"")</f>
        <v>84005.913706666674</v>
      </c>
      <c r="AH28" s="26">
        <f>IFERROR(AG28-AF28,"")</f>
        <v>9591.8537066666759</v>
      </c>
      <c r="AJ28">
        <f>F4+G4+F10+G10+F16+G16+F22+G22+F28+G28+F34+G34+F40+G40+F46+G46+F52+G52+F58+G58+F64+G64+F70+G70+F76+G76+F82+G82+F88+G88+F94+G94+F100+G100+F106+G106+F112+G112+F118+G118</f>
        <v>1251</v>
      </c>
      <c r="AK28" s="50" t="s">
        <v>22</v>
      </c>
      <c r="AL28" t="s">
        <v>72</v>
      </c>
    </row>
    <row r="29" spans="1:38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599.49085666666724</v>
      </c>
      <c r="AJ29" s="11">
        <f>AH4+AH10+AH16+AH22+AH28+AH34+AH40+AH46+AH52+AH58+AH64+AH70+AH76+AH82+AH88+AH94+AH100+AH106+AH112+AH118</f>
        <v>832955.27500999975</v>
      </c>
      <c r="AK29" s="11">
        <f>AJ29*30%</f>
        <v>249886.58250299993</v>
      </c>
    </row>
    <row r="30" spans="1:38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0.11418069613717528</v>
      </c>
      <c r="AJ30" s="11"/>
      <c r="AK30" s="11"/>
    </row>
    <row r="31" spans="1:38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8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7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32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11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37" x14ac:dyDescent="0.35">
      <c r="A34" s="20">
        <v>44816</v>
      </c>
      <c r="B34" s="21" t="s">
        <v>263</v>
      </c>
      <c r="C34" s="21" t="s">
        <v>150</v>
      </c>
      <c r="D34" s="44">
        <v>135887</v>
      </c>
      <c r="E34" s="21"/>
      <c r="F34" s="21">
        <v>13</v>
      </c>
      <c r="G34" s="21"/>
      <c r="H34" s="22">
        <v>6291</v>
      </c>
      <c r="I34" s="33">
        <v>0.5</v>
      </c>
      <c r="J34" s="24">
        <f>IFERROR(K34/H34,"")</f>
        <v>0.53393816563344465</v>
      </c>
      <c r="K34" s="22">
        <v>3359.0050000000001</v>
      </c>
      <c r="L34" s="22"/>
      <c r="M34" s="22"/>
      <c r="N34" s="22"/>
      <c r="O34" s="22"/>
      <c r="P34" s="22"/>
      <c r="Q34" s="22"/>
      <c r="R34" s="22"/>
      <c r="S34" s="22"/>
      <c r="T34" s="22"/>
      <c r="U34" s="25">
        <v>270</v>
      </c>
      <c r="V34" s="25">
        <f>H34*U34*I34/15</f>
        <v>56619</v>
      </c>
      <c r="W34" s="25">
        <v>305.41000000000003</v>
      </c>
      <c r="X34" s="25">
        <v>68390.77</v>
      </c>
      <c r="Y34" s="25">
        <f>F34*120</f>
        <v>1560</v>
      </c>
      <c r="Z34" s="25">
        <v>1060.8</v>
      </c>
      <c r="AA34" s="25"/>
      <c r="AB34" s="25">
        <v>351</v>
      </c>
      <c r="AC34" s="25">
        <v>0</v>
      </c>
      <c r="AD34" s="25">
        <f>IF(F34="",G34*3.83,F34*3.83)</f>
        <v>49.79</v>
      </c>
      <c r="AE34" s="25">
        <v>136.78</v>
      </c>
      <c r="AF34" s="25">
        <f>V34+Y34+Z34+AA34+AB34+AC34+AD34</f>
        <v>59640.590000000004</v>
      </c>
      <c r="AG34" s="25">
        <f>IFERROR(IFERROR((H34*W34*J34/15)-AE34,""),"")</f>
        <v>68254.801136666676</v>
      </c>
      <c r="AH34" s="26">
        <f>IFERROR(AG34-AF34,"")</f>
        <v>8614.2111366666722</v>
      </c>
    </row>
    <row r="35" spans="1:37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662.63162589743638</v>
      </c>
    </row>
    <row r="36" spans="1:37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0.12620666961461693</v>
      </c>
    </row>
    <row r="37" spans="1:37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7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37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 t="s">
        <v>32</v>
      </c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</row>
    <row r="40" spans="1:37" x14ac:dyDescent="0.35">
      <c r="A40" s="20">
        <v>44816</v>
      </c>
      <c r="B40" s="21" t="s">
        <v>239</v>
      </c>
      <c r="C40" s="21" t="s">
        <v>141</v>
      </c>
      <c r="D40" s="44">
        <v>136503</v>
      </c>
      <c r="E40" s="21"/>
      <c r="F40" s="21"/>
      <c r="G40" s="21">
        <v>127</v>
      </c>
      <c r="H40" s="22">
        <v>48641</v>
      </c>
      <c r="I40" s="33">
        <v>0.5</v>
      </c>
      <c r="J40" s="24">
        <f>IFERROR(K40/H40,"")</f>
        <v>0.52645915996792825</v>
      </c>
      <c r="K40" s="22">
        <v>25607.5</v>
      </c>
      <c r="L40" s="22"/>
      <c r="M40" s="22"/>
      <c r="N40" s="22"/>
      <c r="O40" s="22"/>
      <c r="P40" s="22"/>
      <c r="Q40" s="22"/>
      <c r="R40" s="22"/>
      <c r="S40" s="22"/>
      <c r="T40" s="22"/>
      <c r="U40" s="25">
        <v>260</v>
      </c>
      <c r="V40" s="25">
        <f>H40*U40*I40/15</f>
        <v>421555.33333333331</v>
      </c>
      <c r="W40" s="25">
        <v>306.07</v>
      </c>
      <c r="X40" s="25">
        <v>522517.1</v>
      </c>
      <c r="Y40" s="25">
        <v>10200</v>
      </c>
      <c r="Z40" s="25">
        <v>26832.400000000001</v>
      </c>
      <c r="AA40" s="25">
        <v>28709.11</v>
      </c>
      <c r="AB40" s="25">
        <v>3380</v>
      </c>
      <c r="AC40" s="25">
        <f>G40*30</f>
        <v>3810</v>
      </c>
      <c r="AD40" s="25">
        <f>IF(F40="",G40*3.83,F40*3.83)</f>
        <v>486.41</v>
      </c>
      <c r="AE40" s="25">
        <v>1045.03</v>
      </c>
      <c r="AF40" s="25">
        <f>V40+Y40+Z40+AA40+AB40+AC40+AD40</f>
        <v>494973.2533333333</v>
      </c>
      <c r="AG40" s="25">
        <f>IFERROR(IFERROR((H40*W40*J40/15)-AE40,""),"")</f>
        <v>521467.47166666656</v>
      </c>
      <c r="AH40" s="26">
        <f>IFERROR(AG40-AF40,"")</f>
        <v>26494.218333333265</v>
      </c>
    </row>
    <row r="41" spans="1:37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AH40/G40</f>
        <v>208.6158923884509</v>
      </c>
      <c r="AJ41" s="11"/>
      <c r="AK41" s="11"/>
    </row>
    <row r="42" spans="1:37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5.0807039312835506E-2</v>
      </c>
      <c r="AJ42" s="11"/>
      <c r="AK42" s="11"/>
    </row>
    <row r="43" spans="1:37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</row>
    <row r="44" spans="1:37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</row>
    <row r="45" spans="1:37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 t="s">
        <v>32</v>
      </c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11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</row>
    <row r="46" spans="1:37" x14ac:dyDescent="0.35">
      <c r="A46" s="20">
        <v>44817</v>
      </c>
      <c r="B46" s="21" t="s">
        <v>264</v>
      </c>
      <c r="C46" s="21" t="s">
        <v>177</v>
      </c>
      <c r="D46" s="44">
        <v>135893</v>
      </c>
      <c r="E46" s="21"/>
      <c r="F46" s="21">
        <v>1</v>
      </c>
      <c r="G46" s="21">
        <v>0</v>
      </c>
      <c r="H46" s="22">
        <v>772</v>
      </c>
      <c r="I46" s="33">
        <v>0.5</v>
      </c>
      <c r="J46" s="24">
        <f>IFERROR(K46/H46,"")</f>
        <v>0.39365284974093262</v>
      </c>
      <c r="K46" s="22">
        <v>303.89999999999998</v>
      </c>
      <c r="L46" s="22"/>
      <c r="M46" s="22"/>
      <c r="N46" s="22"/>
      <c r="O46" s="22"/>
      <c r="P46" s="22"/>
      <c r="Q46" s="22"/>
      <c r="R46" s="22"/>
      <c r="S46" s="22"/>
      <c r="T46" s="22"/>
      <c r="U46" s="25">
        <v>240</v>
      </c>
      <c r="V46" s="25">
        <f>H46*U46*I46/15</f>
        <v>6176</v>
      </c>
      <c r="W46" s="25">
        <v>313.67</v>
      </c>
      <c r="X46" s="25">
        <v>6355.01</v>
      </c>
      <c r="Y46" s="25">
        <f>F46*80</f>
        <v>80</v>
      </c>
      <c r="Z46" s="25">
        <v>112.88</v>
      </c>
      <c r="AA46" s="25"/>
      <c r="AB46" s="25">
        <v>27.22</v>
      </c>
      <c r="AC46" s="25">
        <f>F46*30</f>
        <v>30</v>
      </c>
      <c r="AD46" s="25">
        <f>IF(F46="",G46*3.83,F46*3.83)</f>
        <v>3.83</v>
      </c>
      <c r="AE46" s="25">
        <v>12.71</v>
      </c>
      <c r="AF46" s="25">
        <f>V46+Y46+Z46+AA46+AB46+AC46+AD46</f>
        <v>6429.93</v>
      </c>
      <c r="AG46" s="25">
        <f>IFERROR(IFERROR((H46*W46*J46/15)-AE46,""),"")</f>
        <v>6342.244200000001</v>
      </c>
      <c r="AH46" s="26">
        <f>IFERROR(AG46-AF46,"")</f>
        <v>-87.68579999999929</v>
      </c>
    </row>
    <row r="47" spans="1:3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-87.68579999999929</v>
      </c>
    </row>
    <row r="48" spans="1:3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-1.382567388370181E-2</v>
      </c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</row>
    <row r="51" spans="1:59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 t="s">
        <v>32</v>
      </c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11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47"/>
    </row>
    <row r="52" spans="1:59" x14ac:dyDescent="0.35">
      <c r="A52" s="20">
        <v>44817</v>
      </c>
      <c r="B52" s="21" t="s">
        <v>264</v>
      </c>
      <c r="C52" s="21" t="s">
        <v>177</v>
      </c>
      <c r="D52" s="44">
        <v>135893</v>
      </c>
      <c r="E52" s="21"/>
      <c r="F52" s="21">
        <v>8</v>
      </c>
      <c r="G52" s="21"/>
      <c r="H52" s="22">
        <v>4244</v>
      </c>
      <c r="I52" s="33">
        <v>0.5</v>
      </c>
      <c r="J52" s="24">
        <f>IFERROR(K52/H52,"")</f>
        <v>0.57286993402450526</v>
      </c>
      <c r="K52" s="22">
        <v>2431.2600000000002</v>
      </c>
      <c r="L52" s="22"/>
      <c r="M52" s="22"/>
      <c r="N52" s="22"/>
      <c r="O52" s="22"/>
      <c r="P52" s="22"/>
      <c r="Q52" s="22"/>
      <c r="R52" s="22"/>
      <c r="S52" s="22"/>
      <c r="T52" s="22"/>
      <c r="U52" s="25">
        <v>272.5</v>
      </c>
      <c r="V52" s="25">
        <f>H52*U52*I52/15</f>
        <v>38549.666666666664</v>
      </c>
      <c r="W52" s="25">
        <v>313.67</v>
      </c>
      <c r="X52" s="25">
        <v>50840.13</v>
      </c>
      <c r="Y52" s="25">
        <f>F52*80</f>
        <v>640</v>
      </c>
      <c r="Z52" s="25">
        <v>903.07</v>
      </c>
      <c r="AA52" s="25"/>
      <c r="AB52" s="25">
        <v>217.76</v>
      </c>
      <c r="AC52" s="25">
        <f>F52*30</f>
        <v>240</v>
      </c>
      <c r="AD52" s="25">
        <f>IF(F52="",G52*3.83,F52*3.83)</f>
        <v>30.64</v>
      </c>
      <c r="AE52" s="25">
        <v>101.68</v>
      </c>
      <c r="AF52" s="25">
        <f>V52+Y52+Z52+AA52+AB52+AC52+AD52</f>
        <v>40581.136666666665</v>
      </c>
      <c r="AG52" s="25">
        <f>IFERROR(IFERROR((H52*W52*J52/15)-AE52,""),"")</f>
        <v>50739.208279999999</v>
      </c>
      <c r="AH52" s="26">
        <f>IFERROR(AG52-AF52,"")</f>
        <v>10158.071613333334</v>
      </c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47"/>
    </row>
    <row r="53" spans="1:5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1269.7589516666667</v>
      </c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4"/>
    </row>
    <row r="54" spans="1:5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3"/>
      <c r="AA54" s="21"/>
      <c r="AB54" s="21"/>
      <c r="AC54" s="21"/>
      <c r="AD54" s="21"/>
      <c r="AE54" s="21"/>
      <c r="AF54" s="21"/>
      <c r="AG54" s="21"/>
      <c r="AH54" s="27">
        <f>IFERROR(AH52/AG52,"")</f>
        <v>0.20020161838704459</v>
      </c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4"/>
    </row>
    <row r="55" spans="1:5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48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4"/>
    </row>
    <row r="56" spans="1:5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3"/>
      <c r="AA56" s="21"/>
      <c r="AB56" s="21"/>
      <c r="AC56" s="21"/>
      <c r="AD56" s="21"/>
      <c r="AE56" s="21"/>
      <c r="AF56" s="21"/>
      <c r="AG56" s="21"/>
      <c r="AH56" s="48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4"/>
    </row>
    <row r="57" spans="1:59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 t="s">
        <v>32</v>
      </c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11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4"/>
    </row>
    <row r="58" spans="1:59" x14ac:dyDescent="0.35">
      <c r="A58" s="20">
        <v>44817</v>
      </c>
      <c r="B58" s="21" t="s">
        <v>264</v>
      </c>
      <c r="C58" s="21" t="s">
        <v>177</v>
      </c>
      <c r="D58" s="44">
        <v>135893</v>
      </c>
      <c r="E58" s="21"/>
      <c r="F58" s="21">
        <v>52</v>
      </c>
      <c r="G58" s="21"/>
      <c r="H58" s="22">
        <v>29100</v>
      </c>
      <c r="I58" s="33">
        <v>0.54</v>
      </c>
      <c r="J58" s="24">
        <f>IFERROR(K58/H58,"")</f>
        <v>0.5430659793814433</v>
      </c>
      <c r="K58" s="22">
        <v>15803.22</v>
      </c>
      <c r="L58" s="22"/>
      <c r="M58" s="22"/>
      <c r="N58" s="22"/>
      <c r="O58" s="22"/>
      <c r="P58" s="22"/>
      <c r="Q58" s="22"/>
      <c r="R58" s="22"/>
      <c r="S58" s="22"/>
      <c r="T58" s="22"/>
      <c r="U58" s="25">
        <v>272.5</v>
      </c>
      <c r="V58" s="25">
        <f>H58*U58*I58/15</f>
        <v>285471</v>
      </c>
      <c r="W58" s="25">
        <v>313.67</v>
      </c>
      <c r="X58" s="25">
        <v>330460.90000000002</v>
      </c>
      <c r="Y58" s="25">
        <f>F58*80</f>
        <v>4160</v>
      </c>
      <c r="Z58" s="25">
        <v>5870.01</v>
      </c>
      <c r="AA58" s="25"/>
      <c r="AB58" s="25">
        <v>1415.5</v>
      </c>
      <c r="AC58" s="25">
        <f>F58*30</f>
        <v>1560</v>
      </c>
      <c r="AD58" s="25">
        <f>IF(F58="",G58*3.83,F58*3.83)</f>
        <v>199.16</v>
      </c>
      <c r="AE58" s="25">
        <v>660.92</v>
      </c>
      <c r="AF58" s="25">
        <f>V58+Y58+Z58+AA58+AB58+AC58+AD58</f>
        <v>298675.67</v>
      </c>
      <c r="AG58" s="25">
        <f>IFERROR(IFERROR((H58*W58*J58/15)-AE58,""),"")</f>
        <v>329805.48116000002</v>
      </c>
      <c r="AH58" s="26">
        <f>IFERROR(AG58-AF58,"")</f>
        <v>31129.811160000041</v>
      </c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4"/>
    </row>
    <row r="59" spans="1:59" x14ac:dyDescent="0.35">
      <c r="A59" s="21"/>
      <c r="B59" s="21"/>
      <c r="C59" s="21"/>
      <c r="D59" s="21"/>
      <c r="E59" s="21"/>
      <c r="F59" s="21"/>
      <c r="G59" s="21"/>
      <c r="H59" s="44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598.65021461538538</v>
      </c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4"/>
    </row>
    <row r="60" spans="1:5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7">
        <f>IFERROR(AH58/AG58,"")</f>
        <v>9.4388398429612191E-2</v>
      </c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4"/>
    </row>
    <row r="61" spans="1:5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3"/>
      <c r="AA61" s="21"/>
      <c r="AB61" s="21"/>
      <c r="AC61" s="21"/>
      <c r="AD61" s="21"/>
      <c r="AE61" s="21"/>
      <c r="AF61" s="21"/>
      <c r="AG61" s="21"/>
      <c r="AH61" s="48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4"/>
    </row>
    <row r="62" spans="1:5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3"/>
      <c r="AA62" s="21"/>
      <c r="AB62" s="21"/>
      <c r="AC62" s="21"/>
      <c r="AD62" s="21"/>
      <c r="AE62" s="21"/>
      <c r="AF62" s="21"/>
      <c r="AG62" s="21"/>
      <c r="AH62" s="48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4"/>
    </row>
    <row r="63" spans="1:5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32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11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4"/>
    </row>
    <row r="64" spans="1:59" x14ac:dyDescent="0.35">
      <c r="A64" s="20">
        <v>44817</v>
      </c>
      <c r="B64" s="21" t="s">
        <v>265</v>
      </c>
      <c r="C64" s="21" t="s">
        <v>177</v>
      </c>
      <c r="D64" s="44">
        <v>135893</v>
      </c>
      <c r="E64" s="21"/>
      <c r="F64" s="21">
        <v>52</v>
      </c>
      <c r="G64" s="21"/>
      <c r="H64" s="22">
        <v>28200</v>
      </c>
      <c r="I64" s="33">
        <v>0.54</v>
      </c>
      <c r="J64" s="24">
        <f>IFERROR(K64/H64,"")</f>
        <v>0.56039787234042548</v>
      </c>
      <c r="K64" s="22">
        <v>15803.22</v>
      </c>
      <c r="L64" s="22"/>
      <c r="M64" s="22"/>
      <c r="N64" s="22"/>
      <c r="O64" s="22"/>
      <c r="P64" s="22"/>
      <c r="Q64" s="22"/>
      <c r="R64" s="22"/>
      <c r="S64" s="22"/>
      <c r="T64" s="22"/>
      <c r="U64" s="25">
        <v>272.5</v>
      </c>
      <c r="V64" s="25">
        <f>H64*U64*I64/15</f>
        <v>276642.00000000006</v>
      </c>
      <c r="W64" s="25">
        <v>313.67</v>
      </c>
      <c r="X64" s="25">
        <v>330460.90000000002</v>
      </c>
      <c r="Y64" s="25">
        <f>F64*80</f>
        <v>4160</v>
      </c>
      <c r="Z64" s="25">
        <v>5870.01</v>
      </c>
      <c r="AA64" s="25"/>
      <c r="AB64" s="25">
        <v>1415.5</v>
      </c>
      <c r="AC64" s="25">
        <f>F64*30</f>
        <v>1560</v>
      </c>
      <c r="AD64" s="25">
        <f>IF(F64="",G64*3.83,F64*3.83)</f>
        <v>199.16</v>
      </c>
      <c r="AE64" s="25">
        <v>660.92</v>
      </c>
      <c r="AF64" s="25">
        <f>V64+Y64+Z64+AA64+AB64+AC64+AD64</f>
        <v>289846.67000000004</v>
      </c>
      <c r="AG64" s="25">
        <f>IFERROR(IFERROR((H64*W64*J64/15)-AE64,""),"")</f>
        <v>329805.48115999997</v>
      </c>
      <c r="AH64" s="26">
        <f>IFERROR(AG64-AF64,"")</f>
        <v>39958.811159999925</v>
      </c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4"/>
    </row>
    <row r="65" spans="1:59" x14ac:dyDescent="0.35">
      <c r="A65" s="21"/>
      <c r="B65" s="21"/>
      <c r="C65" s="21"/>
      <c r="D65" s="21"/>
      <c r="E65" s="21"/>
      <c r="F65" s="21"/>
      <c r="G65" s="21"/>
      <c r="H65" s="44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768.43867615384465</v>
      </c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4"/>
    </row>
    <row r="66" spans="1:59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3"/>
      <c r="AA66" s="21"/>
      <c r="AB66" s="21"/>
      <c r="AC66" s="21"/>
      <c r="AD66" s="21"/>
      <c r="AE66" s="21"/>
      <c r="AF66" s="21"/>
      <c r="AG66" s="21"/>
      <c r="AH66" s="27">
        <f>IFERROR(AH64/AG64,"")</f>
        <v>0.12115872367995768</v>
      </c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4"/>
    </row>
    <row r="67" spans="1:59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3"/>
      <c r="AA67" s="21"/>
      <c r="AB67" s="21"/>
      <c r="AC67" s="21"/>
      <c r="AD67" s="21"/>
      <c r="AE67" s="21"/>
      <c r="AF67" s="21"/>
      <c r="AG67" s="21"/>
      <c r="AH67" s="48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4"/>
    </row>
    <row r="68" spans="1:59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3"/>
      <c r="AA68" s="21"/>
      <c r="AB68" s="21"/>
      <c r="AC68" s="21"/>
      <c r="AD68" s="21"/>
      <c r="AE68" s="21"/>
      <c r="AF68" s="21"/>
      <c r="AG68" s="21"/>
      <c r="AH68" s="48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4"/>
    </row>
    <row r="69" spans="1:59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 t="s">
        <v>32</v>
      </c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11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</row>
    <row r="70" spans="1:59" x14ac:dyDescent="0.35">
      <c r="A70" s="20">
        <v>44817</v>
      </c>
      <c r="B70" s="21" t="s">
        <v>266</v>
      </c>
      <c r="C70" s="21" t="s">
        <v>177</v>
      </c>
      <c r="D70" s="44">
        <v>135893</v>
      </c>
      <c r="E70" s="21"/>
      <c r="F70" s="21">
        <v>91</v>
      </c>
      <c r="G70" s="21"/>
      <c r="H70" s="22">
        <v>48872</v>
      </c>
      <c r="I70" s="33">
        <v>0.54</v>
      </c>
      <c r="J70" s="24">
        <f>IFERROR(K70/H70,"")</f>
        <v>0.56587903093796033</v>
      </c>
      <c r="K70" s="22">
        <v>27655.64</v>
      </c>
      <c r="L70" s="22"/>
      <c r="M70" s="22"/>
      <c r="N70" s="22"/>
      <c r="O70" s="22"/>
      <c r="P70" s="22"/>
      <c r="Q70" s="22"/>
      <c r="R70" s="22"/>
      <c r="S70" s="22"/>
      <c r="T70" s="22"/>
      <c r="U70" s="25">
        <v>272.5</v>
      </c>
      <c r="V70" s="25">
        <f>H70*U70*I70/15</f>
        <v>479434.32000000007</v>
      </c>
      <c r="W70" s="25">
        <v>313.67</v>
      </c>
      <c r="X70" s="25">
        <v>578306.56999999995</v>
      </c>
      <c r="Y70" s="25">
        <f>F70*80</f>
        <v>7280</v>
      </c>
      <c r="Z70" s="25">
        <v>12163.98</v>
      </c>
      <c r="AA70" s="25"/>
      <c r="AB70" s="25">
        <v>2479.75</v>
      </c>
      <c r="AC70" s="25">
        <f>F70*30</f>
        <v>2730</v>
      </c>
      <c r="AD70" s="25">
        <f>IF(F70="",G70*3.83,F70*3.83)</f>
        <v>348.53000000000003</v>
      </c>
      <c r="AE70" s="25">
        <v>1156.6099999999999</v>
      </c>
      <c r="AF70" s="25">
        <f>V70+Y70+Z70+AA70+AB70+AC70+AD70</f>
        <v>504436.58000000007</v>
      </c>
      <c r="AG70" s="25">
        <f>IFERROR(IFERROR((H70*W70*J70/15)-AE70,""),"")</f>
        <v>577159.69658666663</v>
      </c>
      <c r="AH70" s="26">
        <f>IFERROR(AG70-AF70,"")</f>
        <v>72723.116586666554</v>
      </c>
    </row>
    <row r="71" spans="1:59" x14ac:dyDescent="0.35">
      <c r="A71" s="21"/>
      <c r="B71" s="21"/>
      <c r="C71" s="21"/>
      <c r="D71" s="21"/>
      <c r="E71" s="21"/>
      <c r="F71" s="21"/>
      <c r="G71" s="21"/>
      <c r="H71" s="44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AH70/F70</f>
        <v>799.1551273260061</v>
      </c>
    </row>
    <row r="72" spans="1:59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3"/>
      <c r="AA72" s="21"/>
      <c r="AB72" s="21"/>
      <c r="AC72" s="21"/>
      <c r="AD72" s="21"/>
      <c r="AE72" s="21"/>
      <c r="AF72" s="21"/>
      <c r="AG72" s="21"/>
      <c r="AH72" s="27">
        <f>IFERROR(AH70/AG70,"")</f>
        <v>0.1260017236420915</v>
      </c>
    </row>
    <row r="73" spans="1:59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3"/>
      <c r="AA73" s="21"/>
      <c r="AB73" s="21"/>
      <c r="AC73" s="21"/>
      <c r="AD73" s="21"/>
      <c r="AE73" s="21"/>
      <c r="AF73" s="21"/>
      <c r="AG73" s="21"/>
      <c r="AH73" s="48"/>
    </row>
    <row r="74" spans="1:59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3"/>
      <c r="AA74" s="21"/>
      <c r="AB74" s="21"/>
      <c r="AC74" s="21"/>
      <c r="AD74" s="21"/>
      <c r="AE74" s="21"/>
      <c r="AF74" s="21"/>
      <c r="AG74" s="21"/>
      <c r="AH74" s="48"/>
    </row>
    <row r="75" spans="1:59" x14ac:dyDescent="0.35">
      <c r="A75" s="14" t="s">
        <v>1</v>
      </c>
      <c r="B75" s="14" t="s">
        <v>2</v>
      </c>
      <c r="C75" s="14" t="s">
        <v>110</v>
      </c>
      <c r="D75" s="14" t="s">
        <v>66</v>
      </c>
      <c r="E75" s="14" t="s">
        <v>32</v>
      </c>
      <c r="F75" s="14" t="s">
        <v>137</v>
      </c>
      <c r="G75" s="14" t="s">
        <v>138</v>
      </c>
      <c r="H75" s="14" t="s">
        <v>4</v>
      </c>
      <c r="I75" s="14" t="s">
        <v>5</v>
      </c>
      <c r="J75" s="14" t="s">
        <v>6</v>
      </c>
      <c r="K75" s="14" t="s">
        <v>7</v>
      </c>
      <c r="L75" s="14" t="s">
        <v>279</v>
      </c>
      <c r="M75" s="14" t="s">
        <v>280</v>
      </c>
      <c r="N75" s="14" t="s">
        <v>281</v>
      </c>
      <c r="O75" s="14" t="s">
        <v>282</v>
      </c>
      <c r="P75" s="14" t="s">
        <v>283</v>
      </c>
      <c r="Q75" s="14" t="s">
        <v>284</v>
      </c>
      <c r="R75" s="14" t="s">
        <v>904</v>
      </c>
      <c r="S75" s="14" t="s">
        <v>285</v>
      </c>
      <c r="T75" s="14" t="s">
        <v>289</v>
      </c>
      <c r="U75" s="14" t="s">
        <v>8</v>
      </c>
      <c r="V75" s="14" t="s">
        <v>9</v>
      </c>
      <c r="W75" s="14" t="s">
        <v>10</v>
      </c>
      <c r="X75" s="14" t="s">
        <v>100</v>
      </c>
      <c r="Y75" s="14" t="s">
        <v>106</v>
      </c>
      <c r="Z75" s="14" t="s">
        <v>12</v>
      </c>
      <c r="AA75" s="14" t="s">
        <v>11</v>
      </c>
      <c r="AB75" s="14" t="s">
        <v>13</v>
      </c>
      <c r="AC75" s="14" t="s">
        <v>74</v>
      </c>
      <c r="AD75" s="14" t="s">
        <v>21</v>
      </c>
      <c r="AE75" s="14" t="s">
        <v>14</v>
      </c>
      <c r="AF75" s="14" t="s">
        <v>15</v>
      </c>
      <c r="AG75" s="14" t="s">
        <v>16</v>
      </c>
      <c r="AH75" s="15" t="s">
        <v>17</v>
      </c>
    </row>
    <row r="76" spans="1:59" x14ac:dyDescent="0.35">
      <c r="A76" s="20">
        <v>44817</v>
      </c>
      <c r="B76" s="21" t="s">
        <v>266</v>
      </c>
      <c r="C76" s="21" t="s">
        <v>177</v>
      </c>
      <c r="D76" s="44">
        <v>135893</v>
      </c>
      <c r="E76" s="21"/>
      <c r="F76" s="21">
        <v>3</v>
      </c>
      <c r="G76" s="21"/>
      <c r="H76" s="22">
        <v>1421</v>
      </c>
      <c r="I76" s="33">
        <v>0.5</v>
      </c>
      <c r="J76" s="24">
        <f>IFERROR(K76/H76,"")</f>
        <v>0.64160450387051371</v>
      </c>
      <c r="K76" s="22">
        <v>911.72</v>
      </c>
      <c r="L76" s="22"/>
      <c r="M76" s="22"/>
      <c r="N76" s="22"/>
      <c r="O76" s="22"/>
      <c r="P76" s="22"/>
      <c r="Q76" s="22"/>
      <c r="R76" s="22"/>
      <c r="S76" s="22"/>
      <c r="T76" s="22"/>
      <c r="U76" s="25">
        <v>272.5</v>
      </c>
      <c r="V76" s="25">
        <f>H76*U76*I76/15</f>
        <v>12907.416666666666</v>
      </c>
      <c r="W76" s="25">
        <v>313.67</v>
      </c>
      <c r="X76" s="25">
        <v>19065.05</v>
      </c>
      <c r="Y76" s="25">
        <v>0</v>
      </c>
      <c r="Z76" s="25">
        <v>401.01</v>
      </c>
      <c r="AA76" s="25"/>
      <c r="AB76" s="25">
        <v>81.75</v>
      </c>
      <c r="AC76" s="25">
        <f>F76*30</f>
        <v>90</v>
      </c>
      <c r="AD76" s="25">
        <f>IF(F76="",G76*3.83,F76*3.83)</f>
        <v>11.49</v>
      </c>
      <c r="AE76" s="25">
        <v>38.130000000000003</v>
      </c>
      <c r="AF76" s="25">
        <f>V76+Y76+Z76+AA76+AB76+AC76+AD76</f>
        <v>13491.666666666666</v>
      </c>
      <c r="AG76" s="25">
        <f>IFERROR(IFERROR((H76*W76*J76/15)-AE76,""),"")</f>
        <v>19027.150826666668</v>
      </c>
      <c r="AH76" s="26">
        <f>IFERROR(AG76-AF76,"")</f>
        <v>5535.4841600000018</v>
      </c>
    </row>
    <row r="77" spans="1:59" x14ac:dyDescent="0.35">
      <c r="A77" s="21"/>
      <c r="B77" s="21"/>
      <c r="C77" s="21"/>
      <c r="D77" s="21"/>
      <c r="E77" s="21"/>
      <c r="F77" s="21"/>
      <c r="G77" s="21"/>
      <c r="H77" s="44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AH76/F76</f>
        <v>1845.1613866666673</v>
      </c>
    </row>
    <row r="78" spans="1:59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3"/>
      <c r="AA78" s="21"/>
      <c r="AB78" s="21"/>
      <c r="AC78" s="21"/>
      <c r="AD78" s="21"/>
      <c r="AE78" s="21"/>
      <c r="AF78" s="21"/>
      <c r="AG78" s="21"/>
      <c r="AH78" s="27">
        <f>IFERROR(AH76/AG76,"")</f>
        <v>0.29092554163401002</v>
      </c>
    </row>
    <row r="79" spans="1:59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3"/>
      <c r="AA79" s="21"/>
      <c r="AB79" s="21"/>
      <c r="AC79" s="21"/>
      <c r="AD79" s="21"/>
      <c r="AE79" s="21"/>
      <c r="AF79" s="21"/>
      <c r="AG79" s="21"/>
      <c r="AH79" s="48"/>
    </row>
    <row r="80" spans="1:59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48"/>
    </row>
    <row r="81" spans="1:34" x14ac:dyDescent="0.35">
      <c r="A81" s="14" t="s">
        <v>1</v>
      </c>
      <c r="B81" s="14" t="s">
        <v>2</v>
      </c>
      <c r="C81" s="14" t="s">
        <v>110</v>
      </c>
      <c r="D81" s="14" t="s">
        <v>66</v>
      </c>
      <c r="E81" s="14" t="s">
        <v>32</v>
      </c>
      <c r="F81" s="14" t="s">
        <v>137</v>
      </c>
      <c r="G81" s="14" t="s">
        <v>138</v>
      </c>
      <c r="H81" s="14" t="s">
        <v>4</v>
      </c>
      <c r="I81" s="14" t="s">
        <v>5</v>
      </c>
      <c r="J81" s="14" t="s">
        <v>6</v>
      </c>
      <c r="K81" s="14" t="s">
        <v>7</v>
      </c>
      <c r="L81" s="14" t="s">
        <v>279</v>
      </c>
      <c r="M81" s="14" t="s">
        <v>280</v>
      </c>
      <c r="N81" s="14" t="s">
        <v>281</v>
      </c>
      <c r="O81" s="14" t="s">
        <v>282</v>
      </c>
      <c r="P81" s="14" t="s">
        <v>283</v>
      </c>
      <c r="Q81" s="14" t="s">
        <v>284</v>
      </c>
      <c r="R81" s="14" t="s">
        <v>904</v>
      </c>
      <c r="S81" s="14" t="s">
        <v>285</v>
      </c>
      <c r="T81" s="14" t="s">
        <v>289</v>
      </c>
      <c r="U81" s="14" t="s">
        <v>8</v>
      </c>
      <c r="V81" s="14" t="s">
        <v>9</v>
      </c>
      <c r="W81" s="14" t="s">
        <v>10</v>
      </c>
      <c r="X81" s="14" t="s">
        <v>100</v>
      </c>
      <c r="Y81" s="14" t="s">
        <v>106</v>
      </c>
      <c r="Z81" s="14" t="s">
        <v>12</v>
      </c>
      <c r="AA81" s="14" t="s">
        <v>11</v>
      </c>
      <c r="AB81" s="14" t="s">
        <v>13</v>
      </c>
      <c r="AC81" s="14" t="s">
        <v>74</v>
      </c>
      <c r="AD81" s="14" t="s">
        <v>21</v>
      </c>
      <c r="AE81" s="14" t="s">
        <v>14</v>
      </c>
      <c r="AF81" s="14" t="s">
        <v>15</v>
      </c>
      <c r="AG81" s="14" t="s">
        <v>16</v>
      </c>
      <c r="AH81" s="15" t="s">
        <v>17</v>
      </c>
    </row>
    <row r="82" spans="1:34" x14ac:dyDescent="0.35">
      <c r="A82" s="20">
        <v>44818</v>
      </c>
      <c r="B82" s="21" t="s">
        <v>267</v>
      </c>
      <c r="C82" s="21" t="s">
        <v>268</v>
      </c>
      <c r="D82" s="44">
        <v>136360</v>
      </c>
      <c r="E82" s="21"/>
      <c r="F82" s="21">
        <v>19</v>
      </c>
      <c r="G82" s="21"/>
      <c r="H82" s="22">
        <v>9510</v>
      </c>
      <c r="I82" s="33">
        <v>0.5</v>
      </c>
      <c r="J82" s="24">
        <f>IFERROR(K82/H82,"")</f>
        <v>0.51466876971608833</v>
      </c>
      <c r="K82" s="22">
        <v>4894.5</v>
      </c>
      <c r="L82" s="22"/>
      <c r="M82" s="22"/>
      <c r="N82" s="22"/>
      <c r="O82" s="22"/>
      <c r="P82" s="22"/>
      <c r="Q82" s="22"/>
      <c r="R82" s="22"/>
      <c r="S82" s="22"/>
      <c r="T82" s="22"/>
      <c r="U82" s="25">
        <v>305</v>
      </c>
      <c r="V82" s="25">
        <f>H82*U82*I82/15</f>
        <v>96685</v>
      </c>
      <c r="W82" s="25">
        <v>309.83999999999997</v>
      </c>
      <c r="X82" s="25">
        <v>101101.5</v>
      </c>
      <c r="Y82" s="25">
        <v>0</v>
      </c>
      <c r="Z82" s="25">
        <v>350</v>
      </c>
      <c r="AA82" s="25"/>
      <c r="AB82" s="25">
        <v>0</v>
      </c>
      <c r="AC82" s="25">
        <v>0</v>
      </c>
      <c r="AD82" s="25">
        <f>IF(F82="",G82*3.83,F82*3.83)</f>
        <v>72.77</v>
      </c>
      <c r="AE82" s="25">
        <v>202.2</v>
      </c>
      <c r="AF82" s="25">
        <f>V82+Y82+Z82+AA82+AB82+AC82+AD82</f>
        <v>97107.77</v>
      </c>
      <c r="AG82" s="25">
        <f>IFERROR(IFERROR((H82*W82*J82/15)-AE82,""),"")</f>
        <v>100898.59199999999</v>
      </c>
      <c r="AH82" s="26">
        <f>IFERROR(AG82-AF82,"")</f>
        <v>3790.8219999999856</v>
      </c>
    </row>
    <row r="83" spans="1:34" x14ac:dyDescent="0.35">
      <c r="A83" s="21"/>
      <c r="B83" s="21"/>
      <c r="C83" s="21"/>
      <c r="D83" s="21"/>
      <c r="E83" s="21"/>
      <c r="F83" s="21"/>
      <c r="G83" s="21"/>
      <c r="H83" s="44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3"/>
      <c r="AA83" s="21"/>
      <c r="AB83" s="21"/>
      <c r="AC83" s="21"/>
      <c r="AD83" s="21"/>
      <c r="AE83" s="21"/>
      <c r="AF83" s="21"/>
      <c r="AG83" s="21"/>
      <c r="AH83" s="26">
        <f>AH82/F82</f>
        <v>199.51694736842029</v>
      </c>
    </row>
    <row r="84" spans="1:34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3"/>
      <c r="AA84" s="21"/>
      <c r="AB84" s="21"/>
      <c r="AC84" s="21"/>
      <c r="AD84" s="21"/>
      <c r="AE84" s="21"/>
      <c r="AF84" s="21"/>
      <c r="AG84" s="21"/>
      <c r="AH84" s="27">
        <f>IFERROR(AH82/AG82,"")</f>
        <v>3.7570613472980734E-2</v>
      </c>
    </row>
    <row r="85" spans="1:34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48"/>
    </row>
    <row r="86" spans="1:34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3"/>
      <c r="AA86" s="21"/>
      <c r="AB86" s="21"/>
      <c r="AC86" s="21"/>
      <c r="AD86" s="21"/>
      <c r="AE86" s="21"/>
      <c r="AF86" s="21"/>
      <c r="AG86" s="21"/>
      <c r="AH86" s="48"/>
    </row>
    <row r="87" spans="1:34" x14ac:dyDescent="0.35">
      <c r="A87" s="14" t="s">
        <v>1</v>
      </c>
      <c r="B87" s="14" t="s">
        <v>2</v>
      </c>
      <c r="C87" s="14" t="s">
        <v>110</v>
      </c>
      <c r="D87" s="14" t="s">
        <v>66</v>
      </c>
      <c r="E87" s="14" t="s">
        <v>32</v>
      </c>
      <c r="F87" s="14" t="s">
        <v>137</v>
      </c>
      <c r="G87" s="14" t="s">
        <v>138</v>
      </c>
      <c r="H87" s="14" t="s">
        <v>4</v>
      </c>
      <c r="I87" s="14" t="s">
        <v>5</v>
      </c>
      <c r="J87" s="14" t="s">
        <v>6</v>
      </c>
      <c r="K87" s="14" t="s">
        <v>7</v>
      </c>
      <c r="L87" s="14" t="s">
        <v>279</v>
      </c>
      <c r="M87" s="14" t="s">
        <v>280</v>
      </c>
      <c r="N87" s="14" t="s">
        <v>281</v>
      </c>
      <c r="O87" s="14" t="s">
        <v>282</v>
      </c>
      <c r="P87" s="14" t="s">
        <v>283</v>
      </c>
      <c r="Q87" s="14" t="s">
        <v>284</v>
      </c>
      <c r="R87" s="14" t="s">
        <v>904</v>
      </c>
      <c r="S87" s="14" t="s">
        <v>285</v>
      </c>
      <c r="T87" s="14" t="s">
        <v>289</v>
      </c>
      <c r="U87" s="14" t="s">
        <v>8</v>
      </c>
      <c r="V87" s="14" t="s">
        <v>9</v>
      </c>
      <c r="W87" s="14" t="s">
        <v>10</v>
      </c>
      <c r="X87" s="14" t="s">
        <v>100</v>
      </c>
      <c r="Y87" s="14" t="s">
        <v>106</v>
      </c>
      <c r="Z87" s="14" t="s">
        <v>12</v>
      </c>
      <c r="AA87" s="14" t="s">
        <v>258</v>
      </c>
      <c r="AB87" s="14" t="s">
        <v>13</v>
      </c>
      <c r="AC87" s="14" t="s">
        <v>74</v>
      </c>
      <c r="AD87" s="14" t="s">
        <v>21</v>
      </c>
      <c r="AE87" s="14" t="s">
        <v>14</v>
      </c>
      <c r="AF87" s="14" t="s">
        <v>15</v>
      </c>
      <c r="AG87" s="14" t="s">
        <v>16</v>
      </c>
      <c r="AH87" s="15" t="s">
        <v>17</v>
      </c>
    </row>
    <row r="88" spans="1:34" x14ac:dyDescent="0.35">
      <c r="A88" s="20">
        <v>44818</v>
      </c>
      <c r="B88" s="21" t="s">
        <v>266</v>
      </c>
      <c r="C88" s="21" t="s">
        <v>177</v>
      </c>
      <c r="D88" s="44">
        <v>135894</v>
      </c>
      <c r="E88" s="21"/>
      <c r="F88" s="21">
        <v>208</v>
      </c>
      <c r="G88" s="21"/>
      <c r="H88" s="22">
        <v>110240</v>
      </c>
      <c r="I88" s="33">
        <v>0.54</v>
      </c>
      <c r="J88" s="24">
        <f>IFERROR(K88/H88,"")</f>
        <v>0.57065493468795359</v>
      </c>
      <c r="K88" s="22">
        <v>62909</v>
      </c>
      <c r="L88" s="22"/>
      <c r="M88" s="22"/>
      <c r="N88" s="22"/>
      <c r="O88" s="22"/>
      <c r="P88" s="22"/>
      <c r="Q88" s="22"/>
      <c r="R88" s="22"/>
      <c r="S88" s="22"/>
      <c r="T88" s="22"/>
      <c r="U88" s="25">
        <v>272.5</v>
      </c>
      <c r="V88" s="25">
        <f>H88*U88*I88/15</f>
        <v>1081454.4000000001</v>
      </c>
      <c r="W88" s="25">
        <v>310.85000000000002</v>
      </c>
      <c r="X88" s="25">
        <v>1303671.1499999999</v>
      </c>
      <c r="Y88" s="25">
        <v>0</v>
      </c>
      <c r="Z88" s="25">
        <v>25521</v>
      </c>
      <c r="AA88" s="25">
        <v>500</v>
      </c>
      <c r="AB88" s="25">
        <v>5668</v>
      </c>
      <c r="AC88" s="25">
        <f>F88*30</f>
        <v>6240</v>
      </c>
      <c r="AD88" s="25">
        <f>IF(F88="",G88*3.83,F88*3.83)</f>
        <v>796.64</v>
      </c>
      <c r="AE88" s="25">
        <v>2607.34</v>
      </c>
      <c r="AF88" s="25">
        <f>V88+Y88+Z88+AA88+AB88+AC88+AD88</f>
        <v>1120180.04</v>
      </c>
      <c r="AG88" s="25">
        <f>IFERROR(IFERROR((H88*W88*J88/15)-AE88,""),"")</f>
        <v>1301076.8366666667</v>
      </c>
      <c r="AH88" s="26">
        <f>IFERROR(AG88-AF88,"")</f>
        <v>180896.79666666663</v>
      </c>
    </row>
    <row r="89" spans="1:34" x14ac:dyDescent="0.35">
      <c r="A89" s="21"/>
      <c r="B89" s="21"/>
      <c r="C89" s="21"/>
      <c r="D89" s="21"/>
      <c r="E89" s="21"/>
      <c r="F89" s="21"/>
      <c r="G89" s="21"/>
      <c r="H89" s="44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3"/>
      <c r="AA89" s="21"/>
      <c r="AB89" s="21"/>
      <c r="AC89" s="21"/>
      <c r="AD89" s="21"/>
      <c r="AE89" s="21"/>
      <c r="AF89" s="21"/>
      <c r="AG89" s="21"/>
      <c r="AH89" s="26">
        <f>AH88/F88</f>
        <v>869.6961378205126</v>
      </c>
    </row>
    <row r="90" spans="1:34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7">
        <f>IFERROR(AH88/AG88,"")</f>
        <v>0.13903621336470848</v>
      </c>
    </row>
    <row r="91" spans="1:34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3"/>
      <c r="AA91" s="21"/>
      <c r="AB91" s="21"/>
      <c r="AC91" s="21"/>
      <c r="AD91" s="21"/>
      <c r="AE91" s="21"/>
      <c r="AF91" s="21"/>
      <c r="AG91" s="21"/>
      <c r="AH91" s="48"/>
    </row>
    <row r="92" spans="1:34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3"/>
      <c r="AA92" s="21"/>
      <c r="AB92" s="21"/>
      <c r="AC92" s="21"/>
      <c r="AD92" s="21"/>
      <c r="AE92" s="21"/>
      <c r="AF92" s="21"/>
      <c r="AG92" s="21"/>
      <c r="AH92" s="48"/>
    </row>
    <row r="93" spans="1:34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32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11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</row>
    <row r="94" spans="1:34" x14ac:dyDescent="0.35">
      <c r="A94" s="20">
        <v>44820</v>
      </c>
      <c r="B94" s="21" t="s">
        <v>266</v>
      </c>
      <c r="C94" s="21" t="s">
        <v>177</v>
      </c>
      <c r="D94" s="44">
        <v>136215</v>
      </c>
      <c r="E94" s="21"/>
      <c r="F94" s="21">
        <v>51</v>
      </c>
      <c r="G94" s="21"/>
      <c r="H94" s="22">
        <v>28700</v>
      </c>
      <c r="I94" s="33">
        <v>0.54</v>
      </c>
      <c r="J94" s="24">
        <f>IFERROR(K94/H94,"")</f>
        <v>0.56923519163763059</v>
      </c>
      <c r="K94" s="22">
        <v>16337.05</v>
      </c>
      <c r="L94" s="22"/>
      <c r="M94" s="22"/>
      <c r="N94" s="22"/>
      <c r="O94" s="22"/>
      <c r="P94" s="22"/>
      <c r="Q94" s="22"/>
      <c r="R94" s="22"/>
      <c r="S94" s="22"/>
      <c r="T94" s="22"/>
      <c r="U94" s="25">
        <v>272.5</v>
      </c>
      <c r="V94" s="25">
        <f>H94*U94*I94/15</f>
        <v>281547</v>
      </c>
      <c r="W94" s="25">
        <v>303.60000000000002</v>
      </c>
      <c r="X94" s="25">
        <v>330666.83</v>
      </c>
      <c r="Y94" s="25">
        <v>0</v>
      </c>
      <c r="Z94" s="25">
        <v>8992</v>
      </c>
      <c r="AA94" s="25"/>
      <c r="AB94" s="25">
        <v>1389.75</v>
      </c>
      <c r="AC94" s="25">
        <f>F94*30</f>
        <v>1530</v>
      </c>
      <c r="AD94" s="25">
        <f>IF(F94="",G94*3.83,F94*3.83)</f>
        <v>195.33</v>
      </c>
      <c r="AE94" s="25">
        <v>661.33</v>
      </c>
      <c r="AF94" s="25">
        <f>V94+Y94+Z94+AA94+AB94+AC94+AD94</f>
        <v>293654.08</v>
      </c>
      <c r="AG94" s="25">
        <f>IFERROR(IFERROR((H94*W94*J94/15)-AE94,""),"")</f>
        <v>330000.56199999992</v>
      </c>
      <c r="AH94" s="26">
        <f>IFERROR(AG94-AF94,"")</f>
        <v>36346.481999999902</v>
      </c>
    </row>
    <row r="95" spans="1:34" x14ac:dyDescent="0.35">
      <c r="A95" s="21"/>
      <c r="B95" s="21"/>
      <c r="C95" s="21"/>
      <c r="D95" s="21"/>
      <c r="E95" s="21"/>
      <c r="F95" s="21"/>
      <c r="G95" s="21"/>
      <c r="H95" s="44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AH94/F94</f>
        <v>712.67611764705691</v>
      </c>
    </row>
    <row r="96" spans="1:34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3"/>
      <c r="AA96" s="21"/>
      <c r="AB96" s="21"/>
      <c r="AC96" s="21"/>
      <c r="AD96" s="21"/>
      <c r="AE96" s="21"/>
      <c r="AF96" s="21"/>
      <c r="AG96" s="21"/>
      <c r="AH96" s="27">
        <f>IFERROR(AH94/AG94,"")</f>
        <v>0.11014066697256082</v>
      </c>
    </row>
    <row r="97" spans="1:34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3"/>
      <c r="AA97" s="21"/>
      <c r="AB97" s="21"/>
      <c r="AC97" s="21"/>
      <c r="AD97" s="21"/>
      <c r="AE97" s="21"/>
      <c r="AF97" s="21"/>
      <c r="AG97" s="21"/>
      <c r="AH97" s="48"/>
    </row>
    <row r="98" spans="1:34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3"/>
      <c r="AA98" s="21"/>
      <c r="AB98" s="21"/>
      <c r="AC98" s="21"/>
      <c r="AD98" s="21"/>
      <c r="AE98" s="21"/>
      <c r="AF98" s="21"/>
      <c r="AG98" s="21"/>
      <c r="AH98" s="48"/>
    </row>
    <row r="99" spans="1:34" x14ac:dyDescent="0.35">
      <c r="A99" s="14" t="s">
        <v>1</v>
      </c>
      <c r="B99" s="14" t="s">
        <v>2</v>
      </c>
      <c r="C99" s="14" t="s">
        <v>110</v>
      </c>
      <c r="D99" s="14" t="s">
        <v>66</v>
      </c>
      <c r="E99" s="14" t="s">
        <v>32</v>
      </c>
      <c r="F99" s="14" t="s">
        <v>137</v>
      </c>
      <c r="G99" s="14" t="s">
        <v>138</v>
      </c>
      <c r="H99" s="14" t="s">
        <v>4</v>
      </c>
      <c r="I99" s="14" t="s">
        <v>5</v>
      </c>
      <c r="J99" s="14" t="s">
        <v>6</v>
      </c>
      <c r="K99" s="14" t="s">
        <v>7</v>
      </c>
      <c r="L99" s="14" t="s">
        <v>279</v>
      </c>
      <c r="M99" s="14" t="s">
        <v>280</v>
      </c>
      <c r="N99" s="14" t="s">
        <v>281</v>
      </c>
      <c r="O99" s="14" t="s">
        <v>282</v>
      </c>
      <c r="P99" s="14" t="s">
        <v>283</v>
      </c>
      <c r="Q99" s="14" t="s">
        <v>284</v>
      </c>
      <c r="R99" s="14" t="s">
        <v>904</v>
      </c>
      <c r="S99" s="14" t="s">
        <v>285</v>
      </c>
      <c r="T99" s="14" t="s">
        <v>289</v>
      </c>
      <c r="U99" s="14" t="s">
        <v>8</v>
      </c>
      <c r="V99" s="14" t="s">
        <v>9</v>
      </c>
      <c r="W99" s="14" t="s">
        <v>10</v>
      </c>
      <c r="X99" s="14" t="s">
        <v>100</v>
      </c>
      <c r="Y99" s="14" t="s">
        <v>106</v>
      </c>
      <c r="Z99" s="14" t="s">
        <v>12</v>
      </c>
      <c r="AA99" s="14" t="s">
        <v>11</v>
      </c>
      <c r="AB99" s="14" t="s">
        <v>13</v>
      </c>
      <c r="AC99" s="14" t="s">
        <v>74</v>
      </c>
      <c r="AD99" s="14" t="s">
        <v>21</v>
      </c>
      <c r="AE99" s="14" t="s">
        <v>14</v>
      </c>
      <c r="AF99" s="14" t="s">
        <v>15</v>
      </c>
      <c r="AG99" s="14" t="s">
        <v>16</v>
      </c>
      <c r="AH99" s="15" t="s">
        <v>17</v>
      </c>
    </row>
    <row r="100" spans="1:34" x14ac:dyDescent="0.35">
      <c r="A100" s="20">
        <v>44820</v>
      </c>
      <c r="B100" s="21" t="s">
        <v>270</v>
      </c>
      <c r="C100" s="21" t="s">
        <v>163</v>
      </c>
      <c r="D100" s="44">
        <v>136215</v>
      </c>
      <c r="E100" s="21"/>
      <c r="F100" s="21">
        <v>50</v>
      </c>
      <c r="G100" s="21"/>
      <c r="H100" s="22">
        <v>30060</v>
      </c>
      <c r="I100" s="33">
        <v>0.54</v>
      </c>
      <c r="J100" s="24">
        <f>IFERROR(K100/H100,"")</f>
        <v>0.53282501663339987</v>
      </c>
      <c r="K100" s="22">
        <v>16016.72</v>
      </c>
      <c r="L100" s="22"/>
      <c r="M100" s="22"/>
      <c r="N100" s="22"/>
      <c r="O100" s="22"/>
      <c r="P100" s="22"/>
      <c r="Q100" s="22"/>
      <c r="R100" s="22"/>
      <c r="S100" s="22"/>
      <c r="T100" s="22"/>
      <c r="U100" s="25">
        <v>270</v>
      </c>
      <c r="V100" s="25">
        <f>H100*U100*I100/15</f>
        <v>292183.2</v>
      </c>
      <c r="W100" s="25">
        <v>303.60000000000002</v>
      </c>
      <c r="X100" s="25">
        <v>324183.15999999997</v>
      </c>
      <c r="Y100" s="25">
        <v>0</v>
      </c>
      <c r="Z100" s="25">
        <v>10607</v>
      </c>
      <c r="AA100" s="25"/>
      <c r="AB100" s="25">
        <v>1350</v>
      </c>
      <c r="AC100" s="25">
        <f>F100*30</f>
        <v>1500</v>
      </c>
      <c r="AD100" s="25">
        <f>IF(F100="",G100*3.83,F100*3.83)</f>
        <v>191.5</v>
      </c>
      <c r="AE100" s="25">
        <v>648.36</v>
      </c>
      <c r="AF100" s="25">
        <f>V100+Y100+Z100+AA100+AB100+AC100+AD100</f>
        <v>305831.7</v>
      </c>
      <c r="AG100" s="25">
        <f>IFERROR(IFERROR((H100*W100*J100/15)-AE100,""),"")</f>
        <v>323530.0528</v>
      </c>
      <c r="AH100" s="26">
        <f>IFERROR(AG100-AF100,"")</f>
        <v>17698.352799999993</v>
      </c>
    </row>
    <row r="101" spans="1:34" x14ac:dyDescent="0.35">
      <c r="A101" s="21"/>
      <c r="B101" s="21"/>
      <c r="C101" s="21"/>
      <c r="D101" s="21"/>
      <c r="E101" s="21"/>
      <c r="F101" s="21"/>
      <c r="G101" s="21"/>
      <c r="H101" s="44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3"/>
      <c r="AA101" s="21"/>
      <c r="AB101" s="21"/>
      <c r="AC101" s="21"/>
      <c r="AD101" s="21"/>
      <c r="AE101" s="21"/>
      <c r="AF101" s="21"/>
      <c r="AG101" s="21"/>
      <c r="AH101" s="26">
        <f>AH100/F100</f>
        <v>353.96705599999984</v>
      </c>
    </row>
    <row r="102" spans="1:34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3"/>
      <c r="AA102" s="21"/>
      <c r="AB102" s="21"/>
      <c r="AC102" s="21"/>
      <c r="AD102" s="21"/>
      <c r="AE102" s="21"/>
      <c r="AF102" s="21"/>
      <c r="AG102" s="21"/>
      <c r="AH102" s="27">
        <f>IFERROR(AH100/AG100,"")</f>
        <v>5.4703891174340984E-2</v>
      </c>
    </row>
    <row r="103" spans="1:34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3"/>
      <c r="AA103" s="21"/>
      <c r="AB103" s="21"/>
      <c r="AC103" s="21"/>
      <c r="AD103" s="21"/>
      <c r="AE103" s="21"/>
      <c r="AF103" s="21"/>
      <c r="AG103" s="21"/>
      <c r="AH103" s="48"/>
    </row>
    <row r="104" spans="1:34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3"/>
      <c r="AA104" s="21"/>
      <c r="AB104" s="21"/>
      <c r="AC104" s="21"/>
      <c r="AD104" s="21"/>
      <c r="AE104" s="21"/>
      <c r="AF104" s="21"/>
      <c r="AG104" s="21"/>
      <c r="AH104" s="48"/>
    </row>
    <row r="105" spans="1:34" x14ac:dyDescent="0.35">
      <c r="A105" s="14" t="s">
        <v>1</v>
      </c>
      <c r="B105" s="14" t="s">
        <v>2</v>
      </c>
      <c r="C105" s="14" t="s">
        <v>110</v>
      </c>
      <c r="D105" s="14" t="s">
        <v>66</v>
      </c>
      <c r="E105" s="14" t="s">
        <v>32</v>
      </c>
      <c r="F105" s="14" t="s">
        <v>137</v>
      </c>
      <c r="G105" s="14" t="s">
        <v>138</v>
      </c>
      <c r="H105" s="14" t="s">
        <v>4</v>
      </c>
      <c r="I105" s="14" t="s">
        <v>5</v>
      </c>
      <c r="J105" s="14" t="s">
        <v>6</v>
      </c>
      <c r="K105" s="14" t="s">
        <v>7</v>
      </c>
      <c r="L105" s="14" t="s">
        <v>279</v>
      </c>
      <c r="M105" s="14" t="s">
        <v>280</v>
      </c>
      <c r="N105" s="14" t="s">
        <v>281</v>
      </c>
      <c r="O105" s="14" t="s">
        <v>282</v>
      </c>
      <c r="P105" s="14" t="s">
        <v>283</v>
      </c>
      <c r="Q105" s="14" t="s">
        <v>284</v>
      </c>
      <c r="R105" s="14" t="s">
        <v>904</v>
      </c>
      <c r="S105" s="14" t="s">
        <v>285</v>
      </c>
      <c r="T105" s="14" t="s">
        <v>289</v>
      </c>
      <c r="U105" s="14" t="s">
        <v>8</v>
      </c>
      <c r="V105" s="14" t="s">
        <v>9</v>
      </c>
      <c r="W105" s="14" t="s">
        <v>10</v>
      </c>
      <c r="X105" s="14" t="s">
        <v>100</v>
      </c>
      <c r="Y105" s="14" t="s">
        <v>106</v>
      </c>
      <c r="Z105" s="14" t="s">
        <v>12</v>
      </c>
      <c r="AA105" s="14" t="s">
        <v>11</v>
      </c>
      <c r="AB105" s="14" t="s">
        <v>13</v>
      </c>
      <c r="AC105" s="14" t="s">
        <v>74</v>
      </c>
      <c r="AD105" s="14" t="s">
        <v>21</v>
      </c>
      <c r="AE105" s="14" t="s">
        <v>14</v>
      </c>
      <c r="AF105" s="14" t="s">
        <v>15</v>
      </c>
      <c r="AG105" s="14" t="s">
        <v>16</v>
      </c>
      <c r="AH105" s="15" t="s">
        <v>17</v>
      </c>
    </row>
    <row r="106" spans="1:34" x14ac:dyDescent="0.35">
      <c r="A106" s="20">
        <v>44820</v>
      </c>
      <c r="B106" s="21" t="s">
        <v>162</v>
      </c>
      <c r="C106" s="21" t="s">
        <v>163</v>
      </c>
      <c r="D106" s="44">
        <v>136215</v>
      </c>
      <c r="E106" s="21"/>
      <c r="F106" s="21">
        <v>50</v>
      </c>
      <c r="G106" s="21"/>
      <c r="H106" s="22">
        <v>28289</v>
      </c>
      <c r="I106" s="33">
        <v>0.55000000000000004</v>
      </c>
      <c r="J106" s="24">
        <f>IFERROR(K106/H106,"")</f>
        <v>0.56618190816218317</v>
      </c>
      <c r="K106" s="22">
        <v>16016.72</v>
      </c>
      <c r="L106" s="22"/>
      <c r="M106" s="22"/>
      <c r="N106" s="22"/>
      <c r="O106" s="22"/>
      <c r="P106" s="22"/>
      <c r="Q106" s="22"/>
      <c r="R106" s="22"/>
      <c r="S106" s="22"/>
      <c r="T106" s="22"/>
      <c r="U106" s="25">
        <v>275</v>
      </c>
      <c r="V106" s="25">
        <f>H106*U106*I106/15</f>
        <v>285247.41666666669</v>
      </c>
      <c r="W106" s="25">
        <v>303.60000000000002</v>
      </c>
      <c r="X106" s="25">
        <v>324183.15999999997</v>
      </c>
      <c r="Y106" s="25">
        <v>0</v>
      </c>
      <c r="Z106" s="25">
        <v>7965.2</v>
      </c>
      <c r="AA106" s="25"/>
      <c r="AB106" s="25">
        <v>1375</v>
      </c>
      <c r="AC106" s="25">
        <f>F106*30</f>
        <v>1500</v>
      </c>
      <c r="AD106" s="25">
        <f>IF(F106="",G106*3.83,F106*3.83)</f>
        <v>191.5</v>
      </c>
      <c r="AE106" s="25">
        <v>648.36</v>
      </c>
      <c r="AF106" s="25">
        <f>V106+Y106+Z106+AA106+AB106+AC106+AD106</f>
        <v>296279.1166666667</v>
      </c>
      <c r="AG106" s="25">
        <f>IFERROR(IFERROR((H106*W106*J106/15)-AE106,""),"")</f>
        <v>323530.0528</v>
      </c>
      <c r="AH106" s="26">
        <f>IFERROR(AG106-AF106,"")</f>
        <v>27250.936133333307</v>
      </c>
    </row>
    <row r="107" spans="1:34" x14ac:dyDescent="0.35">
      <c r="A107" s="21"/>
      <c r="B107" s="21"/>
      <c r="C107" s="21"/>
      <c r="D107" s="21"/>
      <c r="E107" s="21"/>
      <c r="F107" s="21"/>
      <c r="G107" s="21"/>
      <c r="H107" s="44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3"/>
      <c r="AA107" s="21"/>
      <c r="AB107" s="21"/>
      <c r="AC107" s="21"/>
      <c r="AD107" s="21"/>
      <c r="AE107" s="21"/>
      <c r="AF107" s="21"/>
      <c r="AG107" s="21"/>
      <c r="AH107" s="26">
        <f>AH106/F106</f>
        <v>545.01872266666612</v>
      </c>
    </row>
    <row r="108" spans="1:34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3"/>
      <c r="AA108" s="21"/>
      <c r="AB108" s="21"/>
      <c r="AC108" s="21"/>
      <c r="AD108" s="21"/>
      <c r="AE108" s="21"/>
      <c r="AF108" s="21"/>
      <c r="AG108" s="21"/>
      <c r="AH108" s="27">
        <f>IFERROR(AH106/AG106,"")</f>
        <v>8.4229999338513717E-2</v>
      </c>
    </row>
    <row r="109" spans="1:34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3"/>
      <c r="AA109" s="21"/>
      <c r="AB109" s="21"/>
      <c r="AC109" s="21"/>
      <c r="AD109" s="21"/>
      <c r="AE109" s="21"/>
      <c r="AF109" s="21"/>
      <c r="AG109" s="21"/>
      <c r="AH109" s="48"/>
    </row>
    <row r="110" spans="1:34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48"/>
    </row>
    <row r="111" spans="1:34" x14ac:dyDescent="0.35">
      <c r="A111" s="14" t="s">
        <v>1</v>
      </c>
      <c r="B111" s="14" t="s">
        <v>2</v>
      </c>
      <c r="C111" s="14" t="s">
        <v>110</v>
      </c>
      <c r="D111" s="14" t="s">
        <v>66</v>
      </c>
      <c r="E111" s="14" t="s">
        <v>32</v>
      </c>
      <c r="F111" s="14" t="s">
        <v>137</v>
      </c>
      <c r="G111" s="14" t="s">
        <v>138</v>
      </c>
      <c r="H111" s="14" t="s">
        <v>4</v>
      </c>
      <c r="I111" s="14" t="s">
        <v>5</v>
      </c>
      <c r="J111" s="14" t="s">
        <v>6</v>
      </c>
      <c r="K111" s="14" t="s">
        <v>7</v>
      </c>
      <c r="L111" s="14" t="s">
        <v>279</v>
      </c>
      <c r="M111" s="14" t="s">
        <v>280</v>
      </c>
      <c r="N111" s="14" t="s">
        <v>281</v>
      </c>
      <c r="O111" s="14" t="s">
        <v>282</v>
      </c>
      <c r="P111" s="14" t="s">
        <v>283</v>
      </c>
      <c r="Q111" s="14" t="s">
        <v>284</v>
      </c>
      <c r="R111" s="14" t="s">
        <v>904</v>
      </c>
      <c r="S111" s="14" t="s">
        <v>285</v>
      </c>
      <c r="T111" s="14" t="s">
        <v>289</v>
      </c>
      <c r="U111" s="14" t="s">
        <v>8</v>
      </c>
      <c r="V111" s="14" t="s">
        <v>9</v>
      </c>
      <c r="W111" s="14" t="s">
        <v>10</v>
      </c>
      <c r="X111" s="14" t="s">
        <v>100</v>
      </c>
      <c r="Y111" s="14" t="s">
        <v>106</v>
      </c>
      <c r="Z111" s="14" t="s">
        <v>12</v>
      </c>
      <c r="AA111" s="14" t="s">
        <v>11</v>
      </c>
      <c r="AB111" s="14" t="s">
        <v>13</v>
      </c>
      <c r="AC111" s="14" t="s">
        <v>74</v>
      </c>
      <c r="AD111" s="14" t="s">
        <v>21</v>
      </c>
      <c r="AE111" s="14" t="s">
        <v>14</v>
      </c>
      <c r="AF111" s="14" t="s">
        <v>15</v>
      </c>
      <c r="AG111" s="14" t="s">
        <v>16</v>
      </c>
      <c r="AH111" s="15" t="s">
        <v>17</v>
      </c>
    </row>
    <row r="112" spans="1:34" x14ac:dyDescent="0.35">
      <c r="A112" s="20">
        <v>44820</v>
      </c>
      <c r="B112" s="21" t="s">
        <v>271</v>
      </c>
      <c r="C112" s="21" t="s">
        <v>272</v>
      </c>
      <c r="D112" s="44">
        <v>136217</v>
      </c>
      <c r="E112" s="21"/>
      <c r="F112" s="21">
        <v>180</v>
      </c>
      <c r="G112" s="21"/>
      <c r="H112" s="22">
        <v>117320</v>
      </c>
      <c r="I112" s="33">
        <v>0.55000000000000004</v>
      </c>
      <c r="J112" s="24">
        <f>IFERROR(K112/H112,"")</f>
        <v>0.58571428571428574</v>
      </c>
      <c r="K112" s="22">
        <v>68716</v>
      </c>
      <c r="L112" s="22"/>
      <c r="M112" s="22"/>
      <c r="N112" s="22"/>
      <c r="O112" s="22"/>
      <c r="P112" s="22"/>
      <c r="Q112" s="22"/>
      <c r="R112" s="22"/>
      <c r="S112" s="22"/>
      <c r="T112" s="22"/>
      <c r="U112" s="25">
        <v>275</v>
      </c>
      <c r="V112" s="25">
        <f>H112*U112*I112/15</f>
        <v>1182976.6666666667</v>
      </c>
      <c r="W112" s="25">
        <v>310.39</v>
      </c>
      <c r="X112" s="25">
        <v>1421915.12</v>
      </c>
      <c r="Y112" s="25">
        <v>0</v>
      </c>
      <c r="Z112" s="25">
        <v>50952</v>
      </c>
      <c r="AA112" s="25"/>
      <c r="AB112" s="25">
        <v>4950</v>
      </c>
      <c r="AC112" s="25">
        <f>F112*30</f>
        <v>5400</v>
      </c>
      <c r="AD112" s="25">
        <f>IF(F112="",G112*3.83,F112*3.83)</f>
        <v>689.4</v>
      </c>
      <c r="AE112" s="25">
        <v>2843.82</v>
      </c>
      <c r="AF112" s="25">
        <f>V112+Y112+Z112+AA112+AB112+AC112+AD112</f>
        <v>1244968.0666666667</v>
      </c>
      <c r="AG112" s="25">
        <f>IFERROR(IFERROR((H112*W112*J112/15)-AE112,""),"")</f>
        <v>1419073.4626666666</v>
      </c>
      <c r="AH112" s="26">
        <f>IFERROR(AG112-AF112,"")</f>
        <v>174105.39599999995</v>
      </c>
    </row>
    <row r="113" spans="1:34" x14ac:dyDescent="0.35">
      <c r="A113" s="21"/>
      <c r="B113" s="21"/>
      <c r="C113" s="21"/>
      <c r="D113" s="21"/>
      <c r="E113" s="21"/>
      <c r="F113" s="21"/>
      <c r="G113" s="21"/>
      <c r="H113" s="44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3"/>
      <c r="AA113" s="21"/>
      <c r="AB113" s="21"/>
      <c r="AC113" s="21"/>
      <c r="AD113" s="21"/>
      <c r="AE113" s="21"/>
      <c r="AF113" s="21"/>
      <c r="AG113" s="21"/>
      <c r="AH113" s="26">
        <f>AH112/F112</f>
        <v>967.25219999999968</v>
      </c>
    </row>
    <row r="114" spans="1:34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3"/>
      <c r="AA114" s="21"/>
      <c r="AB114" s="21"/>
      <c r="AC114" s="21"/>
      <c r="AD114" s="21"/>
      <c r="AE114" s="21"/>
      <c r="AF114" s="21"/>
      <c r="AG114" s="21"/>
      <c r="AH114" s="27">
        <f>IFERROR(AH112/AG112,"")</f>
        <v>0.12268948759906199</v>
      </c>
    </row>
    <row r="115" spans="1:34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48"/>
    </row>
    <row r="116" spans="1:34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3"/>
      <c r="AA116" s="21"/>
      <c r="AB116" s="21"/>
      <c r="AC116" s="21"/>
      <c r="AD116" s="21"/>
      <c r="AE116" s="21"/>
      <c r="AF116" s="21"/>
      <c r="AG116" s="21"/>
      <c r="AH116" s="48"/>
    </row>
    <row r="117" spans="1:34" x14ac:dyDescent="0.35">
      <c r="A117" s="14" t="s">
        <v>1</v>
      </c>
      <c r="B117" s="14" t="s">
        <v>2</v>
      </c>
      <c r="C117" s="14" t="s">
        <v>110</v>
      </c>
      <c r="D117" s="14" t="s">
        <v>66</v>
      </c>
      <c r="E117" s="14" t="s">
        <v>32</v>
      </c>
      <c r="F117" s="14" t="s">
        <v>137</v>
      </c>
      <c r="G117" s="14" t="s">
        <v>138</v>
      </c>
      <c r="H117" s="14" t="s">
        <v>4</v>
      </c>
      <c r="I117" s="14" t="s">
        <v>5</v>
      </c>
      <c r="J117" s="14" t="s">
        <v>6</v>
      </c>
      <c r="K117" s="14" t="s">
        <v>7</v>
      </c>
      <c r="L117" s="14" t="s">
        <v>279</v>
      </c>
      <c r="M117" s="14" t="s">
        <v>280</v>
      </c>
      <c r="N117" s="14" t="s">
        <v>281</v>
      </c>
      <c r="O117" s="14" t="s">
        <v>282</v>
      </c>
      <c r="P117" s="14" t="s">
        <v>283</v>
      </c>
      <c r="Q117" s="14" t="s">
        <v>284</v>
      </c>
      <c r="R117" s="14" t="s">
        <v>904</v>
      </c>
      <c r="S117" s="14" t="s">
        <v>285</v>
      </c>
      <c r="T117" s="14" t="s">
        <v>289</v>
      </c>
      <c r="U117" s="14" t="s">
        <v>8</v>
      </c>
      <c r="V117" s="14" t="s">
        <v>9</v>
      </c>
      <c r="W117" s="14" t="s">
        <v>10</v>
      </c>
      <c r="X117" s="14" t="s">
        <v>100</v>
      </c>
      <c r="Y117" s="14" t="s">
        <v>106</v>
      </c>
      <c r="Z117" s="14" t="s">
        <v>12</v>
      </c>
      <c r="AA117" s="14" t="s">
        <v>11</v>
      </c>
      <c r="AB117" s="14" t="s">
        <v>13</v>
      </c>
      <c r="AC117" s="14" t="s">
        <v>74</v>
      </c>
      <c r="AD117" s="14" t="s">
        <v>21</v>
      </c>
      <c r="AE117" s="14" t="s">
        <v>14</v>
      </c>
      <c r="AF117" s="14" t="s">
        <v>15</v>
      </c>
      <c r="AG117" s="14" t="s">
        <v>16</v>
      </c>
      <c r="AH117" s="15" t="s">
        <v>17</v>
      </c>
    </row>
    <row r="118" spans="1:34" x14ac:dyDescent="0.35">
      <c r="A118" s="20">
        <v>44820</v>
      </c>
      <c r="B118" s="21" t="s">
        <v>239</v>
      </c>
      <c r="C118" s="21" t="s">
        <v>141</v>
      </c>
      <c r="D118" s="44">
        <v>136216</v>
      </c>
      <c r="E118" s="21"/>
      <c r="F118" s="21"/>
      <c r="G118" s="21">
        <v>60</v>
      </c>
      <c r="H118" s="22">
        <v>23500</v>
      </c>
      <c r="I118" s="33">
        <v>0.5</v>
      </c>
      <c r="J118" s="24">
        <f>IFERROR(K118/H118,"")</f>
        <v>0.53074468085106385</v>
      </c>
      <c r="K118" s="22">
        <v>12472.5</v>
      </c>
      <c r="L118" s="22"/>
      <c r="M118" s="22"/>
      <c r="N118" s="22"/>
      <c r="O118" s="22"/>
      <c r="P118" s="22"/>
      <c r="Q118" s="22"/>
      <c r="R118" s="22"/>
      <c r="S118" s="22"/>
      <c r="T118" s="22"/>
      <c r="U118" s="25">
        <v>260</v>
      </c>
      <c r="V118" s="25">
        <f>H118*U118*I118/15</f>
        <v>203666.66666666666</v>
      </c>
      <c r="W118" s="25">
        <v>303.64999999999998</v>
      </c>
      <c r="X118" s="25">
        <v>252486.32</v>
      </c>
      <c r="Y118" s="25">
        <f>G118*60</f>
        <v>3600</v>
      </c>
      <c r="Z118" s="25">
        <v>8060</v>
      </c>
      <c r="AA118" s="25"/>
      <c r="AB118" s="25">
        <v>1560</v>
      </c>
      <c r="AC118" s="25">
        <f>G118*30</f>
        <v>1800</v>
      </c>
      <c r="AD118" s="25">
        <f>IF(F118="",G118*3.83,F118*3.83)</f>
        <v>229.8</v>
      </c>
      <c r="AE118" s="25">
        <v>504.98</v>
      </c>
      <c r="AF118" s="25">
        <f>V118+Y118+Z118+AA118+AB118+AC118+AD118</f>
        <v>218916.46666666665</v>
      </c>
      <c r="AG118" s="25">
        <f>IFERROR(IFERROR((H118*W118*J118/15)-AE118,""),"")</f>
        <v>251979.99499999997</v>
      </c>
      <c r="AH118" s="26">
        <f>IFERROR(AG118-AF118,"")</f>
        <v>33063.528333333321</v>
      </c>
    </row>
    <row r="119" spans="1:34" x14ac:dyDescent="0.35">
      <c r="A119" s="21"/>
      <c r="B119" s="21"/>
      <c r="C119" s="21"/>
      <c r="D119" s="21"/>
      <c r="E119" s="21"/>
      <c r="F119" s="21"/>
      <c r="G119" s="21"/>
      <c r="H119" s="44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3"/>
      <c r="AA119" s="21"/>
      <c r="AB119" s="21"/>
      <c r="AC119" s="21"/>
      <c r="AD119" s="21"/>
      <c r="AE119" s="21"/>
      <c r="AF119" s="21"/>
      <c r="AG119" s="21"/>
      <c r="AH119" s="26">
        <f>AH118/G118</f>
        <v>551.0588055555553</v>
      </c>
    </row>
    <row r="120" spans="1:34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7">
        <f>IFERROR(AH118/AG118,"")</f>
        <v>0.13121489399717357</v>
      </c>
    </row>
    <row r="121" spans="1:34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3"/>
      <c r="AA121" s="21"/>
      <c r="AB121" s="21"/>
      <c r="AC121" s="21"/>
      <c r="AD121" s="21"/>
      <c r="AE121" s="21"/>
      <c r="AF121" s="21"/>
      <c r="AG121" s="21"/>
      <c r="AH121" s="48"/>
    </row>
    <row r="122" spans="1:34" ht="15" thickBot="1" x14ac:dyDescent="0.4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3"/>
      <c r="AA122" s="21"/>
      <c r="AB122" s="21"/>
      <c r="AC122" s="21"/>
      <c r="AD122" s="21"/>
      <c r="AE122" s="21"/>
      <c r="AF122" s="21"/>
      <c r="AG122" s="21"/>
      <c r="AH122" s="48"/>
    </row>
    <row r="123" spans="1:34" ht="16" thickBot="1" x14ac:dyDescent="0.4">
      <c r="A123" s="377" t="s">
        <v>261</v>
      </c>
      <c r="B123" s="378"/>
      <c r="C123" s="378"/>
      <c r="D123" s="378"/>
      <c r="E123" s="378"/>
      <c r="F123" s="378"/>
      <c r="G123" s="378"/>
      <c r="H123" s="378"/>
      <c r="I123" s="378"/>
      <c r="J123" s="378"/>
      <c r="K123" s="378"/>
      <c r="L123" s="46"/>
      <c r="M123" s="46"/>
      <c r="N123" s="46"/>
      <c r="O123" s="46"/>
      <c r="P123" s="46"/>
      <c r="Q123" s="46"/>
      <c r="R123" s="46"/>
      <c r="S123" s="46"/>
      <c r="T123" s="46"/>
      <c r="U123" s="30"/>
      <c r="V123" s="31">
        <f>V4+V10+V16+V22+V28+V34+V40+V46+V52+V58+V64+V70+V76+V82+V88+V94+V100+V106+V112+V118</f>
        <v>6643153.5333333341</v>
      </c>
      <c r="W123" s="30"/>
      <c r="X123" s="30"/>
      <c r="Y123" s="31">
        <f t="shared" ref="Y123:AG123" si="0">Y4+Y10+Y16+Y22+Y28+Y34+Y40+Y46+Y52+Y58+Y64+Y70+Y76+Y82+Y88+Y94+Y100+Y106+Y112+Y118</f>
        <v>42120</v>
      </c>
      <c r="Z123" s="31">
        <f t="shared" si="0"/>
        <v>215021.76</v>
      </c>
      <c r="AA123" s="31">
        <f t="shared" si="0"/>
        <v>30809.11</v>
      </c>
      <c r="AB123" s="31">
        <f t="shared" si="0"/>
        <v>33472.729999999996</v>
      </c>
      <c r="AC123" s="31">
        <f t="shared" si="0"/>
        <v>33960</v>
      </c>
      <c r="AD123" s="31">
        <f t="shared" si="0"/>
        <v>4791.33</v>
      </c>
      <c r="AE123" s="31">
        <f t="shared" si="0"/>
        <v>15703.85</v>
      </c>
      <c r="AF123" s="31">
        <f t="shared" si="0"/>
        <v>7003328.4633333329</v>
      </c>
      <c r="AG123" s="31">
        <f t="shared" si="0"/>
        <v>7836283.7383433329</v>
      </c>
      <c r="AH123" s="32"/>
    </row>
  </sheetData>
  <mergeCells count="2">
    <mergeCell ref="U2:AC2"/>
    <mergeCell ref="A123:K12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7"/>
  <dimension ref="A1:AL27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19.81640625" bestFit="1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2" max="12" width="6.81640625" customWidth="1"/>
    <col min="13" max="13" width="7.1796875" customWidth="1"/>
    <col min="14" max="15" width="6.81640625" customWidth="1"/>
    <col min="16" max="16" width="7.26953125" customWidth="1"/>
    <col min="17" max="18" width="12.453125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7" ht="15" thickBot="1" x14ac:dyDescent="0.4"/>
    <row r="2" spans="1:37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7" x14ac:dyDescent="0.35">
      <c r="A3" s="37" t="s">
        <v>1</v>
      </c>
      <c r="B3" s="37" t="s">
        <v>2</v>
      </c>
      <c r="C3" s="37" t="s">
        <v>110</v>
      </c>
      <c r="D3" s="37" t="s">
        <v>66</v>
      </c>
      <c r="E3" s="37" t="s">
        <v>32</v>
      </c>
      <c r="F3" s="37" t="s">
        <v>137</v>
      </c>
      <c r="G3" s="37" t="s">
        <v>138</v>
      </c>
      <c r="H3" s="37" t="s">
        <v>4</v>
      </c>
      <c r="I3" s="37" t="s">
        <v>5</v>
      </c>
      <c r="J3" s="37" t="s">
        <v>6</v>
      </c>
      <c r="K3" s="37" t="s">
        <v>7</v>
      </c>
      <c r="L3" s="37" t="s">
        <v>279</v>
      </c>
      <c r="M3" s="37" t="s">
        <v>280</v>
      </c>
      <c r="N3" s="37" t="s">
        <v>281</v>
      </c>
      <c r="O3" s="37" t="s">
        <v>282</v>
      </c>
      <c r="P3" s="37" t="s">
        <v>283</v>
      </c>
      <c r="Q3" s="37" t="s">
        <v>284</v>
      </c>
      <c r="R3" s="37" t="s">
        <v>904</v>
      </c>
      <c r="S3" s="37" t="s">
        <v>285</v>
      </c>
      <c r="T3" s="37" t="s">
        <v>289</v>
      </c>
      <c r="U3" s="37" t="s">
        <v>8</v>
      </c>
      <c r="V3" s="37" t="s">
        <v>9</v>
      </c>
      <c r="W3" s="37" t="s">
        <v>10</v>
      </c>
      <c r="X3" s="37" t="s">
        <v>100</v>
      </c>
      <c r="Y3" s="37" t="s">
        <v>106</v>
      </c>
      <c r="Z3" s="37" t="s">
        <v>12</v>
      </c>
      <c r="AA3" s="37" t="s">
        <v>258</v>
      </c>
      <c r="AB3" s="37" t="s">
        <v>13</v>
      </c>
      <c r="AC3" s="37" t="s">
        <v>74</v>
      </c>
      <c r="AD3" s="37" t="s">
        <v>21</v>
      </c>
      <c r="AE3" s="37" t="s">
        <v>14</v>
      </c>
      <c r="AF3" s="37" t="s">
        <v>15</v>
      </c>
      <c r="AG3" s="37" t="s">
        <v>16</v>
      </c>
      <c r="AH3" s="15" t="s">
        <v>17</v>
      </c>
    </row>
    <row r="4" spans="1:37" x14ac:dyDescent="0.35">
      <c r="A4" s="38">
        <v>44823</v>
      </c>
      <c r="B4" s="39" t="s">
        <v>274</v>
      </c>
      <c r="C4" s="39" t="s">
        <v>205</v>
      </c>
      <c r="D4" s="45">
        <v>136218</v>
      </c>
      <c r="E4" s="39"/>
      <c r="F4" s="39"/>
      <c r="G4" s="39">
        <v>60</v>
      </c>
      <c r="H4" s="40">
        <v>25243</v>
      </c>
      <c r="I4" s="41">
        <v>0.5</v>
      </c>
      <c r="J4" s="42">
        <f>IFERROR(K4/H4,"")</f>
        <v>0.51511310066156957</v>
      </c>
      <c r="K4" s="40">
        <v>13003</v>
      </c>
      <c r="L4" s="40"/>
      <c r="M4" s="40"/>
      <c r="N4" s="40"/>
      <c r="O4" s="40"/>
      <c r="P4" s="40"/>
      <c r="Q4" s="40"/>
      <c r="R4" s="40"/>
      <c r="S4" s="40"/>
      <c r="T4" s="40"/>
      <c r="U4" s="43">
        <v>260</v>
      </c>
      <c r="V4" s="43">
        <f>H4*U4*I4/15</f>
        <v>218772.66666666666</v>
      </c>
      <c r="W4" s="43">
        <v>308.22000000000003</v>
      </c>
      <c r="X4" s="43">
        <v>267185.28999999998</v>
      </c>
      <c r="Y4" s="84">
        <f>G4*120</f>
        <v>7200</v>
      </c>
      <c r="Z4" s="43">
        <v>5907.2</v>
      </c>
      <c r="AA4" s="43">
        <v>0</v>
      </c>
      <c r="AB4" s="43">
        <v>1560</v>
      </c>
      <c r="AC4" s="43">
        <f>F4*30</f>
        <v>0</v>
      </c>
      <c r="AD4" s="43">
        <f>IF(F4="",G4*3.83,F4*3.83)</f>
        <v>229.8</v>
      </c>
      <c r="AE4" s="43">
        <v>534.37</v>
      </c>
      <c r="AF4" s="43">
        <f>V4+Y4+Z4+AA4+AB4+AC4+AD4</f>
        <v>233669.66666666666</v>
      </c>
      <c r="AG4" s="43">
        <f>IFERROR(IFERROR((H4*W4*J4/15)-AE4,""),"")</f>
        <v>266651.27400000003</v>
      </c>
      <c r="AH4" s="26">
        <f>IFERROR(AG4-AF4,"")</f>
        <v>32981.607333333377</v>
      </c>
    </row>
    <row r="5" spans="1:37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55"/>
      <c r="AA5" s="21"/>
      <c r="AB5" s="21"/>
      <c r="AC5" s="21"/>
      <c r="AD5" s="21"/>
      <c r="AE5" s="21"/>
      <c r="AF5" s="21"/>
      <c r="AG5" s="21"/>
      <c r="AH5" s="26">
        <f>IFERROR(AH4/G4,"")</f>
        <v>549.69345555555628</v>
      </c>
      <c r="AJ5" s="11"/>
    </row>
    <row r="6" spans="1:3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0.12368816709022501</v>
      </c>
      <c r="AJ6" s="1"/>
    </row>
    <row r="7" spans="1:37" x14ac:dyDescent="0.35">
      <c r="AJ7" s="11"/>
    </row>
    <row r="8" spans="1:37" x14ac:dyDescent="0.35">
      <c r="AJ8" s="1"/>
    </row>
    <row r="9" spans="1:37" x14ac:dyDescent="0.35">
      <c r="A9" s="37" t="s">
        <v>1</v>
      </c>
      <c r="B9" s="37" t="s">
        <v>2</v>
      </c>
      <c r="C9" s="37" t="s">
        <v>110</v>
      </c>
      <c r="D9" s="37" t="s">
        <v>66</v>
      </c>
      <c r="E9" s="37" t="s">
        <v>32</v>
      </c>
      <c r="F9" s="37" t="s">
        <v>137</v>
      </c>
      <c r="G9" s="37" t="s">
        <v>138</v>
      </c>
      <c r="H9" s="37" t="s">
        <v>4</v>
      </c>
      <c r="I9" s="37" t="s">
        <v>5</v>
      </c>
      <c r="J9" s="37" t="s">
        <v>6</v>
      </c>
      <c r="K9" s="37" t="s">
        <v>7</v>
      </c>
      <c r="L9" s="37" t="s">
        <v>279</v>
      </c>
      <c r="M9" s="37" t="s">
        <v>280</v>
      </c>
      <c r="N9" s="37" t="s">
        <v>281</v>
      </c>
      <c r="O9" s="37" t="s">
        <v>282</v>
      </c>
      <c r="P9" s="37" t="s">
        <v>283</v>
      </c>
      <c r="Q9" s="37" t="s">
        <v>284</v>
      </c>
      <c r="R9" s="37" t="s">
        <v>904</v>
      </c>
      <c r="S9" s="37" t="s">
        <v>285</v>
      </c>
      <c r="T9" s="37" t="s">
        <v>289</v>
      </c>
      <c r="U9" s="37" t="s">
        <v>8</v>
      </c>
      <c r="V9" s="37" t="s">
        <v>9</v>
      </c>
      <c r="W9" s="37" t="s">
        <v>10</v>
      </c>
      <c r="X9" s="37" t="s">
        <v>100</v>
      </c>
      <c r="Y9" s="37" t="s">
        <v>106</v>
      </c>
      <c r="Z9" s="37" t="s">
        <v>12</v>
      </c>
      <c r="AA9" s="37" t="s">
        <v>258</v>
      </c>
      <c r="AB9" s="37" t="s">
        <v>13</v>
      </c>
      <c r="AC9" s="37" t="s">
        <v>74</v>
      </c>
      <c r="AD9" s="37" t="s">
        <v>21</v>
      </c>
      <c r="AE9" s="37" t="s">
        <v>14</v>
      </c>
      <c r="AF9" s="37" t="s">
        <v>15</v>
      </c>
      <c r="AG9" s="37" t="s">
        <v>16</v>
      </c>
      <c r="AH9" s="15" t="s">
        <v>17</v>
      </c>
    </row>
    <row r="10" spans="1:37" x14ac:dyDescent="0.35">
      <c r="A10" s="38">
        <v>44823</v>
      </c>
      <c r="B10" s="39" t="s">
        <v>271</v>
      </c>
      <c r="C10" s="39" t="s">
        <v>272</v>
      </c>
      <c r="D10" s="45">
        <v>136220</v>
      </c>
      <c r="E10" s="39"/>
      <c r="F10" s="39">
        <v>200</v>
      </c>
      <c r="G10" s="39"/>
      <c r="H10" s="40">
        <v>116940</v>
      </c>
      <c r="I10" s="53">
        <v>0.55000000000000004</v>
      </c>
      <c r="J10" s="42">
        <f>IFERROR(K10/H10,"")</f>
        <v>0.58403882332820245</v>
      </c>
      <c r="K10" s="40">
        <v>68297.5</v>
      </c>
      <c r="L10" s="40"/>
      <c r="M10" s="40"/>
      <c r="N10" s="40"/>
      <c r="O10" s="40"/>
      <c r="P10" s="40"/>
      <c r="Q10" s="40"/>
      <c r="R10" s="40"/>
      <c r="S10" s="40"/>
      <c r="T10" s="40"/>
      <c r="U10" s="43">
        <v>275</v>
      </c>
      <c r="V10" s="43">
        <f>H10*U10*I10/15</f>
        <v>1179145</v>
      </c>
      <c r="W10" s="43">
        <v>315.73</v>
      </c>
      <c r="X10" s="43">
        <v>1437589.17</v>
      </c>
      <c r="Y10" s="84">
        <v>0</v>
      </c>
      <c r="Z10" s="43">
        <v>46136.4</v>
      </c>
      <c r="AA10" s="43">
        <v>0</v>
      </c>
      <c r="AB10" s="43">
        <v>5500</v>
      </c>
      <c r="AC10" s="43">
        <f>F10*30</f>
        <v>6000</v>
      </c>
      <c r="AD10" s="43">
        <f>IF(F10="",G10*3.83,F10*3.83)</f>
        <v>766</v>
      </c>
      <c r="AE10" s="43">
        <v>2875.18</v>
      </c>
      <c r="AF10" s="43">
        <f>V10+Y10+Z10+AA10+AB10+AC10+AD10</f>
        <v>1237547.3999999999</v>
      </c>
      <c r="AG10" s="43">
        <f>IFERROR(IFERROR((H10*W10*J10/15)-AE10,""),"")</f>
        <v>1434696.1316666668</v>
      </c>
      <c r="AH10" s="26">
        <f>IFERROR(AG10-AF10,"")</f>
        <v>197148.73166666692</v>
      </c>
    </row>
    <row r="11" spans="1:3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 t="s">
        <v>42</v>
      </c>
      <c r="AF11" s="21"/>
      <c r="AG11" s="21"/>
      <c r="AH11" s="26">
        <f>IFERROR(AH10/F10,"")</f>
        <v>985.74365833333457</v>
      </c>
      <c r="AJ11" s="6"/>
    </row>
    <row r="12" spans="1:3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0.13741497402494698</v>
      </c>
      <c r="AJ12" s="6"/>
    </row>
    <row r="15" spans="1:37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7" x14ac:dyDescent="0.35">
      <c r="A16" s="20">
        <v>44824</v>
      </c>
      <c r="B16" s="21" t="s">
        <v>271</v>
      </c>
      <c r="C16" s="21" t="s">
        <v>272</v>
      </c>
      <c r="D16" s="44">
        <v>136221</v>
      </c>
      <c r="E16" s="21"/>
      <c r="F16" s="21">
        <v>190</v>
      </c>
      <c r="G16" s="21"/>
      <c r="H16" s="22">
        <v>119480</v>
      </c>
      <c r="I16" s="33">
        <v>0.55000000000000004</v>
      </c>
      <c r="J16" s="24">
        <f>IFERROR(K16/H16,"")</f>
        <v>0.57291178439906265</v>
      </c>
      <c r="K16" s="22">
        <v>68451.5</v>
      </c>
      <c r="L16" s="22"/>
      <c r="M16" s="22"/>
      <c r="N16" s="22"/>
      <c r="O16" s="22"/>
      <c r="P16" s="22"/>
      <c r="Q16" s="22"/>
      <c r="R16" s="22"/>
      <c r="S16" s="22"/>
      <c r="T16" s="22"/>
      <c r="U16" s="25">
        <v>275</v>
      </c>
      <c r="V16" s="25">
        <f>H16*U16*I16/15</f>
        <v>1204756.6666666667</v>
      </c>
      <c r="W16" s="25">
        <v>313.37</v>
      </c>
      <c r="X16" s="25">
        <v>1430061.56</v>
      </c>
      <c r="Y16" s="25">
        <v>0</v>
      </c>
      <c r="Z16" s="25">
        <v>47963.199999999997</v>
      </c>
      <c r="AA16" s="25">
        <v>630</v>
      </c>
      <c r="AB16" s="25">
        <v>5225</v>
      </c>
      <c r="AC16" s="25">
        <f>F16*30</f>
        <v>5700</v>
      </c>
      <c r="AD16" s="25">
        <f>F16*3.83</f>
        <v>727.7</v>
      </c>
      <c r="AE16" s="25">
        <v>2860.13</v>
      </c>
      <c r="AF16" s="25">
        <f>V16+Y16+Z16+AA16+AB16+AC16+AD16</f>
        <v>1265002.5666666667</v>
      </c>
      <c r="AG16" s="25">
        <f>IFERROR(IFERROR((H16*W16*J16/15)-AE16,""),"")</f>
        <v>1427182.973666667</v>
      </c>
      <c r="AH16" s="26">
        <f>IFERROR(AG16-AF16,"")</f>
        <v>162180.40700000036</v>
      </c>
      <c r="AJ16" s="6"/>
      <c r="AK16" s="6"/>
    </row>
    <row r="17" spans="1:38" ht="14.5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IFERROR(AH16/F16,"")</f>
        <v>853.58108947368612</v>
      </c>
      <c r="AK17" s="63"/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0.11363673053310909</v>
      </c>
      <c r="AK18" s="63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K19" s="63"/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K20" s="63"/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K21" s="63"/>
    </row>
    <row r="22" spans="1:38" x14ac:dyDescent="0.35">
      <c r="A22" s="20">
        <v>44825</v>
      </c>
      <c r="B22" s="21" t="s">
        <v>271</v>
      </c>
      <c r="C22" s="21" t="s">
        <v>272</v>
      </c>
      <c r="D22" s="44">
        <v>136214</v>
      </c>
      <c r="E22" s="21"/>
      <c r="F22" s="21">
        <v>200</v>
      </c>
      <c r="G22" s="21"/>
      <c r="H22" s="22">
        <v>116440</v>
      </c>
      <c r="I22" s="33">
        <v>0.55000000000000004</v>
      </c>
      <c r="J22" s="24">
        <f>IFERROR(K22/H22,"")</f>
        <v>0.56836997595328065</v>
      </c>
      <c r="K22" s="22">
        <v>66181</v>
      </c>
      <c r="L22" s="22"/>
      <c r="M22" s="22"/>
      <c r="N22" s="22"/>
      <c r="O22" s="22"/>
      <c r="P22" s="22"/>
      <c r="Q22" s="22"/>
      <c r="R22" s="22"/>
      <c r="S22" s="22"/>
      <c r="T22" s="22"/>
      <c r="U22" s="25">
        <v>275</v>
      </c>
      <c r="V22" s="25">
        <f>H22*U22*I22/15</f>
        <v>1174103.3333333333</v>
      </c>
      <c r="W22" s="25">
        <v>312.02999999999997</v>
      </c>
      <c r="X22" s="25">
        <v>1376698.45</v>
      </c>
      <c r="Y22" s="25">
        <v>0</v>
      </c>
      <c r="Z22" s="25">
        <v>46241.599999999999</v>
      </c>
      <c r="AA22" s="25">
        <v>500</v>
      </c>
      <c r="AB22" s="25">
        <v>5500</v>
      </c>
      <c r="AC22" s="25">
        <f>F22*30</f>
        <v>6000</v>
      </c>
      <c r="AD22" s="25">
        <f>IF(F22="",G22*3.83,F22*3.83)</f>
        <v>766</v>
      </c>
      <c r="AE22" s="25">
        <v>2753.4</v>
      </c>
      <c r="AF22" s="25">
        <f>V22+Y22+Z22+AA22+AB22+AC22+AD22</f>
        <v>1233110.9333333333</v>
      </c>
      <c r="AG22" s="25">
        <f>IFERROR(IFERROR((H22*W22*J22/15)-AE22,""),"")</f>
        <v>1373943.7619999999</v>
      </c>
      <c r="AH22" s="26">
        <f>IFERROR(AG22-AF22,"")</f>
        <v>140832.82866666652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704.16414333333262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0.10250261514464122</v>
      </c>
      <c r="AJ24">
        <f>F4+G4+F10+G10+F16+G16+F22+G22</f>
        <v>650</v>
      </c>
      <c r="AK24" s="50" t="s">
        <v>22</v>
      </c>
      <c r="AL24" t="s">
        <v>72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  <c r="AJ25" s="11">
        <f>AH4+AH10+AH16+AH22+AH102+AH108+AH114</f>
        <v>533143.57466666715</v>
      </c>
      <c r="AK25" s="11">
        <f>AJ25*30%</f>
        <v>159943.07240000015</v>
      </c>
    </row>
    <row r="26" spans="1:38" ht="15" thickBot="1" x14ac:dyDescent="0.4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48"/>
      <c r="AJ26" s="11"/>
      <c r="AK26" s="11"/>
    </row>
    <row r="27" spans="1:38" ht="16" thickBot="1" x14ac:dyDescent="0.4">
      <c r="A27" s="377" t="s">
        <v>273</v>
      </c>
      <c r="B27" s="378"/>
      <c r="C27" s="378"/>
      <c r="D27" s="378"/>
      <c r="E27" s="378"/>
      <c r="F27" s="378"/>
      <c r="G27" s="378"/>
      <c r="H27" s="378"/>
      <c r="I27" s="378"/>
      <c r="J27" s="378"/>
      <c r="K27" s="378"/>
      <c r="L27" s="46"/>
      <c r="M27" s="46"/>
      <c r="N27" s="46"/>
      <c r="O27" s="46"/>
      <c r="P27" s="46"/>
      <c r="Q27" s="46"/>
      <c r="R27" s="46"/>
      <c r="S27" s="46"/>
      <c r="T27" s="46"/>
      <c r="U27" s="30"/>
      <c r="V27" s="31">
        <f>V4+V10+V16+V22</f>
        <v>3776777.666666667</v>
      </c>
      <c r="W27" s="30"/>
      <c r="X27" s="30"/>
      <c r="Y27" s="31">
        <f t="shared" ref="Y27:AG27" si="0">Y4+Y10+Y16+Y22</f>
        <v>7200</v>
      </c>
      <c r="Z27" s="31">
        <f t="shared" si="0"/>
        <v>146248.4</v>
      </c>
      <c r="AA27" s="31">
        <f t="shared" si="0"/>
        <v>1130</v>
      </c>
      <c r="AB27" s="31">
        <f t="shared" si="0"/>
        <v>17785</v>
      </c>
      <c r="AC27" s="31">
        <f t="shared" si="0"/>
        <v>17700</v>
      </c>
      <c r="AD27" s="31">
        <f t="shared" si="0"/>
        <v>2489.5</v>
      </c>
      <c r="AE27" s="31">
        <f t="shared" si="0"/>
        <v>9023.08</v>
      </c>
      <c r="AF27" s="31">
        <f t="shared" si="0"/>
        <v>3969330.5666666664</v>
      </c>
      <c r="AG27" s="31">
        <f t="shared" si="0"/>
        <v>4502474.1413333341</v>
      </c>
      <c r="AH27" s="32"/>
    </row>
  </sheetData>
  <mergeCells count="2">
    <mergeCell ref="U2:AC2"/>
    <mergeCell ref="A27:K2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8"/>
  <dimension ref="A1:AL117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19.81640625" bestFit="1" customWidth="1"/>
    <col min="4" max="4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44831</v>
      </c>
      <c r="B4" s="21" t="s">
        <v>276</v>
      </c>
      <c r="C4" s="21" t="s">
        <v>272</v>
      </c>
      <c r="D4" s="44">
        <v>136501</v>
      </c>
      <c r="E4" s="21"/>
      <c r="F4" s="21">
        <v>200</v>
      </c>
      <c r="G4" s="21"/>
      <c r="H4" s="22">
        <v>112880</v>
      </c>
      <c r="I4" s="33">
        <v>0.55000000000000004</v>
      </c>
      <c r="J4" s="24">
        <f>IFERROR(K4/H4,"")</f>
        <v>0.58031094968107721</v>
      </c>
      <c r="K4" s="22">
        <v>65505.5</v>
      </c>
      <c r="L4" s="21"/>
      <c r="M4" s="21"/>
      <c r="N4" s="21"/>
      <c r="O4" s="21"/>
      <c r="P4" s="21"/>
      <c r="Q4" s="21"/>
      <c r="R4" s="21"/>
      <c r="S4" s="21"/>
      <c r="T4" s="21"/>
      <c r="U4" s="25">
        <v>275</v>
      </c>
      <c r="V4" s="25">
        <f>H4*U4*I4/15</f>
        <v>1138206.6666666667</v>
      </c>
      <c r="W4" s="25">
        <v>315.25</v>
      </c>
      <c r="X4" s="25">
        <v>1376724.9</v>
      </c>
      <c r="Y4" s="25">
        <v>0</v>
      </c>
      <c r="Z4" s="25">
        <v>44916.4</v>
      </c>
      <c r="AA4" s="25">
        <v>17000</v>
      </c>
      <c r="AB4" s="25">
        <v>5500</v>
      </c>
      <c r="AC4" s="25">
        <f>F4*30</f>
        <v>6000</v>
      </c>
      <c r="AD4" s="25">
        <f>F4*3.83</f>
        <v>766</v>
      </c>
      <c r="AE4" s="25">
        <v>2753.44</v>
      </c>
      <c r="AF4" s="25">
        <f>V4+Y4+Z4+AA4+AB4+AC4+AD4</f>
        <v>1212389.0666666667</v>
      </c>
      <c r="AG4" s="25">
        <f>IFERROR(IFERROR((H4*W4*J4/15)-AE4,""),"")</f>
        <v>1373953.8183333334</v>
      </c>
      <c r="AH4" s="26">
        <f>IFERROR(AG4-AF4,"")</f>
        <v>161564.75166666671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807.82375833333356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0.1175911078748279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37" t="s">
        <v>1</v>
      </c>
      <c r="B9" s="37" t="s">
        <v>2</v>
      </c>
      <c r="C9" s="37" t="s">
        <v>110</v>
      </c>
      <c r="D9" s="37" t="s">
        <v>66</v>
      </c>
      <c r="E9" s="37" t="s">
        <v>32</v>
      </c>
      <c r="F9" s="37" t="s">
        <v>137</v>
      </c>
      <c r="G9" s="37" t="s">
        <v>138</v>
      </c>
      <c r="H9" s="37" t="s">
        <v>4</v>
      </c>
      <c r="I9" s="37" t="s">
        <v>5</v>
      </c>
      <c r="J9" s="37" t="s">
        <v>6</v>
      </c>
      <c r="K9" s="37" t="s">
        <v>7</v>
      </c>
      <c r="L9" s="37" t="s">
        <v>279</v>
      </c>
      <c r="M9" s="37" t="s">
        <v>280</v>
      </c>
      <c r="N9" s="37" t="s">
        <v>281</v>
      </c>
      <c r="O9" s="37" t="s">
        <v>282</v>
      </c>
      <c r="P9" s="37" t="s">
        <v>283</v>
      </c>
      <c r="Q9" s="37" t="s">
        <v>284</v>
      </c>
      <c r="R9" s="37" t="s">
        <v>904</v>
      </c>
      <c r="S9" s="37" t="s">
        <v>285</v>
      </c>
      <c r="T9" s="37" t="s">
        <v>289</v>
      </c>
      <c r="U9" s="37" t="s">
        <v>8</v>
      </c>
      <c r="V9" s="37" t="s">
        <v>9</v>
      </c>
      <c r="W9" s="37" t="s">
        <v>10</v>
      </c>
      <c r="X9" s="37" t="s">
        <v>100</v>
      </c>
      <c r="Y9" s="37" t="s">
        <v>106</v>
      </c>
      <c r="Z9" s="37" t="s">
        <v>12</v>
      </c>
      <c r="AA9" s="37" t="s">
        <v>258</v>
      </c>
      <c r="AB9" s="37" t="s">
        <v>13</v>
      </c>
      <c r="AC9" s="37" t="s">
        <v>74</v>
      </c>
      <c r="AD9" s="37" t="s">
        <v>21</v>
      </c>
      <c r="AE9" s="37" t="s">
        <v>14</v>
      </c>
      <c r="AF9" s="37" t="s">
        <v>15</v>
      </c>
      <c r="AG9" s="37" t="s">
        <v>16</v>
      </c>
      <c r="AH9" s="15" t="s">
        <v>17</v>
      </c>
      <c r="AK9" s="63"/>
    </row>
    <row r="10" spans="1:38" x14ac:dyDescent="0.35">
      <c r="A10" s="38">
        <v>44832</v>
      </c>
      <c r="B10" s="39" t="s">
        <v>276</v>
      </c>
      <c r="C10" s="39" t="s">
        <v>272</v>
      </c>
      <c r="D10" s="45">
        <v>136505</v>
      </c>
      <c r="E10" s="39"/>
      <c r="F10" s="39">
        <v>200</v>
      </c>
      <c r="G10" s="39"/>
      <c r="H10" s="40">
        <v>115001</v>
      </c>
      <c r="I10" s="53">
        <v>0.55000000000000004</v>
      </c>
      <c r="J10" s="42">
        <f>IFERROR(K10/H10,"")</f>
        <v>0.56730376257597759</v>
      </c>
      <c r="K10" s="40">
        <v>65240.5</v>
      </c>
      <c r="L10" s="39"/>
      <c r="M10" s="39"/>
      <c r="N10" s="39"/>
      <c r="O10" s="39"/>
      <c r="P10" s="39"/>
      <c r="Q10" s="39"/>
      <c r="R10" s="39"/>
      <c r="S10" s="39"/>
      <c r="T10" s="39"/>
      <c r="U10" s="43">
        <v>275</v>
      </c>
      <c r="V10" s="43">
        <f>H10*U10*I10/15</f>
        <v>1159593.4166666667</v>
      </c>
      <c r="W10" s="43">
        <v>314.93</v>
      </c>
      <c r="X10" s="43">
        <v>1369723.37</v>
      </c>
      <c r="Y10" s="43">
        <v>0</v>
      </c>
      <c r="Z10" s="43">
        <v>44675.6</v>
      </c>
      <c r="AA10" s="43">
        <v>0</v>
      </c>
      <c r="AB10" s="43">
        <v>5500</v>
      </c>
      <c r="AC10" s="43">
        <f>F10*30</f>
        <v>6000</v>
      </c>
      <c r="AD10" s="43">
        <f>IF(F10="",G10*3.83,F10*3.83)</f>
        <v>766</v>
      </c>
      <c r="AE10" s="43">
        <v>2739.45</v>
      </c>
      <c r="AF10" s="43">
        <f>V10+Y10+Z10+AA10+AB10+AC10+AD10</f>
        <v>1216535.0166666668</v>
      </c>
      <c r="AG10" s="43">
        <f>IFERROR(IFERROR((H10*W10*J10/15)-AE10,""),"")</f>
        <v>1367006.5943333334</v>
      </c>
      <c r="AH10" s="26">
        <f>IFERROR(AG10-AF10,"")</f>
        <v>150471.57766666659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752.35788833333299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0.1100737760084099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 t="s">
        <v>32</v>
      </c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20">
        <v>44834</v>
      </c>
      <c r="B16" s="21" t="s">
        <v>276</v>
      </c>
      <c r="C16" s="21" t="s">
        <v>272</v>
      </c>
      <c r="D16" s="44">
        <v>137383</v>
      </c>
      <c r="E16" s="21"/>
      <c r="F16" s="21">
        <v>91</v>
      </c>
      <c r="G16" s="21"/>
      <c r="H16" s="22">
        <v>50282.05</v>
      </c>
      <c r="I16" s="33">
        <v>0.55000000000000004</v>
      </c>
      <c r="J16" s="24">
        <f>IFERROR(K16/H16,"")</f>
        <v>0.55064381822141295</v>
      </c>
      <c r="K16" s="22">
        <v>27687.5</v>
      </c>
      <c r="L16" s="21">
        <v>11</v>
      </c>
      <c r="M16" s="21">
        <v>52</v>
      </c>
      <c r="N16" s="21">
        <v>24</v>
      </c>
      <c r="O16" s="21">
        <v>2</v>
      </c>
      <c r="P16" s="21"/>
      <c r="Q16" s="21"/>
      <c r="R16" s="21"/>
      <c r="S16" s="21">
        <v>1</v>
      </c>
      <c r="T16" s="21">
        <v>1</v>
      </c>
      <c r="U16" s="25">
        <v>275</v>
      </c>
      <c r="V16" s="25">
        <f>H16*U16*I16/15</f>
        <v>507010.6708333334</v>
      </c>
      <c r="W16" s="25">
        <v>309.89</v>
      </c>
      <c r="X16" s="25">
        <v>572008.71</v>
      </c>
      <c r="Y16" s="25">
        <f>F16*80</f>
        <v>7280</v>
      </c>
      <c r="Z16" s="25">
        <v>20861.93</v>
      </c>
      <c r="AA16" s="25">
        <v>560</v>
      </c>
      <c r="AB16" s="25">
        <v>2502.5</v>
      </c>
      <c r="AC16" s="25">
        <f>F16*30</f>
        <v>2730</v>
      </c>
      <c r="AD16" s="25">
        <f>IF(F16="",G16*3.83,F16*3.83)</f>
        <v>348.53000000000003</v>
      </c>
      <c r="AE16" s="25">
        <v>1144.02</v>
      </c>
      <c r="AF16" s="25">
        <f>V16+Y16+Z16+AA16+AB16+AC16+AD16</f>
        <v>541293.63083333347</v>
      </c>
      <c r="AG16" s="25">
        <f>IFERROR(IFERROR((H16*W16*J16/15)-AE16,""),"")</f>
        <v>570861.27166666661</v>
      </c>
      <c r="AH16" s="26">
        <f>IFERROR(AG16-AF16,"")</f>
        <v>29567.640833333135</v>
      </c>
      <c r="AJ16">
        <f>F4+G4+F10+G10+F16+G16+F22+G22+F28+G28</f>
        <v>600</v>
      </c>
      <c r="AK16" s="50" t="s">
        <v>22</v>
      </c>
      <c r="AL16" t="s">
        <v>72</v>
      </c>
    </row>
    <row r="17" spans="1:37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324.91913003662785</v>
      </c>
      <c r="AJ17" s="11">
        <f>AH4+AH10+AH16++AH22+AH28</f>
        <v>422088.08399999986</v>
      </c>
      <c r="AK17" s="11">
        <f>AJ17*30%</f>
        <v>126626.42519999995</v>
      </c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5.1794792011390936E-2</v>
      </c>
      <c r="AJ18" s="11"/>
      <c r="AK18" s="11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</row>
    <row r="21" spans="1:37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 t="s">
        <v>32</v>
      </c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</row>
    <row r="22" spans="1:37" x14ac:dyDescent="0.35">
      <c r="A22" s="20">
        <v>44834</v>
      </c>
      <c r="B22" s="21" t="s">
        <v>276</v>
      </c>
      <c r="C22" s="21" t="s">
        <v>272</v>
      </c>
      <c r="D22" s="44">
        <v>137460</v>
      </c>
      <c r="E22" s="21"/>
      <c r="F22" s="21">
        <v>50</v>
      </c>
      <c r="G22" s="21"/>
      <c r="H22" s="22">
        <v>27627.5</v>
      </c>
      <c r="I22" s="33">
        <v>0.55000000000000004</v>
      </c>
      <c r="J22" s="24">
        <f>IFERROR(K22/H22,"")</f>
        <v>0.56380418061713877</v>
      </c>
      <c r="K22" s="22">
        <v>15576.5</v>
      </c>
      <c r="L22" s="21">
        <v>6</v>
      </c>
      <c r="M22" s="21">
        <v>26</v>
      </c>
      <c r="N22" s="21">
        <v>17</v>
      </c>
      <c r="O22" s="21">
        <v>1</v>
      </c>
      <c r="P22" s="21"/>
      <c r="Q22" s="21"/>
      <c r="R22" s="21"/>
      <c r="S22" s="21"/>
      <c r="T22" s="21"/>
      <c r="U22" s="25">
        <v>275</v>
      </c>
      <c r="V22" s="25">
        <f>H22*U22*I22/15</f>
        <v>278577.29166666669</v>
      </c>
      <c r="W22" s="25">
        <v>309.33</v>
      </c>
      <c r="X22" s="25">
        <v>321214.71000000002</v>
      </c>
      <c r="Y22" s="25">
        <f>F22*80</f>
        <v>4000</v>
      </c>
      <c r="Z22" s="25">
        <v>11462.6</v>
      </c>
      <c r="AA22" s="25">
        <v>0</v>
      </c>
      <c r="AB22" s="25">
        <v>1375</v>
      </c>
      <c r="AC22" s="25">
        <f>F22*30</f>
        <v>1500</v>
      </c>
      <c r="AD22" s="25">
        <f>IF(F22="",G22*3.83,F22*3.83)</f>
        <v>191.5</v>
      </c>
      <c r="AE22" s="25">
        <v>642.42999999999995</v>
      </c>
      <c r="AF22" s="25">
        <f>V22+Y22+Z22+AA22+AB22+AC22+AD22</f>
        <v>297106.39166666666</v>
      </c>
      <c r="AG22" s="25">
        <f>IFERROR(IFERROR((H22*W22*J22/15)-AE22,""),"")</f>
        <v>320576.15299999999</v>
      </c>
      <c r="AH22" s="26">
        <f>IFERROR(AG22-AF22,"")</f>
        <v>23469.761333333328</v>
      </c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469.39522666666659</v>
      </c>
    </row>
    <row r="24" spans="1:3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7.321118902232672E-2</v>
      </c>
    </row>
    <row r="25" spans="1:3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7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 t="s">
        <v>32</v>
      </c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7" x14ac:dyDescent="0.35">
      <c r="A28" s="20">
        <v>44834</v>
      </c>
      <c r="B28" s="21" t="s">
        <v>276</v>
      </c>
      <c r="C28" s="21" t="s">
        <v>272</v>
      </c>
      <c r="D28" s="44">
        <v>137222</v>
      </c>
      <c r="E28" s="21"/>
      <c r="F28" s="21">
        <v>59</v>
      </c>
      <c r="G28" s="21"/>
      <c r="H28" s="22">
        <v>32600.45</v>
      </c>
      <c r="I28" s="33">
        <v>0.55000000000000004</v>
      </c>
      <c r="J28" s="24">
        <f>IFERROR(K28/H28,"")</f>
        <v>0.59738439193324022</v>
      </c>
      <c r="K28" s="22">
        <v>19475</v>
      </c>
      <c r="L28" s="21">
        <v>8</v>
      </c>
      <c r="M28" s="21">
        <v>24</v>
      </c>
      <c r="N28" s="21">
        <v>23</v>
      </c>
      <c r="O28" s="21">
        <v>2</v>
      </c>
      <c r="P28" s="21"/>
      <c r="Q28" s="21"/>
      <c r="R28" s="21"/>
      <c r="S28" s="21">
        <v>2</v>
      </c>
      <c r="T28" s="21"/>
      <c r="U28" s="25">
        <v>275</v>
      </c>
      <c r="V28" s="25">
        <f>H28*U28*I28/15</f>
        <v>328721.20416666666</v>
      </c>
      <c r="W28" s="25">
        <v>314.57</v>
      </c>
      <c r="X28" s="25">
        <v>408412.78</v>
      </c>
      <c r="Y28" s="25">
        <f>F28*80</f>
        <v>4720</v>
      </c>
      <c r="Z28" s="25">
        <v>13525.86</v>
      </c>
      <c r="AA28" s="25">
        <v>0</v>
      </c>
      <c r="AB28" s="25">
        <v>1622.5</v>
      </c>
      <c r="AC28" s="25">
        <f>F28*30</f>
        <v>1770</v>
      </c>
      <c r="AD28" s="25">
        <f>IF(F28="",G28*3.83,F28*3.83)</f>
        <v>225.97</v>
      </c>
      <c r="AE28" s="25">
        <v>816.83</v>
      </c>
      <c r="AF28" s="25">
        <f>V28+Y28+Z28+AA28+AB28+AC28+AD28</f>
        <v>350585.53416666662</v>
      </c>
      <c r="AG28" s="25">
        <f>IFERROR(IFERROR((H28*W28*J28/15)-AE28,""),"")</f>
        <v>407599.88666666672</v>
      </c>
      <c r="AH28" s="26">
        <f>IFERROR(AG28-AF28,"")</f>
        <v>57014.352500000095</v>
      </c>
    </row>
    <row r="29" spans="1:37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966.34495762712027</v>
      </c>
    </row>
    <row r="30" spans="1:37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0.13987823442803399</v>
      </c>
    </row>
    <row r="31" spans="1:37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7" ht="15" thickBot="1" x14ac:dyDescent="0.4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3"/>
      <c r="AA32" s="21"/>
      <c r="AB32" s="21"/>
      <c r="AC32" s="21"/>
      <c r="AD32" s="21"/>
      <c r="AE32" s="21"/>
      <c r="AF32" s="21"/>
      <c r="AG32" s="21"/>
      <c r="AH32" s="48"/>
    </row>
    <row r="33" spans="1:34" ht="16" thickBot="1" x14ac:dyDescent="0.4">
      <c r="A33" s="377" t="s">
        <v>275</v>
      </c>
      <c r="B33" s="378"/>
      <c r="C33" s="378"/>
      <c r="D33" s="378"/>
      <c r="E33" s="378"/>
      <c r="F33" s="378"/>
      <c r="G33" s="378"/>
      <c r="H33" s="378"/>
      <c r="I33" s="378"/>
      <c r="J33" s="378"/>
      <c r="K33" s="378"/>
      <c r="L33" s="89"/>
      <c r="M33" s="89"/>
      <c r="N33" s="89"/>
      <c r="O33" s="89"/>
      <c r="P33" s="89"/>
      <c r="Q33" s="89"/>
      <c r="R33" s="89"/>
      <c r="S33" s="89"/>
      <c r="T33" s="89"/>
      <c r="U33" s="32"/>
      <c r="V33" s="31">
        <f>V4+V10+V16+V22+V28</f>
        <v>3412109.25</v>
      </c>
      <c r="W33" s="30"/>
      <c r="X33" s="30"/>
      <c r="Y33" s="31">
        <f t="shared" ref="Y33:AG33" si="0">Y4+Y10+Y16+Y22+Y28</f>
        <v>16000</v>
      </c>
      <c r="Z33" s="31">
        <f t="shared" si="0"/>
        <v>135442.39000000001</v>
      </c>
      <c r="AA33" s="31">
        <f t="shared" si="0"/>
        <v>17560</v>
      </c>
      <c r="AB33" s="31">
        <f t="shared" si="0"/>
        <v>16500</v>
      </c>
      <c r="AC33" s="31">
        <f t="shared" si="0"/>
        <v>18000</v>
      </c>
      <c r="AD33" s="31">
        <f t="shared" si="0"/>
        <v>2297.9999999999995</v>
      </c>
      <c r="AE33" s="31">
        <f t="shared" si="0"/>
        <v>8096.17</v>
      </c>
      <c r="AF33" s="31">
        <f t="shared" si="0"/>
        <v>3617909.64</v>
      </c>
      <c r="AG33" s="31">
        <f t="shared" si="0"/>
        <v>4039997.7239999999</v>
      </c>
      <c r="AH33" s="32"/>
    </row>
    <row r="34" spans="1:34" x14ac:dyDescent="0.35">
      <c r="L34" s="21"/>
      <c r="M34" s="21"/>
      <c r="N34" s="21"/>
      <c r="O34" s="21"/>
      <c r="P34" s="21"/>
      <c r="Q34" s="21"/>
      <c r="R34" s="21"/>
      <c r="S34" s="21"/>
      <c r="T34" s="21"/>
    </row>
    <row r="35" spans="1:34" x14ac:dyDescent="0.35">
      <c r="L35" s="21"/>
      <c r="M35" s="21"/>
      <c r="N35" s="21"/>
      <c r="O35" s="21"/>
      <c r="P35" s="21"/>
      <c r="Q35" s="21"/>
      <c r="R35" s="21"/>
      <c r="S35" s="21"/>
      <c r="T35" s="21"/>
    </row>
    <row r="36" spans="1:34" x14ac:dyDescent="0.35">
      <c r="L36" s="21"/>
      <c r="M36" s="21"/>
      <c r="N36" s="21"/>
      <c r="O36" s="21"/>
      <c r="P36" s="21"/>
      <c r="Q36" s="21"/>
      <c r="R36" s="21"/>
      <c r="S36" s="21"/>
      <c r="T36" s="21"/>
    </row>
    <row r="37" spans="1:34" x14ac:dyDescent="0.35">
      <c r="L37" s="21"/>
      <c r="M37" s="21"/>
      <c r="N37" s="21"/>
      <c r="O37" s="21"/>
      <c r="P37" s="21"/>
      <c r="Q37" s="21"/>
      <c r="R37" s="21"/>
      <c r="S37" s="21"/>
      <c r="T37" s="21"/>
    </row>
    <row r="38" spans="1:34" x14ac:dyDescent="0.35">
      <c r="L38" s="21"/>
      <c r="M38" s="21"/>
      <c r="N38" s="21"/>
      <c r="O38" s="21"/>
      <c r="P38" s="21"/>
      <c r="Q38" s="21"/>
      <c r="R38" s="21"/>
      <c r="S38" s="21"/>
      <c r="T38" s="21"/>
    </row>
    <row r="39" spans="1:34" x14ac:dyDescent="0.35">
      <c r="L39" s="14"/>
      <c r="M39" s="14"/>
      <c r="N39" s="14"/>
      <c r="O39" s="14"/>
      <c r="P39" s="14"/>
      <c r="Q39" s="14"/>
      <c r="R39" s="14"/>
      <c r="S39" s="14"/>
      <c r="T39" s="14"/>
    </row>
    <row r="40" spans="1:34" x14ac:dyDescent="0.35">
      <c r="L40" s="21"/>
      <c r="M40" s="21"/>
      <c r="N40" s="21"/>
      <c r="O40" s="21"/>
      <c r="P40" s="21"/>
      <c r="Q40" s="21"/>
      <c r="R40" s="21"/>
      <c r="S40" s="21"/>
      <c r="T40" s="21"/>
    </row>
    <row r="41" spans="1:34" x14ac:dyDescent="0.35">
      <c r="L41" s="21"/>
      <c r="M41" s="21"/>
      <c r="N41" s="21"/>
      <c r="O41" s="21"/>
      <c r="P41" s="21"/>
      <c r="Q41" s="21"/>
      <c r="R41" s="21"/>
      <c r="S41" s="21"/>
      <c r="T41" s="21"/>
    </row>
    <row r="42" spans="1:34" x14ac:dyDescent="0.35">
      <c r="L42" s="21"/>
      <c r="M42" s="21"/>
      <c r="N42" s="21"/>
      <c r="O42" s="21"/>
      <c r="P42" s="21"/>
      <c r="Q42" s="21"/>
      <c r="R42" s="21"/>
      <c r="S42" s="21"/>
      <c r="T42" s="21"/>
    </row>
    <row r="43" spans="1:34" x14ac:dyDescent="0.35">
      <c r="L43" s="21"/>
      <c r="M43" s="21"/>
      <c r="N43" s="21"/>
      <c r="O43" s="21"/>
      <c r="P43" s="21"/>
      <c r="Q43" s="21"/>
      <c r="R43" s="21"/>
      <c r="S43" s="21"/>
      <c r="T43" s="21"/>
    </row>
    <row r="44" spans="1:34" x14ac:dyDescent="0.35">
      <c r="L44" s="21"/>
      <c r="M44" s="21"/>
      <c r="N44" s="21"/>
      <c r="O44" s="21"/>
      <c r="P44" s="21"/>
      <c r="Q44" s="21"/>
      <c r="R44" s="21"/>
      <c r="S44" s="21"/>
      <c r="T44" s="21"/>
    </row>
    <row r="45" spans="1:34" x14ac:dyDescent="0.35">
      <c r="L45" s="14"/>
      <c r="M45" s="14"/>
      <c r="N45" s="14"/>
      <c r="O45" s="14"/>
      <c r="P45" s="14"/>
      <c r="Q45" s="14"/>
      <c r="R45" s="14"/>
      <c r="S45" s="14"/>
      <c r="T45" s="14"/>
    </row>
    <row r="46" spans="1:34" x14ac:dyDescent="0.35">
      <c r="L46" s="21"/>
      <c r="M46" s="21"/>
      <c r="N46" s="21"/>
      <c r="O46" s="21"/>
      <c r="P46" s="21"/>
      <c r="Q46" s="21"/>
      <c r="R46" s="21"/>
      <c r="S46" s="21"/>
      <c r="T46" s="21"/>
    </row>
    <row r="47" spans="1:34" x14ac:dyDescent="0.35">
      <c r="L47" s="21"/>
      <c r="M47" s="21"/>
      <c r="N47" s="21"/>
      <c r="O47" s="21"/>
      <c r="P47" s="21"/>
      <c r="Q47" s="21"/>
      <c r="R47" s="21"/>
      <c r="S47" s="21"/>
      <c r="T47" s="21"/>
    </row>
    <row r="48" spans="1:34" x14ac:dyDescent="0.35">
      <c r="L48" s="21"/>
      <c r="M48" s="21"/>
      <c r="N48" s="21"/>
      <c r="O48" s="21"/>
      <c r="P48" s="21"/>
      <c r="Q48" s="21"/>
      <c r="R48" s="21"/>
      <c r="S48" s="21"/>
      <c r="T48" s="21"/>
    </row>
    <row r="49" spans="12:20" x14ac:dyDescent="0.35">
      <c r="L49" s="21"/>
      <c r="M49" s="21"/>
      <c r="N49" s="21"/>
      <c r="O49" s="21"/>
      <c r="P49" s="21"/>
      <c r="Q49" s="21"/>
      <c r="R49" s="21"/>
      <c r="S49" s="21"/>
      <c r="T49" s="21"/>
    </row>
    <row r="50" spans="12:20" x14ac:dyDescent="0.35">
      <c r="L50" s="21"/>
      <c r="M50" s="21"/>
      <c r="N50" s="21"/>
      <c r="O50" s="21"/>
      <c r="P50" s="21"/>
      <c r="Q50" s="21"/>
      <c r="R50" s="21"/>
      <c r="S50" s="21"/>
      <c r="T50" s="21"/>
    </row>
    <row r="51" spans="12:20" x14ac:dyDescent="0.35">
      <c r="L51" s="14"/>
      <c r="M51" s="14"/>
      <c r="N51" s="14"/>
      <c r="O51" s="14"/>
      <c r="P51" s="14"/>
      <c r="Q51" s="14"/>
      <c r="R51" s="14"/>
      <c r="S51" s="14"/>
      <c r="T51" s="14"/>
    </row>
    <row r="52" spans="12:20" x14ac:dyDescent="0.35">
      <c r="L52" s="21"/>
      <c r="M52" s="21"/>
      <c r="N52" s="21"/>
      <c r="O52" s="21"/>
      <c r="P52" s="21"/>
      <c r="Q52" s="21"/>
      <c r="R52" s="21"/>
      <c r="S52" s="21"/>
      <c r="T52" s="21"/>
    </row>
    <row r="53" spans="12:20" x14ac:dyDescent="0.35">
      <c r="L53" s="21"/>
      <c r="M53" s="21"/>
      <c r="N53" s="21"/>
      <c r="O53" s="21"/>
      <c r="P53" s="21"/>
      <c r="Q53" s="21"/>
      <c r="R53" s="21"/>
      <c r="S53" s="21"/>
      <c r="T53" s="21"/>
    </row>
    <row r="54" spans="12:20" x14ac:dyDescent="0.35">
      <c r="L54" s="21"/>
      <c r="M54" s="21"/>
      <c r="N54" s="21"/>
      <c r="O54" s="21"/>
      <c r="P54" s="21"/>
      <c r="Q54" s="21"/>
      <c r="R54" s="21"/>
      <c r="S54" s="21"/>
      <c r="T54" s="21"/>
    </row>
    <row r="55" spans="12:20" x14ac:dyDescent="0.35">
      <c r="L55" s="21"/>
      <c r="M55" s="21"/>
      <c r="N55" s="21"/>
      <c r="O55" s="21"/>
      <c r="P55" s="21"/>
      <c r="Q55" s="21"/>
      <c r="R55" s="21"/>
      <c r="S55" s="21"/>
      <c r="T55" s="21"/>
    </row>
    <row r="56" spans="12:20" x14ac:dyDescent="0.35">
      <c r="L56" s="21"/>
      <c r="M56" s="21"/>
      <c r="N56" s="21"/>
      <c r="O56" s="21"/>
      <c r="P56" s="21"/>
      <c r="Q56" s="21"/>
      <c r="R56" s="21"/>
      <c r="S56" s="21"/>
      <c r="T56" s="21"/>
    </row>
    <row r="57" spans="12:20" x14ac:dyDescent="0.35">
      <c r="L57" s="14"/>
      <c r="M57" s="14"/>
      <c r="N57" s="14"/>
      <c r="O57" s="14"/>
      <c r="P57" s="14"/>
      <c r="Q57" s="14"/>
      <c r="R57" s="14"/>
      <c r="S57" s="14"/>
      <c r="T57" s="14"/>
    </row>
    <row r="58" spans="12:20" x14ac:dyDescent="0.35">
      <c r="L58" s="21"/>
      <c r="M58" s="21"/>
      <c r="N58" s="21"/>
      <c r="O58" s="21"/>
      <c r="P58" s="21"/>
      <c r="Q58" s="21"/>
      <c r="R58" s="21"/>
      <c r="S58" s="21"/>
      <c r="T58" s="21"/>
    </row>
    <row r="59" spans="12:20" x14ac:dyDescent="0.35">
      <c r="L59" s="21"/>
      <c r="M59" s="21"/>
      <c r="N59" s="21"/>
      <c r="O59" s="21"/>
      <c r="P59" s="21"/>
      <c r="Q59" s="21"/>
      <c r="R59" s="21"/>
      <c r="S59" s="21"/>
      <c r="T59" s="21"/>
    </row>
    <row r="60" spans="12:20" x14ac:dyDescent="0.35">
      <c r="L60" s="21"/>
      <c r="M60" s="21"/>
      <c r="N60" s="21"/>
      <c r="O60" s="21"/>
      <c r="P60" s="21"/>
      <c r="Q60" s="21"/>
      <c r="R60" s="21"/>
      <c r="S60" s="21"/>
      <c r="T60" s="21"/>
    </row>
    <row r="61" spans="12:20" x14ac:dyDescent="0.35">
      <c r="L61" s="21"/>
      <c r="M61" s="21"/>
      <c r="N61" s="21"/>
      <c r="O61" s="21"/>
      <c r="P61" s="21"/>
      <c r="Q61" s="21"/>
      <c r="R61" s="21"/>
      <c r="S61" s="21"/>
      <c r="T61" s="21"/>
    </row>
    <row r="62" spans="12:20" x14ac:dyDescent="0.35">
      <c r="L62" s="21"/>
      <c r="M62" s="21"/>
      <c r="N62" s="21"/>
      <c r="O62" s="21"/>
      <c r="P62" s="21"/>
      <c r="Q62" s="21"/>
      <c r="R62" s="21"/>
      <c r="S62" s="21"/>
      <c r="T62" s="21"/>
    </row>
    <row r="63" spans="12:20" x14ac:dyDescent="0.35">
      <c r="L63" s="14"/>
      <c r="M63" s="14"/>
      <c r="N63" s="14"/>
      <c r="O63" s="14"/>
      <c r="P63" s="14"/>
      <c r="Q63" s="14"/>
      <c r="R63" s="14"/>
      <c r="S63" s="14"/>
      <c r="T63" s="14"/>
    </row>
    <row r="64" spans="12:20" x14ac:dyDescent="0.35">
      <c r="L64" s="21"/>
      <c r="M64" s="21"/>
      <c r="N64" s="21"/>
      <c r="O64" s="21"/>
      <c r="P64" s="21"/>
      <c r="Q64" s="21"/>
      <c r="R64" s="21"/>
      <c r="S64" s="21"/>
      <c r="T64" s="21"/>
    </row>
    <row r="65" spans="12:20" x14ac:dyDescent="0.35">
      <c r="L65" s="21"/>
      <c r="M65" s="21"/>
      <c r="N65" s="21"/>
      <c r="O65" s="21"/>
      <c r="P65" s="21"/>
      <c r="Q65" s="21"/>
      <c r="R65" s="21"/>
      <c r="S65" s="21"/>
      <c r="T65" s="21"/>
    </row>
    <row r="66" spans="12:20" x14ac:dyDescent="0.35">
      <c r="L66" s="21"/>
      <c r="M66" s="21"/>
      <c r="N66" s="21"/>
      <c r="O66" s="21"/>
      <c r="P66" s="21"/>
      <c r="Q66" s="21"/>
      <c r="R66" s="21"/>
      <c r="S66" s="21"/>
      <c r="T66" s="21"/>
    </row>
    <row r="67" spans="12:20" x14ac:dyDescent="0.35">
      <c r="L67" s="21"/>
      <c r="M67" s="21"/>
      <c r="N67" s="21"/>
      <c r="O67" s="21"/>
      <c r="P67" s="21"/>
      <c r="Q67" s="21"/>
      <c r="R67" s="21"/>
      <c r="S67" s="21"/>
      <c r="T67" s="21"/>
    </row>
    <row r="68" spans="12:20" x14ac:dyDescent="0.35">
      <c r="L68" s="21"/>
      <c r="M68" s="21"/>
      <c r="N68" s="21"/>
      <c r="O68" s="21"/>
      <c r="P68" s="21"/>
      <c r="Q68" s="21"/>
      <c r="R68" s="21"/>
      <c r="S68" s="21"/>
      <c r="T68" s="21"/>
    </row>
    <row r="69" spans="12:20" x14ac:dyDescent="0.35">
      <c r="L69" s="14"/>
      <c r="M69" s="14"/>
      <c r="N69" s="14"/>
      <c r="O69" s="14"/>
      <c r="P69" s="14"/>
      <c r="Q69" s="14"/>
      <c r="R69" s="14"/>
      <c r="S69" s="14"/>
      <c r="T69" s="14"/>
    </row>
    <row r="70" spans="12:20" x14ac:dyDescent="0.35">
      <c r="L70" s="21"/>
      <c r="M70" s="21"/>
      <c r="N70" s="21"/>
      <c r="O70" s="21"/>
      <c r="P70" s="21"/>
      <c r="Q70" s="21"/>
      <c r="R70" s="21"/>
      <c r="S70" s="21"/>
      <c r="T70" s="21"/>
    </row>
    <row r="71" spans="12:20" x14ac:dyDescent="0.35">
      <c r="L71" s="21"/>
      <c r="M71" s="21"/>
      <c r="N71" s="21"/>
      <c r="O71" s="21"/>
      <c r="P71" s="21"/>
      <c r="Q71" s="21"/>
      <c r="R71" s="21"/>
      <c r="S71" s="21"/>
      <c r="T71" s="21"/>
    </row>
    <row r="72" spans="12:20" x14ac:dyDescent="0.35">
      <c r="L72" s="21"/>
      <c r="M72" s="21"/>
      <c r="N72" s="21"/>
      <c r="O72" s="21"/>
      <c r="P72" s="21"/>
      <c r="Q72" s="21"/>
      <c r="R72" s="21"/>
      <c r="S72" s="21"/>
      <c r="T72" s="21"/>
    </row>
    <row r="73" spans="12:20" x14ac:dyDescent="0.35">
      <c r="L73" s="21"/>
      <c r="M73" s="21"/>
      <c r="N73" s="21"/>
      <c r="O73" s="21"/>
      <c r="P73" s="21"/>
      <c r="Q73" s="21"/>
      <c r="R73" s="21"/>
      <c r="S73" s="21"/>
      <c r="T73" s="21"/>
    </row>
    <row r="74" spans="12:20" x14ac:dyDescent="0.35">
      <c r="L74" s="21"/>
      <c r="M74" s="21"/>
      <c r="N74" s="21"/>
      <c r="O74" s="21"/>
      <c r="P74" s="21"/>
      <c r="Q74" s="21"/>
      <c r="R74" s="21"/>
      <c r="S74" s="21"/>
      <c r="T74" s="21"/>
    </row>
    <row r="75" spans="12:20" x14ac:dyDescent="0.35">
      <c r="L75" s="14"/>
      <c r="M75" s="14"/>
      <c r="N75" s="14"/>
      <c r="O75" s="14"/>
      <c r="P75" s="14"/>
      <c r="Q75" s="14"/>
      <c r="R75" s="14"/>
      <c r="S75" s="14"/>
      <c r="T75" s="14"/>
    </row>
    <row r="76" spans="12:20" x14ac:dyDescent="0.35">
      <c r="L76" s="21"/>
      <c r="M76" s="21"/>
      <c r="N76" s="21"/>
      <c r="O76" s="21"/>
      <c r="P76" s="21"/>
      <c r="Q76" s="21"/>
      <c r="R76" s="21"/>
      <c r="S76" s="21"/>
      <c r="T76" s="21"/>
    </row>
    <row r="77" spans="12:20" x14ac:dyDescent="0.35">
      <c r="L77" s="21"/>
      <c r="M77" s="21"/>
      <c r="N77" s="21"/>
      <c r="O77" s="21"/>
      <c r="P77" s="21"/>
      <c r="Q77" s="21"/>
      <c r="R77" s="21"/>
      <c r="S77" s="21"/>
      <c r="T77" s="21"/>
    </row>
    <row r="78" spans="12:20" x14ac:dyDescent="0.35">
      <c r="L78" s="21"/>
      <c r="M78" s="21"/>
      <c r="N78" s="21"/>
      <c r="O78" s="21"/>
      <c r="P78" s="21"/>
      <c r="Q78" s="21"/>
      <c r="R78" s="21"/>
      <c r="S78" s="21"/>
      <c r="T78" s="21"/>
    </row>
    <row r="79" spans="12:20" x14ac:dyDescent="0.35">
      <c r="L79" s="21"/>
      <c r="M79" s="21"/>
      <c r="N79" s="21"/>
      <c r="O79" s="21"/>
      <c r="P79" s="21"/>
      <c r="Q79" s="21"/>
      <c r="R79" s="21"/>
      <c r="S79" s="21"/>
      <c r="T79" s="21"/>
    </row>
    <row r="80" spans="12:20" x14ac:dyDescent="0.35">
      <c r="L80" s="21"/>
      <c r="M80" s="21"/>
      <c r="N80" s="21"/>
      <c r="O80" s="21"/>
      <c r="P80" s="21"/>
      <c r="Q80" s="21"/>
      <c r="R80" s="21"/>
      <c r="S80" s="21"/>
      <c r="T80" s="21"/>
    </row>
    <row r="81" spans="12:20" x14ac:dyDescent="0.35">
      <c r="L81" s="14"/>
      <c r="M81" s="14"/>
      <c r="N81" s="14"/>
      <c r="O81" s="14"/>
      <c r="P81" s="14"/>
      <c r="Q81" s="14"/>
      <c r="R81" s="14"/>
      <c r="S81" s="14"/>
      <c r="T81" s="14"/>
    </row>
    <row r="82" spans="12:20" x14ac:dyDescent="0.35">
      <c r="L82" s="21"/>
      <c r="M82" s="21"/>
      <c r="N82" s="21"/>
      <c r="O82" s="21"/>
      <c r="P82" s="21"/>
      <c r="Q82" s="21"/>
      <c r="R82" s="21"/>
      <c r="S82" s="21"/>
      <c r="T82" s="21"/>
    </row>
    <row r="83" spans="12:20" x14ac:dyDescent="0.35">
      <c r="L83" s="21"/>
      <c r="M83" s="21"/>
      <c r="N83" s="21"/>
      <c r="O83" s="21"/>
      <c r="P83" s="21"/>
      <c r="Q83" s="21"/>
      <c r="R83" s="21"/>
      <c r="S83" s="21"/>
      <c r="T83" s="21"/>
    </row>
    <row r="84" spans="12:20" x14ac:dyDescent="0.35">
      <c r="L84" s="21"/>
      <c r="M84" s="21"/>
      <c r="N84" s="21"/>
      <c r="O84" s="21"/>
      <c r="P84" s="21"/>
      <c r="Q84" s="21"/>
      <c r="R84" s="21"/>
      <c r="S84" s="21"/>
      <c r="T84" s="21"/>
    </row>
    <row r="85" spans="12:20" x14ac:dyDescent="0.35">
      <c r="L85" s="21"/>
      <c r="M85" s="21"/>
      <c r="N85" s="21"/>
      <c r="O85" s="21"/>
      <c r="P85" s="21"/>
      <c r="Q85" s="21"/>
      <c r="R85" s="21"/>
      <c r="S85" s="21"/>
      <c r="T85" s="21"/>
    </row>
    <row r="86" spans="12:20" x14ac:dyDescent="0.35">
      <c r="L86" s="21"/>
      <c r="M86" s="21"/>
      <c r="N86" s="21"/>
      <c r="O86" s="21"/>
      <c r="P86" s="21"/>
      <c r="Q86" s="21"/>
      <c r="R86" s="21"/>
      <c r="S86" s="21"/>
      <c r="T86" s="21"/>
    </row>
    <row r="87" spans="12:20" x14ac:dyDescent="0.35">
      <c r="L87" s="14"/>
      <c r="M87" s="14"/>
      <c r="N87" s="14"/>
      <c r="O87" s="14"/>
      <c r="P87" s="14"/>
      <c r="Q87" s="14"/>
      <c r="R87" s="14"/>
      <c r="S87" s="14"/>
      <c r="T87" s="14"/>
    </row>
    <row r="88" spans="12:20" x14ac:dyDescent="0.35">
      <c r="L88" s="21"/>
      <c r="M88" s="21"/>
      <c r="N88" s="21"/>
      <c r="O88" s="21"/>
      <c r="P88" s="21"/>
      <c r="Q88" s="21"/>
      <c r="R88" s="21"/>
      <c r="S88" s="21"/>
      <c r="T88" s="21"/>
    </row>
    <row r="89" spans="12:20" x14ac:dyDescent="0.35">
      <c r="L89" s="21"/>
      <c r="M89" s="21"/>
      <c r="N89" s="21"/>
      <c r="O89" s="21"/>
      <c r="P89" s="21"/>
      <c r="Q89" s="21"/>
      <c r="R89" s="21"/>
      <c r="S89" s="21"/>
      <c r="T89" s="21"/>
    </row>
    <row r="90" spans="12:20" x14ac:dyDescent="0.35">
      <c r="L90" s="21"/>
      <c r="M90" s="21"/>
      <c r="N90" s="21"/>
      <c r="O90" s="21"/>
      <c r="P90" s="21"/>
      <c r="Q90" s="21"/>
      <c r="R90" s="21"/>
      <c r="S90" s="21"/>
      <c r="T90" s="21"/>
    </row>
    <row r="91" spans="12:20" x14ac:dyDescent="0.35">
      <c r="L91" s="21"/>
      <c r="M91" s="21"/>
      <c r="N91" s="21"/>
      <c r="O91" s="21"/>
      <c r="P91" s="21"/>
      <c r="Q91" s="21"/>
      <c r="R91" s="21"/>
      <c r="S91" s="21"/>
      <c r="T91" s="21"/>
    </row>
    <row r="92" spans="12:20" x14ac:dyDescent="0.35">
      <c r="L92" s="21"/>
      <c r="M92" s="21"/>
      <c r="N92" s="21"/>
      <c r="O92" s="21"/>
      <c r="P92" s="21"/>
      <c r="Q92" s="21"/>
      <c r="R92" s="21"/>
      <c r="S92" s="21"/>
      <c r="T92" s="21"/>
    </row>
    <row r="93" spans="12:20" x14ac:dyDescent="0.35">
      <c r="L93" s="14"/>
      <c r="M93" s="14"/>
      <c r="N93" s="14"/>
      <c r="O93" s="14"/>
      <c r="P93" s="14"/>
      <c r="Q93" s="14"/>
      <c r="R93" s="14"/>
      <c r="S93" s="14"/>
      <c r="T93" s="14"/>
    </row>
    <row r="94" spans="12:20" x14ac:dyDescent="0.35">
      <c r="L94" s="21"/>
      <c r="M94" s="21"/>
      <c r="N94" s="21"/>
      <c r="O94" s="21"/>
      <c r="P94" s="21"/>
      <c r="Q94" s="21"/>
      <c r="R94" s="21"/>
      <c r="S94" s="21"/>
      <c r="T94" s="21"/>
    </row>
    <row r="95" spans="12:20" x14ac:dyDescent="0.35">
      <c r="L95" s="21"/>
      <c r="M95" s="21"/>
      <c r="N95" s="21"/>
      <c r="O95" s="21"/>
      <c r="P95" s="21"/>
      <c r="Q95" s="21"/>
      <c r="R95" s="21"/>
      <c r="S95" s="21"/>
      <c r="T95" s="21"/>
    </row>
    <row r="96" spans="12:20" x14ac:dyDescent="0.35">
      <c r="L96" s="21"/>
      <c r="M96" s="21"/>
      <c r="N96" s="21"/>
      <c r="O96" s="21"/>
      <c r="P96" s="21"/>
      <c r="Q96" s="21"/>
      <c r="R96" s="21"/>
      <c r="S96" s="21"/>
      <c r="T96" s="21"/>
    </row>
    <row r="97" spans="12:20" x14ac:dyDescent="0.35">
      <c r="L97" s="21"/>
      <c r="M97" s="21"/>
      <c r="N97" s="21"/>
      <c r="O97" s="21"/>
      <c r="P97" s="21"/>
      <c r="Q97" s="21"/>
      <c r="R97" s="21"/>
      <c r="S97" s="21"/>
      <c r="T97" s="21"/>
    </row>
    <row r="98" spans="12:20" x14ac:dyDescent="0.35">
      <c r="L98" s="21"/>
      <c r="M98" s="21"/>
      <c r="N98" s="21"/>
      <c r="O98" s="21"/>
      <c r="P98" s="21"/>
      <c r="Q98" s="21"/>
      <c r="R98" s="21"/>
      <c r="S98" s="21"/>
      <c r="T98" s="21"/>
    </row>
    <row r="99" spans="12:20" x14ac:dyDescent="0.35">
      <c r="L99" s="14"/>
      <c r="M99" s="14"/>
      <c r="N99" s="14"/>
      <c r="O99" s="14"/>
      <c r="P99" s="14"/>
      <c r="Q99" s="14"/>
      <c r="R99" s="14"/>
      <c r="S99" s="14"/>
      <c r="T99" s="14"/>
    </row>
    <row r="100" spans="12:20" x14ac:dyDescent="0.35">
      <c r="L100" s="21"/>
      <c r="M100" s="21"/>
      <c r="N100" s="21"/>
      <c r="O100" s="21"/>
      <c r="P100" s="21"/>
      <c r="Q100" s="21"/>
      <c r="R100" s="21"/>
      <c r="S100" s="21"/>
      <c r="T100" s="21"/>
    </row>
    <row r="101" spans="12:20" x14ac:dyDescent="0.35">
      <c r="L101" s="21"/>
      <c r="M101" s="21"/>
      <c r="N101" s="21"/>
      <c r="O101" s="21"/>
      <c r="P101" s="21"/>
      <c r="Q101" s="21"/>
      <c r="R101" s="21"/>
      <c r="S101" s="21"/>
      <c r="T101" s="21"/>
    </row>
    <row r="102" spans="12:20" x14ac:dyDescent="0.35">
      <c r="L102" s="21"/>
      <c r="M102" s="21"/>
      <c r="N102" s="21"/>
      <c r="O102" s="21"/>
      <c r="P102" s="21"/>
      <c r="Q102" s="21"/>
      <c r="R102" s="21"/>
      <c r="S102" s="21"/>
      <c r="T102" s="21"/>
    </row>
    <row r="103" spans="12:20" x14ac:dyDescent="0.35">
      <c r="L103" s="21"/>
      <c r="M103" s="21"/>
      <c r="N103" s="21"/>
      <c r="O103" s="21"/>
      <c r="P103" s="21"/>
      <c r="Q103" s="21"/>
      <c r="R103" s="21"/>
      <c r="S103" s="21"/>
      <c r="T103" s="21"/>
    </row>
    <row r="104" spans="12:20" x14ac:dyDescent="0.35">
      <c r="L104" s="21"/>
      <c r="M104" s="21"/>
      <c r="N104" s="21"/>
      <c r="O104" s="21"/>
      <c r="P104" s="21"/>
      <c r="Q104" s="21"/>
      <c r="R104" s="21"/>
      <c r="S104" s="21"/>
      <c r="T104" s="21"/>
    </row>
    <row r="105" spans="12:20" x14ac:dyDescent="0.35"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2:20" x14ac:dyDescent="0.35">
      <c r="L106" s="21"/>
      <c r="M106" s="21"/>
      <c r="N106" s="21"/>
      <c r="O106" s="21"/>
      <c r="P106" s="21"/>
      <c r="Q106" s="21"/>
      <c r="R106" s="21"/>
      <c r="S106" s="21"/>
      <c r="T106" s="21"/>
    </row>
    <row r="107" spans="12:20" x14ac:dyDescent="0.35">
      <c r="L107" s="21"/>
      <c r="M107" s="21"/>
      <c r="N107" s="21"/>
      <c r="O107" s="21"/>
      <c r="P107" s="21"/>
      <c r="Q107" s="21"/>
      <c r="R107" s="21"/>
      <c r="S107" s="21"/>
      <c r="T107" s="21"/>
    </row>
    <row r="108" spans="12:20" x14ac:dyDescent="0.35">
      <c r="L108" s="21"/>
      <c r="M108" s="21"/>
      <c r="N108" s="21"/>
      <c r="O108" s="21"/>
      <c r="P108" s="21"/>
      <c r="Q108" s="21"/>
      <c r="R108" s="21"/>
      <c r="S108" s="21"/>
      <c r="T108" s="21"/>
    </row>
    <row r="109" spans="12:20" x14ac:dyDescent="0.35">
      <c r="L109" s="21"/>
      <c r="M109" s="21"/>
      <c r="N109" s="21"/>
      <c r="O109" s="21"/>
      <c r="P109" s="21"/>
      <c r="Q109" s="21"/>
      <c r="R109" s="21"/>
      <c r="S109" s="21"/>
      <c r="T109" s="21"/>
    </row>
    <row r="110" spans="12:20" x14ac:dyDescent="0.35">
      <c r="L110" s="21"/>
      <c r="M110" s="21"/>
      <c r="N110" s="21"/>
      <c r="O110" s="21"/>
      <c r="P110" s="21"/>
      <c r="Q110" s="21"/>
      <c r="R110" s="21"/>
      <c r="S110" s="21"/>
      <c r="T110" s="21"/>
    </row>
    <row r="111" spans="12:20" x14ac:dyDescent="0.35"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2:20" x14ac:dyDescent="0.35">
      <c r="L112" s="21"/>
      <c r="M112" s="21"/>
      <c r="N112" s="21"/>
      <c r="O112" s="21"/>
      <c r="P112" s="21"/>
      <c r="Q112" s="21"/>
      <c r="R112" s="21"/>
      <c r="S112" s="21"/>
      <c r="T112" s="21"/>
    </row>
    <row r="113" spans="12:20" x14ac:dyDescent="0.35">
      <c r="L113" s="21"/>
      <c r="M113" s="21"/>
      <c r="N113" s="21"/>
      <c r="O113" s="21"/>
      <c r="P113" s="21"/>
      <c r="Q113" s="21"/>
      <c r="R113" s="21"/>
      <c r="S113" s="21"/>
      <c r="T113" s="21"/>
    </row>
    <row r="114" spans="12:20" x14ac:dyDescent="0.35">
      <c r="L114" s="21"/>
      <c r="M114" s="21"/>
      <c r="N114" s="21"/>
      <c r="O114" s="21"/>
      <c r="P114" s="21"/>
      <c r="Q114" s="21"/>
      <c r="R114" s="21"/>
      <c r="S114" s="21"/>
      <c r="T114" s="21"/>
    </row>
    <row r="115" spans="12:20" x14ac:dyDescent="0.35">
      <c r="L115" s="21"/>
      <c r="M115" s="21"/>
      <c r="N115" s="21"/>
      <c r="O115" s="21"/>
      <c r="P115" s="21"/>
      <c r="Q115" s="21"/>
      <c r="R115" s="21"/>
      <c r="S115" s="21"/>
      <c r="T115" s="21"/>
    </row>
    <row r="116" spans="12:20" x14ac:dyDescent="0.35">
      <c r="L116" s="21"/>
      <c r="M116" s="21"/>
      <c r="N116" s="21"/>
      <c r="O116" s="21"/>
      <c r="P116" s="21"/>
      <c r="Q116" s="21"/>
      <c r="R116" s="21"/>
      <c r="S116" s="21"/>
      <c r="T116" s="21"/>
    </row>
    <row r="117" spans="12:20" ht="15.5" x14ac:dyDescent="0.35">
      <c r="L117" s="88"/>
      <c r="M117" s="88"/>
      <c r="N117" s="88"/>
      <c r="O117" s="88"/>
      <c r="P117" s="88"/>
      <c r="Q117" s="88"/>
      <c r="R117" s="88"/>
      <c r="S117" s="88"/>
      <c r="T117" s="88"/>
    </row>
  </sheetData>
  <mergeCells count="2">
    <mergeCell ref="U2:AC2"/>
    <mergeCell ref="A33:K3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9"/>
  <dimension ref="A1:BG58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19.816406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44836</v>
      </c>
      <c r="B4" s="21" t="s">
        <v>276</v>
      </c>
      <c r="C4" s="21" t="s">
        <v>272</v>
      </c>
      <c r="D4" s="44">
        <v>137039</v>
      </c>
      <c r="E4" s="44"/>
      <c r="F4" s="21">
        <v>199</v>
      </c>
      <c r="G4" s="21"/>
      <c r="H4" s="22">
        <v>112037</v>
      </c>
      <c r="I4" s="33">
        <v>0.55000000000000004</v>
      </c>
      <c r="J4" s="24">
        <f>IFERROR(K4/H4,"")</f>
        <v>0.57007952729901734</v>
      </c>
      <c r="K4" s="22">
        <v>63870</v>
      </c>
      <c r="L4" s="21">
        <v>22</v>
      </c>
      <c r="M4" s="21">
        <v>94</v>
      </c>
      <c r="N4" s="21">
        <v>66</v>
      </c>
      <c r="O4" s="21">
        <v>10</v>
      </c>
      <c r="P4" s="21">
        <v>3</v>
      </c>
      <c r="Q4" s="21"/>
      <c r="R4" s="21"/>
      <c r="S4" s="21">
        <v>4</v>
      </c>
      <c r="T4" s="21"/>
      <c r="U4" s="25">
        <v>275</v>
      </c>
      <c r="V4" s="25">
        <f>H4*U4*I4/15</f>
        <v>1129706.4166666667</v>
      </c>
      <c r="W4" s="25">
        <v>309.94</v>
      </c>
      <c r="X4" s="25">
        <v>1319706.48</v>
      </c>
      <c r="Y4" s="25">
        <v>0</v>
      </c>
      <c r="Z4" s="25">
        <v>44900.800000000003</v>
      </c>
      <c r="AA4" s="25">
        <v>0</v>
      </c>
      <c r="AB4" s="25">
        <v>5500</v>
      </c>
      <c r="AC4" s="25">
        <f>F4*30</f>
        <v>5970</v>
      </c>
      <c r="AD4" s="25">
        <f>F4*3.83</f>
        <v>762.17</v>
      </c>
      <c r="AE4" s="25">
        <v>2639.41</v>
      </c>
      <c r="AF4" s="25">
        <f>V4+Y4+Z4+AA4+AB4+AC4+AD4</f>
        <v>1186839.3866666667</v>
      </c>
      <c r="AG4" s="25">
        <f>IFERROR(IFERROR((H4*W4*J4/15)-AE4,""),"")</f>
        <v>1317085.1100000001</v>
      </c>
      <c r="AH4" s="26">
        <f>IFERROR(AG4-AF4,"")</f>
        <v>130245.72333333339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654.50112227805721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9.8889374987568862E-2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K9" s="63"/>
    </row>
    <row r="10" spans="1:38" x14ac:dyDescent="0.35">
      <c r="A10" s="20">
        <v>44837</v>
      </c>
      <c r="B10" s="21" t="s">
        <v>278</v>
      </c>
      <c r="C10" s="21" t="s">
        <v>286</v>
      </c>
      <c r="D10" s="44">
        <v>137043</v>
      </c>
      <c r="E10" s="44"/>
      <c r="F10" s="21"/>
      <c r="G10" s="21">
        <v>120</v>
      </c>
      <c r="H10" s="22">
        <v>51120</v>
      </c>
      <c r="I10" s="33">
        <v>0.5</v>
      </c>
      <c r="J10" s="24">
        <f>IFERROR(K10/H10,"")</f>
        <v>0.52320031298904535</v>
      </c>
      <c r="K10" s="22">
        <v>26746</v>
      </c>
      <c r="L10" s="21">
        <v>29</v>
      </c>
      <c r="M10" s="21">
        <v>31</v>
      </c>
      <c r="N10" s="21">
        <v>43</v>
      </c>
      <c r="O10" s="21">
        <v>11</v>
      </c>
      <c r="P10" s="21">
        <v>5</v>
      </c>
      <c r="Q10" s="21"/>
      <c r="R10" s="21"/>
      <c r="S10" s="21"/>
      <c r="T10" s="21">
        <v>1</v>
      </c>
      <c r="U10" s="25">
        <v>270</v>
      </c>
      <c r="V10" s="25">
        <f>H10*U10*I10/15</f>
        <v>460080</v>
      </c>
      <c r="W10" s="25">
        <v>302.18</v>
      </c>
      <c r="X10" s="25">
        <v>538809.59</v>
      </c>
      <c r="Y10" s="25">
        <v>0</v>
      </c>
      <c r="Z10" s="25">
        <v>12819.8</v>
      </c>
      <c r="AA10" s="25">
        <v>0</v>
      </c>
      <c r="AB10" s="25">
        <v>3240</v>
      </c>
      <c r="AC10" s="25">
        <f>G10*30</f>
        <v>3600</v>
      </c>
      <c r="AD10" s="25">
        <f>IF(F10="",G10*3.83,F10*3.83)</f>
        <v>459.6</v>
      </c>
      <c r="AE10" s="25">
        <v>1077.6199999999999</v>
      </c>
      <c r="AF10" s="25">
        <f>V10+Y10+Z10+AA10+AB10+AC10+AD10</f>
        <v>480199.39999999997</v>
      </c>
      <c r="AG10" s="25">
        <f>IFERROR(IFERROR((H10*W10*J10/15)-AE10,""),"")</f>
        <v>537729.46533333324</v>
      </c>
      <c r="AH10" s="26">
        <f>IFERROR(AG10-AF10,"")</f>
        <v>57530.065333333274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AH10/G10</f>
        <v>479.41721111111059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0.10698700562683681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20">
        <v>44838</v>
      </c>
      <c r="B16" s="21" t="s">
        <v>278</v>
      </c>
      <c r="C16" s="21" t="s">
        <v>286</v>
      </c>
      <c r="D16" s="44">
        <v>137385</v>
      </c>
      <c r="E16" s="44"/>
      <c r="F16" s="21"/>
      <c r="G16" s="21">
        <v>40</v>
      </c>
      <c r="H16" s="22">
        <v>17051.099999999999</v>
      </c>
      <c r="I16" s="33">
        <v>0.5</v>
      </c>
      <c r="J16" s="24">
        <f>IFERROR(K16/H16,"")</f>
        <v>0.52609509063931359</v>
      </c>
      <c r="K16" s="22">
        <v>8970.5</v>
      </c>
      <c r="L16" s="21">
        <v>7</v>
      </c>
      <c r="M16" s="21">
        <v>15</v>
      </c>
      <c r="N16" s="21">
        <v>9</v>
      </c>
      <c r="O16" s="21"/>
      <c r="P16" s="21"/>
      <c r="Q16" s="21"/>
      <c r="R16" s="21"/>
      <c r="S16" s="21">
        <v>9</v>
      </c>
      <c r="T16" s="21"/>
      <c r="U16" s="25">
        <v>270</v>
      </c>
      <c r="V16" s="25">
        <f>H16*U16*I16/15</f>
        <v>153459.9</v>
      </c>
      <c r="W16" s="25">
        <v>302.64999999999998</v>
      </c>
      <c r="X16" s="25">
        <v>180993.36</v>
      </c>
      <c r="Y16" s="25">
        <f>F16*80</f>
        <v>0</v>
      </c>
      <c r="Z16" s="25">
        <v>4621.6099999999997</v>
      </c>
      <c r="AA16" s="25">
        <v>0</v>
      </c>
      <c r="AB16" s="25">
        <v>1107</v>
      </c>
      <c r="AC16" s="25">
        <f>G16*30</f>
        <v>1200</v>
      </c>
      <c r="AD16" s="25">
        <f>IF(F16="",G16*3.83,F16*3.83)</f>
        <v>153.19999999999999</v>
      </c>
      <c r="AE16" s="25">
        <v>361.98</v>
      </c>
      <c r="AF16" s="25">
        <f>V16+Y16+Z16+AA16+AB16+AC16+AD16</f>
        <v>160541.71</v>
      </c>
      <c r="AG16" s="25">
        <f>IFERROR(IFERROR((H16*W16*J16/15)-AE16,""),"")</f>
        <v>180632.80833333329</v>
      </c>
      <c r="AH16" s="26">
        <f>IFERROR(AG16-AF16,"")</f>
        <v>20091.098333333299</v>
      </c>
      <c r="AJ16">
        <f>F4+G4+F10+G10+F16+G16+F22+G22+F28+G28+F34+G34+F40+G40+F46+G46+F52+G52</f>
        <v>713</v>
      </c>
      <c r="AK16" s="50" t="s">
        <v>22</v>
      </c>
      <c r="AL16" t="s">
        <v>72</v>
      </c>
    </row>
    <row r="17" spans="1:37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502.27745833333245</v>
      </c>
      <c r="AJ17" s="11">
        <f>AH4+AH10+AH16+AH22+AH28+AH34+AH40+AH46+AH52</f>
        <v>387759.46394666651</v>
      </c>
      <c r="AK17" s="11">
        <f>AJ17*30%</f>
        <v>116327.83918399995</v>
      </c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0.11122618597756564</v>
      </c>
      <c r="AJ18" s="11"/>
      <c r="AK18" s="11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</row>
    <row r="21" spans="1:37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</row>
    <row r="22" spans="1:37" x14ac:dyDescent="0.35">
      <c r="A22" s="20">
        <v>44838</v>
      </c>
      <c r="B22" s="21" t="s">
        <v>278</v>
      </c>
      <c r="C22" s="21" t="s">
        <v>286</v>
      </c>
      <c r="D22" s="44">
        <v>137459</v>
      </c>
      <c r="E22" s="44"/>
      <c r="F22" s="21"/>
      <c r="G22" s="21">
        <v>59</v>
      </c>
      <c r="H22" s="22">
        <v>25150.38</v>
      </c>
      <c r="I22" s="33">
        <v>0.5</v>
      </c>
      <c r="J22" s="24">
        <f>IFERROR(K22/H22,"")</f>
        <v>0.5269900494545211</v>
      </c>
      <c r="K22" s="22">
        <v>13254</v>
      </c>
      <c r="L22" s="21">
        <v>9</v>
      </c>
      <c r="M22" s="21">
        <v>21</v>
      </c>
      <c r="N22" s="21">
        <v>28</v>
      </c>
      <c r="O22" s="21"/>
      <c r="P22" s="21"/>
      <c r="Q22" s="21"/>
      <c r="R22" s="21"/>
      <c r="S22" s="21">
        <v>1</v>
      </c>
      <c r="T22" s="21"/>
      <c r="U22" s="25">
        <v>270</v>
      </c>
      <c r="V22" s="25">
        <f>H22*U22*I22/15</f>
        <v>226353.42</v>
      </c>
      <c r="W22" s="25">
        <v>307.70999999999998</v>
      </c>
      <c r="X22" s="25">
        <v>271888.84999999998</v>
      </c>
      <c r="Y22" s="25">
        <f>F22*80</f>
        <v>0</v>
      </c>
      <c r="Z22" s="25">
        <v>6650.6</v>
      </c>
      <c r="AA22" s="25">
        <v>0</v>
      </c>
      <c r="AB22" s="25">
        <v>1593</v>
      </c>
      <c r="AC22" s="25">
        <f>G22*30</f>
        <v>1770</v>
      </c>
      <c r="AD22" s="25">
        <f>IF(F22="",G22*3.83,F22*3.83)</f>
        <v>225.97</v>
      </c>
      <c r="AE22" s="25">
        <v>543.78</v>
      </c>
      <c r="AF22" s="25">
        <f>V22+Y22+Z22+AA22+AB22+AC22+AD22</f>
        <v>236592.99000000002</v>
      </c>
      <c r="AG22" s="25">
        <f>IFERROR(IFERROR((H22*W22*J22/15)-AE22,""),"")</f>
        <v>271348.77599999995</v>
      </c>
      <c r="AH22" s="26">
        <f>IFERROR(AG22-AF22,"")</f>
        <v>34755.785999999935</v>
      </c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AH22/G22</f>
        <v>589.08111864406669</v>
      </c>
    </row>
    <row r="24" spans="1:3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0.1280852875488922</v>
      </c>
    </row>
    <row r="25" spans="1:3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7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7" x14ac:dyDescent="0.35">
      <c r="A28" s="20">
        <v>44838</v>
      </c>
      <c r="B28" s="21" t="s">
        <v>278</v>
      </c>
      <c r="C28" s="21" t="s">
        <v>286</v>
      </c>
      <c r="D28" s="44">
        <v>137054</v>
      </c>
      <c r="E28" s="44"/>
      <c r="F28" s="21"/>
      <c r="G28" s="21">
        <v>80</v>
      </c>
      <c r="H28" s="22">
        <v>34102.22</v>
      </c>
      <c r="I28" s="33">
        <v>0.5</v>
      </c>
      <c r="J28" s="24">
        <f>IFERROR(K28/H28,"")</f>
        <v>0.52939368756638128</v>
      </c>
      <c r="K28" s="22">
        <v>18053.5</v>
      </c>
      <c r="L28" s="21">
        <v>10</v>
      </c>
      <c r="M28" s="21">
        <v>28</v>
      </c>
      <c r="N28" s="21">
        <v>27</v>
      </c>
      <c r="O28" s="21"/>
      <c r="P28" s="21"/>
      <c r="Q28" s="21"/>
      <c r="R28" s="21"/>
      <c r="S28" s="21">
        <v>15</v>
      </c>
      <c r="T28" s="21"/>
      <c r="U28" s="25">
        <v>270</v>
      </c>
      <c r="V28" s="25">
        <f>H28*U28*I28/15</f>
        <v>306919.98000000004</v>
      </c>
      <c r="W28" s="25">
        <v>298.14</v>
      </c>
      <c r="X28" s="25">
        <v>358826.23</v>
      </c>
      <c r="Y28" s="25">
        <f>F28*80</f>
        <v>0</v>
      </c>
      <c r="Z28" s="25">
        <v>9017.77</v>
      </c>
      <c r="AA28" s="25">
        <v>0</v>
      </c>
      <c r="AB28" s="25">
        <v>2160</v>
      </c>
      <c r="AC28" s="25">
        <f>G28*30</f>
        <v>2400</v>
      </c>
      <c r="AD28" s="25">
        <f>IF(F28="",G28*3.83,F28*3.83)</f>
        <v>306.39999999999998</v>
      </c>
      <c r="AE28" s="25">
        <v>717.66</v>
      </c>
      <c r="AF28" s="25">
        <f>V28+Y28+Z28+AA28+AB28+AC28+AD28</f>
        <v>320804.15000000008</v>
      </c>
      <c r="AG28" s="25">
        <f>IFERROR(IFERROR((H28*W28*J28/15)-AE28,""),"")</f>
        <v>358113.70600000001</v>
      </c>
      <c r="AH28" s="26">
        <f>IFERROR(AG28-AF28,"")</f>
        <v>37309.555999999924</v>
      </c>
    </row>
    <row r="29" spans="1:37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AH28/G28</f>
        <v>466.36944999999906</v>
      </c>
      <c r="AJ29" s="11"/>
      <c r="AK29" s="11"/>
    </row>
    <row r="30" spans="1:37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0.10418354666380718</v>
      </c>
      <c r="AJ30" s="11"/>
      <c r="AK30" s="11"/>
    </row>
    <row r="31" spans="1:37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7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59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59" x14ac:dyDescent="0.35">
      <c r="A34" s="20">
        <v>44838</v>
      </c>
      <c r="B34" s="21" t="s">
        <v>287</v>
      </c>
      <c r="C34" s="21" t="s">
        <v>150</v>
      </c>
      <c r="D34" s="44">
        <v>137401</v>
      </c>
      <c r="E34" s="44"/>
      <c r="F34" s="21">
        <v>19</v>
      </c>
      <c r="G34" s="21"/>
      <c r="H34" s="22">
        <v>9285</v>
      </c>
      <c r="I34" s="33">
        <v>0.52</v>
      </c>
      <c r="J34" s="24">
        <f>IFERROR(K34/H34,"")</f>
        <v>0.58644157242864836</v>
      </c>
      <c r="K34" s="22">
        <v>5445.11</v>
      </c>
      <c r="L34" s="21"/>
      <c r="M34" s="21">
        <v>10</v>
      </c>
      <c r="N34" s="21">
        <v>9</v>
      </c>
      <c r="O34" s="21"/>
      <c r="P34" s="21"/>
      <c r="Q34" s="21"/>
      <c r="R34" s="21"/>
      <c r="S34" s="21"/>
      <c r="T34" s="21"/>
      <c r="U34" s="25">
        <v>270</v>
      </c>
      <c r="V34" s="25">
        <f>H34*U34*I34/15</f>
        <v>86907.6</v>
      </c>
      <c r="W34" s="25">
        <v>305.58</v>
      </c>
      <c r="X34" s="25">
        <v>110927.56</v>
      </c>
      <c r="Y34" s="25">
        <f>F34*120</f>
        <v>2280</v>
      </c>
      <c r="Z34" s="25">
        <v>2024.33</v>
      </c>
      <c r="AA34" s="25">
        <v>0</v>
      </c>
      <c r="AB34" s="25">
        <v>513</v>
      </c>
      <c r="AC34" s="25">
        <v>0</v>
      </c>
      <c r="AD34" s="25">
        <f>IF(F34="",G34*3.83,F34*3.83)</f>
        <v>72.77</v>
      </c>
      <c r="AE34" s="25">
        <v>221.85</v>
      </c>
      <c r="AF34" s="25">
        <f>V34+Y34+Z34+AA34+AB34+AC34+AD34</f>
        <v>91797.700000000012</v>
      </c>
      <c r="AG34" s="25">
        <f>IFERROR(IFERROR((H34*W34*J34/15)-AE34,""),"")</f>
        <v>110705.93091999998</v>
      </c>
      <c r="AH34" s="26">
        <f>IFERROR(AG34-AF34,"")</f>
        <v>18908.230919999973</v>
      </c>
    </row>
    <row r="35" spans="1:59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995.17004842105121</v>
      </c>
    </row>
    <row r="36" spans="1:59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0.17079691000172093</v>
      </c>
    </row>
    <row r="37" spans="1:59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59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59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47"/>
    </row>
    <row r="40" spans="1:59" x14ac:dyDescent="0.35">
      <c r="A40" s="20">
        <v>44838</v>
      </c>
      <c r="B40" s="21" t="s">
        <v>287</v>
      </c>
      <c r="C40" s="21" t="s">
        <v>150</v>
      </c>
      <c r="D40" s="44">
        <v>137401</v>
      </c>
      <c r="E40" s="44"/>
      <c r="F40" s="21">
        <v>81</v>
      </c>
      <c r="G40" s="21"/>
      <c r="H40" s="22">
        <v>43380</v>
      </c>
      <c r="I40" s="33">
        <v>0.53</v>
      </c>
      <c r="J40" s="24">
        <f>IFERROR(K40/H40,"")</f>
        <v>0.53511710465652373</v>
      </c>
      <c r="K40" s="22">
        <v>23213.38</v>
      </c>
      <c r="L40" s="21"/>
      <c r="M40" s="21">
        <v>25</v>
      </c>
      <c r="N40" s="21">
        <v>54</v>
      </c>
      <c r="O40" s="21">
        <v>1</v>
      </c>
      <c r="P40" s="21"/>
      <c r="Q40" s="21"/>
      <c r="R40" s="21"/>
      <c r="S40" s="21">
        <v>1</v>
      </c>
      <c r="T40" s="21"/>
      <c r="U40" s="25">
        <v>270</v>
      </c>
      <c r="V40" s="25">
        <f>H40*U40*I40/15</f>
        <v>413845.2</v>
      </c>
      <c r="W40" s="25">
        <v>305.58</v>
      </c>
      <c r="X40" s="25">
        <v>472901.72</v>
      </c>
      <c r="Y40" s="25">
        <f>F40*120</f>
        <v>9720</v>
      </c>
      <c r="Z40" s="25">
        <v>8630.06</v>
      </c>
      <c r="AA40" s="25">
        <v>0</v>
      </c>
      <c r="AB40" s="25">
        <v>2187</v>
      </c>
      <c r="AC40" s="25">
        <f>G40*30</f>
        <v>0</v>
      </c>
      <c r="AD40" s="25">
        <f>IF(F40="",G40*3.83,F40*3.83)</f>
        <v>310.23</v>
      </c>
      <c r="AE40" s="25">
        <v>945.79</v>
      </c>
      <c r="AF40" s="25">
        <f>V40+Y40+Z40+AA40+AB40+AC40+AD40</f>
        <v>434692.49</v>
      </c>
      <c r="AG40" s="25">
        <f>IFERROR(IFERROR((H40*W40*J40/15)-AE40,""),"")</f>
        <v>471957.18735999998</v>
      </c>
      <c r="AH40" s="26">
        <f>IFERROR(AG40-AF40,"")</f>
        <v>37264.697359999991</v>
      </c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47"/>
    </row>
    <row r="41" spans="1:59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460.05799209876534</v>
      </c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4"/>
    </row>
    <row r="42" spans="1:59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7.8957791846435393E-2</v>
      </c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4"/>
    </row>
    <row r="43" spans="1:59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4"/>
    </row>
    <row r="44" spans="1:59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4"/>
    </row>
    <row r="45" spans="1:59" x14ac:dyDescent="0.35">
      <c r="A45" s="37" t="s">
        <v>1</v>
      </c>
      <c r="B45" s="37" t="s">
        <v>2</v>
      </c>
      <c r="C45" s="37" t="s">
        <v>110</v>
      </c>
      <c r="D45" s="37" t="s">
        <v>66</v>
      </c>
      <c r="E45" s="37"/>
      <c r="F45" s="37" t="s">
        <v>137</v>
      </c>
      <c r="G45" s="37" t="s">
        <v>138</v>
      </c>
      <c r="H45" s="37" t="s">
        <v>4</v>
      </c>
      <c r="I45" s="37" t="s">
        <v>5</v>
      </c>
      <c r="J45" s="37" t="s">
        <v>6</v>
      </c>
      <c r="K45" s="37" t="s">
        <v>7</v>
      </c>
      <c r="L45" s="37" t="s">
        <v>279</v>
      </c>
      <c r="M45" s="37" t="s">
        <v>280</v>
      </c>
      <c r="N45" s="37" t="s">
        <v>281</v>
      </c>
      <c r="O45" s="37" t="s">
        <v>282</v>
      </c>
      <c r="P45" s="37" t="s">
        <v>283</v>
      </c>
      <c r="Q45" s="37" t="s">
        <v>284</v>
      </c>
      <c r="R45" s="37" t="s">
        <v>904</v>
      </c>
      <c r="S45" s="37" t="s">
        <v>285</v>
      </c>
      <c r="T45" s="37" t="s">
        <v>289</v>
      </c>
      <c r="U45" s="37" t="s">
        <v>8</v>
      </c>
      <c r="V45" s="37" t="s">
        <v>9</v>
      </c>
      <c r="W45" s="37" t="s">
        <v>10</v>
      </c>
      <c r="X45" s="37" t="s">
        <v>100</v>
      </c>
      <c r="Y45" s="37" t="s">
        <v>106</v>
      </c>
      <c r="Z45" s="37" t="s">
        <v>12</v>
      </c>
      <c r="AA45" s="37" t="s">
        <v>11</v>
      </c>
      <c r="AB45" s="37" t="s">
        <v>13</v>
      </c>
      <c r="AC45" s="37" t="s">
        <v>74</v>
      </c>
      <c r="AD45" s="37" t="s">
        <v>21</v>
      </c>
      <c r="AE45" s="37" t="s">
        <v>14</v>
      </c>
      <c r="AF45" s="37" t="s">
        <v>15</v>
      </c>
      <c r="AG45" s="37" t="s">
        <v>16</v>
      </c>
      <c r="AH45" s="15" t="s">
        <v>17</v>
      </c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4"/>
    </row>
    <row r="46" spans="1:59" x14ac:dyDescent="0.35">
      <c r="A46" s="38">
        <v>44839</v>
      </c>
      <c r="B46" s="39" t="s">
        <v>230</v>
      </c>
      <c r="C46" s="39" t="s">
        <v>124</v>
      </c>
      <c r="D46" s="45">
        <v>137066</v>
      </c>
      <c r="E46" s="45"/>
      <c r="F46" s="39">
        <v>50</v>
      </c>
      <c r="G46" s="39">
        <v>0</v>
      </c>
      <c r="H46" s="40">
        <v>25060</v>
      </c>
      <c r="I46" s="53">
        <v>0.54</v>
      </c>
      <c r="J46" s="42">
        <f>IFERROR(K46/H46,"")</f>
        <v>0.55079808459696733</v>
      </c>
      <c r="K46" s="40">
        <v>13803</v>
      </c>
      <c r="L46" s="39">
        <v>30</v>
      </c>
      <c r="M46" s="39">
        <v>15</v>
      </c>
      <c r="N46" s="39">
        <v>4</v>
      </c>
      <c r="O46" s="39">
        <v>1</v>
      </c>
      <c r="P46" s="39"/>
      <c r="Q46" s="39"/>
      <c r="R46" s="39"/>
      <c r="S46" s="39"/>
      <c r="T46" s="39"/>
      <c r="U46" s="43">
        <v>268</v>
      </c>
      <c r="V46" s="43">
        <f>H46*U46*I46/15</f>
        <v>241778.88</v>
      </c>
      <c r="W46" s="43">
        <v>308.06</v>
      </c>
      <c r="X46" s="43">
        <v>283472.87</v>
      </c>
      <c r="Y46" s="43">
        <v>0</v>
      </c>
      <c r="Z46" s="43">
        <v>10130.4</v>
      </c>
      <c r="AA46" s="43"/>
      <c r="AB46" s="43">
        <v>1340</v>
      </c>
      <c r="AC46" s="43">
        <f>F46*30</f>
        <v>1500</v>
      </c>
      <c r="AD46" s="43">
        <f>IF(F46="",G46*3.83,F46*3.83)</f>
        <v>191.5</v>
      </c>
      <c r="AE46" s="43">
        <v>566.95000000000005</v>
      </c>
      <c r="AF46" s="43">
        <f>V46+Y46+Z46+AA46+AB46+AC46+AD46</f>
        <v>254940.78</v>
      </c>
      <c r="AG46" s="43">
        <f>IFERROR(IFERROR((H46*W46*J46/15)-AE46,""),"")</f>
        <v>282909.86200000002</v>
      </c>
      <c r="AH46" s="26">
        <f>IFERROR(AG46-AF46,"")</f>
        <v>27969.082000000024</v>
      </c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4"/>
    </row>
    <row r="47" spans="1:59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559.38164000000052</v>
      </c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4"/>
    </row>
    <row r="48" spans="1:59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9.8862166918734076E-2</v>
      </c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4"/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4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4"/>
    </row>
    <row r="51" spans="1:59" x14ac:dyDescent="0.35">
      <c r="A51" s="37" t="s">
        <v>1</v>
      </c>
      <c r="B51" s="37" t="s">
        <v>2</v>
      </c>
      <c r="C51" s="37" t="s">
        <v>110</v>
      </c>
      <c r="D51" s="37" t="s">
        <v>66</v>
      </c>
      <c r="E51" s="37"/>
      <c r="F51" s="37" t="s">
        <v>137</v>
      </c>
      <c r="G51" s="37" t="s">
        <v>138</v>
      </c>
      <c r="H51" s="37" t="s">
        <v>4</v>
      </c>
      <c r="I51" s="37" t="s">
        <v>5</v>
      </c>
      <c r="J51" s="37" t="s">
        <v>6</v>
      </c>
      <c r="K51" s="37" t="s">
        <v>7</v>
      </c>
      <c r="L51" s="37" t="s">
        <v>279</v>
      </c>
      <c r="M51" s="37" t="s">
        <v>280</v>
      </c>
      <c r="N51" s="37" t="s">
        <v>281</v>
      </c>
      <c r="O51" s="37" t="s">
        <v>282</v>
      </c>
      <c r="P51" s="37" t="s">
        <v>283</v>
      </c>
      <c r="Q51" s="37" t="s">
        <v>284</v>
      </c>
      <c r="R51" s="37" t="s">
        <v>904</v>
      </c>
      <c r="S51" s="37" t="s">
        <v>285</v>
      </c>
      <c r="T51" s="37" t="s">
        <v>289</v>
      </c>
      <c r="U51" s="37" t="s">
        <v>8</v>
      </c>
      <c r="V51" s="37" t="s">
        <v>9</v>
      </c>
      <c r="W51" s="37" t="s">
        <v>10</v>
      </c>
      <c r="X51" s="37" t="s">
        <v>100</v>
      </c>
      <c r="Y51" s="37" t="s">
        <v>106</v>
      </c>
      <c r="Z51" s="37" t="s">
        <v>12</v>
      </c>
      <c r="AA51" s="37" t="s">
        <v>11</v>
      </c>
      <c r="AB51" s="37" t="s">
        <v>13</v>
      </c>
      <c r="AC51" s="37" t="s">
        <v>74</v>
      </c>
      <c r="AD51" s="37" t="s">
        <v>21</v>
      </c>
      <c r="AE51" s="37" t="s">
        <v>14</v>
      </c>
      <c r="AF51" s="37" t="s">
        <v>15</v>
      </c>
      <c r="AG51" s="37" t="s">
        <v>16</v>
      </c>
      <c r="AH51" s="15" t="s">
        <v>17</v>
      </c>
    </row>
    <row r="52" spans="1:59" x14ac:dyDescent="0.35">
      <c r="A52" s="38">
        <v>44839</v>
      </c>
      <c r="B52" s="39" t="s">
        <v>75</v>
      </c>
      <c r="C52" s="39" t="s">
        <v>288</v>
      </c>
      <c r="D52" s="45">
        <v>137067</v>
      </c>
      <c r="E52" s="45"/>
      <c r="F52" s="39"/>
      <c r="G52" s="39">
        <v>65</v>
      </c>
      <c r="H52" s="40">
        <v>24140</v>
      </c>
      <c r="I52" s="53">
        <v>0.5</v>
      </c>
      <c r="J52" s="42">
        <f>IFERROR(K52/H52,"")</f>
        <v>0.51309030654515331</v>
      </c>
      <c r="K52" s="40">
        <v>12386</v>
      </c>
      <c r="L52" s="39">
        <v>13</v>
      </c>
      <c r="M52" s="39">
        <v>25</v>
      </c>
      <c r="N52" s="39">
        <v>20</v>
      </c>
      <c r="O52" s="39"/>
      <c r="P52" s="39"/>
      <c r="Q52" s="39"/>
      <c r="R52" s="39"/>
      <c r="S52" s="39">
        <v>7</v>
      </c>
      <c r="T52" s="39"/>
      <c r="U52" s="43">
        <v>260</v>
      </c>
      <c r="V52" s="43">
        <f>H52*U52*I52/15</f>
        <v>209213.33333333334</v>
      </c>
      <c r="W52" s="43">
        <v>300.87</v>
      </c>
      <c r="X52" s="43">
        <v>248438.63</v>
      </c>
      <c r="Y52" s="43">
        <v>0</v>
      </c>
      <c r="Z52" s="43">
        <v>11154</v>
      </c>
      <c r="AA52" s="43"/>
      <c r="AB52" s="43">
        <v>1690</v>
      </c>
      <c r="AC52" s="43">
        <f>G52*30</f>
        <v>1950</v>
      </c>
      <c r="AD52" s="43">
        <f>IF(F52="",G52*3.83,F52*3.83)</f>
        <v>248.95000000000002</v>
      </c>
      <c r="AE52" s="43">
        <v>496.88</v>
      </c>
      <c r="AF52" s="43">
        <f>V52+Y52+Z52+AA52+AB52+AC52+AD52</f>
        <v>224256.28333333335</v>
      </c>
      <c r="AG52" s="43">
        <f>IFERROR(IFERROR((H52*W52*J52/15)-AE52,""),"")</f>
        <v>247941.508</v>
      </c>
      <c r="AH52" s="26">
        <f>IFERROR(AG52-AF52,"")</f>
        <v>23685.224666666647</v>
      </c>
    </row>
    <row r="53" spans="1:5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AH52/G52</f>
        <v>364.38807179487151</v>
      </c>
    </row>
    <row r="54" spans="1:5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3"/>
      <c r="AA54" s="21"/>
      <c r="AB54" s="21"/>
      <c r="AC54" s="21"/>
      <c r="AD54" s="21"/>
      <c r="AE54" s="21"/>
      <c r="AF54" s="21"/>
      <c r="AG54" s="21"/>
      <c r="AH54" s="27">
        <f>IFERROR(AH52/AG52,"")</f>
        <v>9.5527468787786216E-2</v>
      </c>
    </row>
    <row r="55" spans="1:5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48"/>
    </row>
    <row r="56" spans="1:5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3"/>
      <c r="AA56" s="21"/>
      <c r="AB56" s="21"/>
      <c r="AC56" s="21"/>
      <c r="AD56" s="21"/>
      <c r="AE56" s="21"/>
      <c r="AF56" s="21"/>
      <c r="AG56" s="21"/>
      <c r="AH56" s="48"/>
    </row>
    <row r="57" spans="1:59" ht="15" thickBot="1" x14ac:dyDescent="0.4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3"/>
      <c r="AA57" s="21"/>
      <c r="AB57" s="21"/>
      <c r="AC57" s="21"/>
      <c r="AD57" s="21"/>
      <c r="AE57" s="21"/>
      <c r="AF57" s="21"/>
      <c r="AG57" s="21"/>
      <c r="AH57" s="48"/>
    </row>
    <row r="58" spans="1:59" ht="16" thickBot="1" x14ac:dyDescent="0.4">
      <c r="A58" s="377" t="s">
        <v>277</v>
      </c>
      <c r="B58" s="378"/>
      <c r="C58" s="378"/>
      <c r="D58" s="378"/>
      <c r="E58" s="378"/>
      <c r="F58" s="378"/>
      <c r="G58" s="378"/>
      <c r="H58" s="378"/>
      <c r="I58" s="378"/>
      <c r="J58" s="378"/>
      <c r="K58" s="378"/>
      <c r="L58" s="46"/>
      <c r="M58" s="46"/>
      <c r="N58" s="46"/>
      <c r="O58" s="46"/>
      <c r="P58" s="46"/>
      <c r="Q58" s="46"/>
      <c r="R58" s="46"/>
      <c r="S58" s="46"/>
      <c r="T58" s="46"/>
      <c r="U58" s="30"/>
      <c r="V58" s="31">
        <f>V4+V10+V16+V22+V28+V34+V40+V46+V52</f>
        <v>3228264.7300000004</v>
      </c>
      <c r="W58" s="30"/>
      <c r="X58" s="30"/>
      <c r="Y58" s="31">
        <f>Y4+Y10+Y16+Y22+Y28+Y34+Y40+Y46+Y52</f>
        <v>12000</v>
      </c>
      <c r="Z58" s="31">
        <f>Z4+Z10+Z16+Z22+Z28+Z34+Z40+Z46+Z52</f>
        <v>109949.37000000001</v>
      </c>
      <c r="AA58" s="31">
        <f>AA4+AA10+AA16+AA22+AA28+AA34+AA40+AA46+AA52</f>
        <v>0</v>
      </c>
      <c r="AB58" s="31">
        <f>AB4+AB10+AB16+AB16+AB22+AB28+AB34+AB40+AB46+AB52</f>
        <v>20437</v>
      </c>
      <c r="AC58" s="31">
        <f>AC4+AC10+AC16+AC22+AC28+AC34+AC40+AC46+AC52</f>
        <v>18390</v>
      </c>
      <c r="AD58" s="31">
        <f>AD4+AD10+AD16+AD22+AD28+AD34+AD40+AD46+AD52</f>
        <v>2730.79</v>
      </c>
      <c r="AE58" s="31">
        <f>AE4+AE10+AE16+AE22+AE28+AE34+AE40+AE46+AE52</f>
        <v>7571.92</v>
      </c>
      <c r="AF58" s="31">
        <f>AF4+AF10+AF16+AF22+AF28+AF34+AF40+AF46+AF52</f>
        <v>3390664.89</v>
      </c>
      <c r="AG58" s="31">
        <f>AG4+AG10+AG16+AG22+AG28+AG34+AG40+AG46+AG52</f>
        <v>3778424.3539466672</v>
      </c>
      <c r="AH58" s="32"/>
    </row>
  </sheetData>
  <mergeCells count="2">
    <mergeCell ref="U2:AC2"/>
    <mergeCell ref="A58:K5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0"/>
  <dimension ref="A1:BG52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19.816406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9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44842</v>
      </c>
      <c r="B4" s="21" t="s">
        <v>276</v>
      </c>
      <c r="C4" s="21" t="s">
        <v>272</v>
      </c>
      <c r="D4" s="44">
        <v>137263</v>
      </c>
      <c r="E4" s="44"/>
      <c r="F4" s="21">
        <v>100</v>
      </c>
      <c r="G4" s="21"/>
      <c r="H4" s="22">
        <v>58320</v>
      </c>
      <c r="I4" s="33">
        <v>0.55000000000000004</v>
      </c>
      <c r="J4" s="24">
        <f>IFERROR(K4/H4,"")</f>
        <v>0.57659465020576128</v>
      </c>
      <c r="K4" s="22">
        <v>33627</v>
      </c>
      <c r="L4" s="21">
        <v>2</v>
      </c>
      <c r="M4" s="21">
        <v>46</v>
      </c>
      <c r="N4" s="21">
        <v>44</v>
      </c>
      <c r="O4" s="21">
        <v>6</v>
      </c>
      <c r="P4" s="21">
        <v>1</v>
      </c>
      <c r="Q4" s="21"/>
      <c r="R4" s="21"/>
      <c r="S4" s="21">
        <v>1</v>
      </c>
      <c r="T4" s="21"/>
      <c r="U4" s="25">
        <v>272.5</v>
      </c>
      <c r="V4" s="25">
        <f>H4*U4*I4/15</f>
        <v>582714</v>
      </c>
      <c r="W4" s="25">
        <v>312.87</v>
      </c>
      <c r="X4" s="25">
        <v>701401.84</v>
      </c>
      <c r="Y4" s="25">
        <v>0</v>
      </c>
      <c r="Z4" s="25">
        <v>22450.400000000001</v>
      </c>
      <c r="AA4" s="25">
        <v>0</v>
      </c>
      <c r="AB4" s="25">
        <v>2725</v>
      </c>
      <c r="AC4" s="25">
        <f>F4*30</f>
        <v>3000</v>
      </c>
      <c r="AD4" s="25">
        <f>F4*3.83</f>
        <v>383</v>
      </c>
      <c r="AE4" s="25">
        <v>1402.81</v>
      </c>
      <c r="AF4" s="25">
        <f>V4+Y4+Z4+AA4+AB4+AC4+AD4</f>
        <v>611272.4</v>
      </c>
      <c r="AG4" s="25">
        <f>IFERROR(IFERROR((H4*W4*J4/15)-AE4,""),"")</f>
        <v>699989.15599999984</v>
      </c>
      <c r="AH4" s="26">
        <f>IFERROR(AG4-AF4,"")</f>
        <v>88716.755999999819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887.16755999999816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0.12674018624368494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K9" s="63"/>
    </row>
    <row r="10" spans="1:38" x14ac:dyDescent="0.35">
      <c r="A10" s="20">
        <v>44843</v>
      </c>
      <c r="B10" s="21" t="s">
        <v>276</v>
      </c>
      <c r="C10" s="21" t="s">
        <v>272</v>
      </c>
      <c r="D10" s="44">
        <v>137265</v>
      </c>
      <c r="E10" s="44"/>
      <c r="F10" s="21">
        <v>200</v>
      </c>
      <c r="G10" s="21"/>
      <c r="H10" s="22">
        <v>110900</v>
      </c>
      <c r="I10" s="33">
        <v>0.55000000000000004</v>
      </c>
      <c r="J10" s="24">
        <f>IFERROR(K10/H10,"")</f>
        <v>0.57539224526600541</v>
      </c>
      <c r="K10" s="22">
        <v>63811</v>
      </c>
      <c r="L10" s="21">
        <v>32</v>
      </c>
      <c r="M10" s="21">
        <v>69</v>
      </c>
      <c r="N10" s="21">
        <v>83</v>
      </c>
      <c r="O10" s="21">
        <v>11</v>
      </c>
      <c r="P10" s="21">
        <v>2</v>
      </c>
      <c r="Q10" s="21"/>
      <c r="R10" s="21"/>
      <c r="S10" s="21">
        <v>3</v>
      </c>
      <c r="T10" s="21"/>
      <c r="U10" s="25">
        <v>272.5</v>
      </c>
      <c r="V10" s="25">
        <f>H10*U10*I10/15</f>
        <v>1108075.8333333335</v>
      </c>
      <c r="W10" s="25">
        <v>310.91000000000003</v>
      </c>
      <c r="X10" s="25">
        <v>1322635.3600000001</v>
      </c>
      <c r="Y10" s="25">
        <f>F10*80</f>
        <v>16000</v>
      </c>
      <c r="Z10" s="25">
        <v>44441.599999999999</v>
      </c>
      <c r="AA10" s="25">
        <v>0</v>
      </c>
      <c r="AB10" s="25">
        <v>5450</v>
      </c>
      <c r="AC10" s="25">
        <f>F10*30</f>
        <v>6000</v>
      </c>
      <c r="AD10" s="25">
        <f>IF(F10="",G10*3.83,F10*3.83)</f>
        <v>766</v>
      </c>
      <c r="AE10" s="25">
        <v>2645.28</v>
      </c>
      <c r="AF10" s="25">
        <f>V10+Y10+Z10+AA10+AB10+AC10+AD10</f>
        <v>1180733.4333333336</v>
      </c>
      <c r="AG10" s="25">
        <f>IFERROR(IFERROR((H10*W10*J10/15)-AE10,""),"")</f>
        <v>1319986.5873333334</v>
      </c>
      <c r="AH10" s="26">
        <f>IFERROR(AG10-AF10,"")</f>
        <v>139253.15399999986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696.26576999999929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0.10549588559177879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ht="12.65" customHeight="1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20">
        <v>44844</v>
      </c>
      <c r="B16" s="21" t="s">
        <v>276</v>
      </c>
      <c r="C16" s="21" t="s">
        <v>272</v>
      </c>
      <c r="D16" s="44">
        <v>137262</v>
      </c>
      <c r="E16" s="44"/>
      <c r="F16" s="21">
        <v>200</v>
      </c>
      <c r="G16" s="21"/>
      <c r="H16" s="22">
        <v>108912</v>
      </c>
      <c r="I16" s="33">
        <v>0.55000000000000004</v>
      </c>
      <c r="J16" s="24">
        <f>IFERROR(K16/H16,"")</f>
        <v>0.57633226825326866</v>
      </c>
      <c r="K16" s="22">
        <v>62769.5</v>
      </c>
      <c r="L16" s="21">
        <v>31</v>
      </c>
      <c r="M16" s="21">
        <v>109</v>
      </c>
      <c r="N16" s="21">
        <v>49</v>
      </c>
      <c r="O16" s="21">
        <v>11</v>
      </c>
      <c r="P16" s="21"/>
      <c r="Q16" s="21"/>
      <c r="R16" s="21"/>
      <c r="S16" s="21"/>
      <c r="T16" s="21"/>
      <c r="U16" s="25">
        <v>272.5</v>
      </c>
      <c r="V16" s="25">
        <f>H16*U16*I16/15</f>
        <v>1088212.4000000001</v>
      </c>
      <c r="W16" s="25">
        <v>314.52</v>
      </c>
      <c r="X16" s="25">
        <v>1316147</v>
      </c>
      <c r="Y16" s="25">
        <v>0</v>
      </c>
      <c r="Z16" s="25">
        <v>44771.199999999997</v>
      </c>
      <c r="AA16" s="25">
        <v>0</v>
      </c>
      <c r="AB16" s="25">
        <v>5450</v>
      </c>
      <c r="AC16" s="25">
        <f>F16*30</f>
        <v>6000</v>
      </c>
      <c r="AD16" s="25">
        <f>IF(F16="",G16*3.83,F16*3.83)</f>
        <v>766</v>
      </c>
      <c r="AE16" s="25">
        <v>2632.29</v>
      </c>
      <c r="AF16" s="25">
        <f>V16+Y16+Z16+AA16+AB16+AC16+AD16</f>
        <v>1145199.6000000001</v>
      </c>
      <c r="AG16" s="25">
        <f>IFERROR(IFERROR((H16*W16*J16/15)-AE16,""),"")</f>
        <v>1313518.5859999997</v>
      </c>
      <c r="AH16" s="26">
        <f>IFERROR(AG16-AF16,"")</f>
        <v>168318.98599999957</v>
      </c>
      <c r="AJ16">
        <f>F4+G4+F10+G10+F16+G16+F22+G22+F28+G28+F34+G34+F40+G40+F46+G46</f>
        <v>870</v>
      </c>
      <c r="AK16" s="50" t="s">
        <v>22</v>
      </c>
      <c r="AL16" t="s">
        <v>72</v>
      </c>
    </row>
    <row r="17" spans="1:38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841.59492999999782</v>
      </c>
      <c r="AJ17" s="11">
        <f>AH4+AH10+AH16+AH22+AH28+AH34+AH40+AH46</f>
        <v>661473.34062666586</v>
      </c>
      <c r="AK17" s="11">
        <f>AJ17*30%</f>
        <v>198442.00218799975</v>
      </c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0.12814358913075907</v>
      </c>
      <c r="AJ18" s="11"/>
      <c r="AK18" s="11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J19" t="s">
        <v>310</v>
      </c>
      <c r="AK19" s="95">
        <v>94311.2</v>
      </c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J20" s="14" t="s">
        <v>311</v>
      </c>
      <c r="AK20" s="57">
        <f>AK19*70%</f>
        <v>66017.84</v>
      </c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J21" s="14" t="s">
        <v>0</v>
      </c>
      <c r="AK21" s="57">
        <f>AK19*30%</f>
        <v>28293.359999999997</v>
      </c>
    </row>
    <row r="22" spans="1:38" x14ac:dyDescent="0.35">
      <c r="A22" s="20">
        <v>44844</v>
      </c>
      <c r="B22" s="21" t="s">
        <v>291</v>
      </c>
      <c r="C22" s="21" t="s">
        <v>111</v>
      </c>
      <c r="D22" s="44">
        <v>137264</v>
      </c>
      <c r="E22" s="44"/>
      <c r="F22" s="21"/>
      <c r="G22" s="21">
        <v>62</v>
      </c>
      <c r="H22" s="22">
        <v>29692</v>
      </c>
      <c r="I22" s="33">
        <v>0.5</v>
      </c>
      <c r="J22" s="24">
        <f>IFERROR(K22/H22,"")</f>
        <v>0.50484979118954598</v>
      </c>
      <c r="K22" s="22">
        <v>14990</v>
      </c>
      <c r="L22" s="21">
        <v>10</v>
      </c>
      <c r="M22" s="21">
        <v>12</v>
      </c>
      <c r="N22" s="21">
        <v>26</v>
      </c>
      <c r="O22" s="21"/>
      <c r="P22" s="21"/>
      <c r="Q22" s="21">
        <v>14</v>
      </c>
      <c r="R22" s="21"/>
      <c r="S22" s="21"/>
      <c r="T22" s="21"/>
      <c r="U22" s="25">
        <v>260</v>
      </c>
      <c r="V22" s="25">
        <f>H22*U22*I22/15</f>
        <v>257330.66666666666</v>
      </c>
      <c r="W22" s="25">
        <v>305.7</v>
      </c>
      <c r="X22" s="25">
        <v>305496.78999999998</v>
      </c>
      <c r="Y22" s="25">
        <f>G22*120</f>
        <v>7440</v>
      </c>
      <c r="Z22" s="25">
        <v>4755.18</v>
      </c>
      <c r="AA22" s="25">
        <v>0</v>
      </c>
      <c r="AB22" s="25">
        <v>1612</v>
      </c>
      <c r="AC22" s="25">
        <v>0</v>
      </c>
      <c r="AD22" s="25">
        <f>IF(F22="",G22*3.83,F22*3.83)</f>
        <v>237.46</v>
      </c>
      <c r="AE22" s="25">
        <v>610.98</v>
      </c>
      <c r="AF22" s="25">
        <f>V22+Y22+Z22+AA22+AB22+AC22+AD22</f>
        <v>271375.30666666664</v>
      </c>
      <c r="AG22" s="25">
        <f>IFERROR(IFERROR((H22*W22*J22/15)-AE22,""),"")</f>
        <v>304885.22000000003</v>
      </c>
      <c r="AH22" s="26">
        <f>IFERROR(AG22-AF22,"")</f>
        <v>33509.913333333388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AH22/G22</f>
        <v>540.4824731182805</v>
      </c>
      <c r="AJ23" s="50" t="s">
        <v>312</v>
      </c>
      <c r="AK23" s="13">
        <f>AK17-AK21</f>
        <v>170148.64218799977</v>
      </c>
      <c r="AL23" t="s">
        <v>72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0.10990993047591283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8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8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8" x14ac:dyDescent="0.35">
      <c r="A28" s="20">
        <v>44844</v>
      </c>
      <c r="B28" s="21" t="s">
        <v>291</v>
      </c>
      <c r="C28" s="21" t="s">
        <v>111</v>
      </c>
      <c r="D28" s="44">
        <v>137599</v>
      </c>
      <c r="E28" s="44"/>
      <c r="F28" s="21">
        <v>41</v>
      </c>
      <c r="G28" s="21"/>
      <c r="H28" s="22">
        <v>24118</v>
      </c>
      <c r="I28" s="33">
        <v>0.53</v>
      </c>
      <c r="J28" s="24">
        <f>IFERROR(K28/H28,"")</f>
        <v>0.53256406003814571</v>
      </c>
      <c r="K28" s="22">
        <v>12844.38</v>
      </c>
      <c r="L28" s="21">
        <v>15</v>
      </c>
      <c r="M28" s="21">
        <v>22</v>
      </c>
      <c r="N28" s="21"/>
      <c r="O28" s="21">
        <v>2</v>
      </c>
      <c r="P28" s="21">
        <v>1</v>
      </c>
      <c r="Q28" s="21">
        <v>1</v>
      </c>
      <c r="R28" s="21"/>
      <c r="S28" s="21"/>
      <c r="T28" s="21"/>
      <c r="U28" s="25">
        <v>270</v>
      </c>
      <c r="V28" s="25">
        <f>H28*U28*I28/15</f>
        <v>230085.72000000003</v>
      </c>
      <c r="W28" s="25">
        <v>314.06</v>
      </c>
      <c r="X28" s="25">
        <v>268923.09999999998</v>
      </c>
      <c r="Y28" s="25">
        <f>F28*120</f>
        <v>4920</v>
      </c>
      <c r="Z28" s="25">
        <v>3144.55</v>
      </c>
      <c r="AA28" s="25">
        <v>0</v>
      </c>
      <c r="AB28" s="25">
        <v>1107</v>
      </c>
      <c r="AC28" s="25">
        <f>G28*30</f>
        <v>0</v>
      </c>
      <c r="AD28" s="25">
        <f>IF(F28="",G28*3.83,F28*3.83)</f>
        <v>157.03</v>
      </c>
      <c r="AE28" s="25">
        <v>537.85</v>
      </c>
      <c r="AF28" s="25">
        <f>V28+Y28+Z28+AA28+AB28+AC28+AD28</f>
        <v>239414.30000000002</v>
      </c>
      <c r="AG28" s="25">
        <f>IFERROR(IFERROR((H28*W28*J28/15)-AE28,""),"")</f>
        <v>268389.21551999997</v>
      </c>
      <c r="AH28" s="26">
        <f>IFERROR(AG28-AF28,"")</f>
        <v>28974.915519999951</v>
      </c>
    </row>
    <row r="29" spans="1:38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706.70525658536462</v>
      </c>
      <c r="AJ29" s="11"/>
      <c r="AK29" s="11"/>
    </row>
    <row r="30" spans="1:38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0.10795856854330566</v>
      </c>
      <c r="AJ30" s="11"/>
      <c r="AK30" s="11"/>
    </row>
    <row r="31" spans="1:38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8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59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59" x14ac:dyDescent="0.35">
      <c r="A34" s="20">
        <v>44844</v>
      </c>
      <c r="B34" s="21" t="s">
        <v>291</v>
      </c>
      <c r="C34" s="21" t="s">
        <v>111</v>
      </c>
      <c r="D34" s="44">
        <v>137599</v>
      </c>
      <c r="E34" s="44"/>
      <c r="F34" s="21">
        <v>13</v>
      </c>
      <c r="G34" s="21"/>
      <c r="H34" s="22">
        <v>6729</v>
      </c>
      <c r="I34" s="33">
        <v>0.52</v>
      </c>
      <c r="J34" s="24">
        <f>IFERROR(K34/H34,"")</f>
        <v>0.60523257541982467</v>
      </c>
      <c r="K34" s="22">
        <v>4072.61</v>
      </c>
      <c r="L34" s="21"/>
      <c r="M34" s="21"/>
      <c r="N34" s="21">
        <v>13</v>
      </c>
      <c r="O34" s="21"/>
      <c r="P34" s="21"/>
      <c r="Q34" s="21"/>
      <c r="R34" s="21"/>
      <c r="S34" s="21"/>
      <c r="T34" s="21"/>
      <c r="U34" s="25">
        <v>270</v>
      </c>
      <c r="V34" s="25">
        <f>H34*U34*I34/15</f>
        <v>62983.439999999995</v>
      </c>
      <c r="W34" s="25">
        <v>314.06</v>
      </c>
      <c r="X34" s="25">
        <v>85268.3</v>
      </c>
      <c r="Y34" s="25">
        <f>F34*120</f>
        <v>1560</v>
      </c>
      <c r="Z34" s="25">
        <v>997.05</v>
      </c>
      <c r="AA34" s="25">
        <v>0</v>
      </c>
      <c r="AB34" s="25">
        <v>351</v>
      </c>
      <c r="AC34" s="25">
        <v>0</v>
      </c>
      <c r="AD34" s="25">
        <f>IF(F34="",G34*3.83,F34*3.83)</f>
        <v>49.79</v>
      </c>
      <c r="AE34" s="25">
        <v>129.47999999999999</v>
      </c>
      <c r="AF34" s="25">
        <f>V34+Y34+Z34+AA34+AB34+AC34+AD34</f>
        <v>65941.279999999984</v>
      </c>
      <c r="AG34" s="25">
        <f>IFERROR(IFERROR((H34*W34*J34/15)-AE34,""),"")</f>
        <v>85140.113106666671</v>
      </c>
      <c r="AH34" s="26">
        <f>IFERROR(AG34-AF34,"")</f>
        <v>19198.833106666687</v>
      </c>
    </row>
    <row r="35" spans="1:59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1476.8333158974374</v>
      </c>
    </row>
    <row r="36" spans="1:59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0.22549691803455418</v>
      </c>
    </row>
    <row r="37" spans="1:59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59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59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47"/>
    </row>
    <row r="40" spans="1:59" x14ac:dyDescent="0.35">
      <c r="A40" s="20">
        <v>44845</v>
      </c>
      <c r="B40" s="21" t="s">
        <v>276</v>
      </c>
      <c r="C40" s="21" t="s">
        <v>272</v>
      </c>
      <c r="D40" s="44">
        <v>137266</v>
      </c>
      <c r="E40" s="44"/>
      <c r="F40" s="21">
        <v>200</v>
      </c>
      <c r="G40" s="21"/>
      <c r="H40" s="22">
        <v>112760</v>
      </c>
      <c r="I40" s="33">
        <v>0.55000000000000004</v>
      </c>
      <c r="J40" s="24">
        <f>IFERROR(K40/H40,"")</f>
        <v>0.57451223838240506</v>
      </c>
      <c r="K40" s="22">
        <v>64782</v>
      </c>
      <c r="L40" s="21">
        <v>23</v>
      </c>
      <c r="M40" s="21">
        <v>81</v>
      </c>
      <c r="N40" s="21">
        <v>81</v>
      </c>
      <c r="O40" s="21">
        <v>12</v>
      </c>
      <c r="P40" s="21">
        <v>1</v>
      </c>
      <c r="Q40" s="21"/>
      <c r="R40" s="21"/>
      <c r="S40" s="21"/>
      <c r="T40" s="21">
        <v>2</v>
      </c>
      <c r="U40" s="25">
        <v>272.5</v>
      </c>
      <c r="V40" s="25">
        <f>H40*U40*I40/15</f>
        <v>1126660.3333333333</v>
      </c>
      <c r="W40" s="25">
        <v>313.64999999999998</v>
      </c>
      <c r="X40" s="25">
        <v>1354605.81</v>
      </c>
      <c r="Y40" s="25">
        <f>F40*80</f>
        <v>16000</v>
      </c>
      <c r="Z40" s="25">
        <v>44932</v>
      </c>
      <c r="AA40" s="25">
        <v>0</v>
      </c>
      <c r="AB40" s="25">
        <v>5450</v>
      </c>
      <c r="AC40" s="25">
        <f>F40*30</f>
        <v>6000</v>
      </c>
      <c r="AD40" s="25">
        <f>IF(F40="",G40*3.83,F40*3.83)</f>
        <v>766</v>
      </c>
      <c r="AE40" s="25">
        <v>2709.21</v>
      </c>
      <c r="AF40" s="25">
        <f>V40+Y40+Z40+AA40+AB40+AC40+AD40</f>
        <v>1199808.3333333333</v>
      </c>
      <c r="AG40" s="25">
        <f>IFERROR(IFERROR((H40*W40*J40/15)-AE40,""),"")</f>
        <v>1351882.41</v>
      </c>
      <c r="AH40" s="26">
        <f>IFERROR(AG40-AF40,"")</f>
        <v>152074.07666666666</v>
      </c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47"/>
    </row>
    <row r="41" spans="1:59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760.37038333333328</v>
      </c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4"/>
    </row>
    <row r="42" spans="1:59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0.11249060979102958</v>
      </c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4"/>
    </row>
    <row r="43" spans="1:59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4"/>
    </row>
    <row r="44" spans="1:59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4"/>
    </row>
    <row r="45" spans="1:59" x14ac:dyDescent="0.35">
      <c r="A45" s="37" t="s">
        <v>1</v>
      </c>
      <c r="B45" s="37" t="s">
        <v>2</v>
      </c>
      <c r="C45" s="37" t="s">
        <v>110</v>
      </c>
      <c r="D45" s="37" t="s">
        <v>66</v>
      </c>
      <c r="E45" s="37"/>
      <c r="F45" s="37" t="s">
        <v>137</v>
      </c>
      <c r="G45" s="37" t="s">
        <v>138</v>
      </c>
      <c r="H45" s="37" t="s">
        <v>4</v>
      </c>
      <c r="I45" s="37" t="s">
        <v>5</v>
      </c>
      <c r="J45" s="37" t="s">
        <v>6</v>
      </c>
      <c r="K45" s="37" t="s">
        <v>7</v>
      </c>
      <c r="L45" s="37" t="s">
        <v>279</v>
      </c>
      <c r="M45" s="37" t="s">
        <v>280</v>
      </c>
      <c r="N45" s="37" t="s">
        <v>281</v>
      </c>
      <c r="O45" s="37" t="s">
        <v>282</v>
      </c>
      <c r="P45" s="37" t="s">
        <v>283</v>
      </c>
      <c r="Q45" s="37" t="s">
        <v>284</v>
      </c>
      <c r="R45" s="37" t="s">
        <v>904</v>
      </c>
      <c r="S45" s="37" t="s">
        <v>285</v>
      </c>
      <c r="T45" s="37" t="s">
        <v>289</v>
      </c>
      <c r="U45" s="37" t="s">
        <v>8</v>
      </c>
      <c r="V45" s="37" t="s">
        <v>9</v>
      </c>
      <c r="W45" s="37" t="s">
        <v>10</v>
      </c>
      <c r="X45" s="37" t="s">
        <v>100</v>
      </c>
      <c r="Y45" s="37" t="s">
        <v>106</v>
      </c>
      <c r="Z45" s="37" t="s">
        <v>12</v>
      </c>
      <c r="AA45" s="37" t="s">
        <v>11</v>
      </c>
      <c r="AB45" s="37" t="s">
        <v>13</v>
      </c>
      <c r="AC45" s="37" t="s">
        <v>74</v>
      </c>
      <c r="AD45" s="37" t="s">
        <v>21</v>
      </c>
      <c r="AE45" s="37" t="s">
        <v>14</v>
      </c>
      <c r="AF45" s="37" t="s">
        <v>15</v>
      </c>
      <c r="AG45" s="37" t="s">
        <v>16</v>
      </c>
      <c r="AH45" s="15" t="s">
        <v>17</v>
      </c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4"/>
    </row>
    <row r="46" spans="1:59" x14ac:dyDescent="0.35">
      <c r="A46" s="38">
        <v>44848</v>
      </c>
      <c r="B46" s="39" t="s">
        <v>292</v>
      </c>
      <c r="C46" s="39" t="s">
        <v>293</v>
      </c>
      <c r="D46" s="45">
        <v>137703</v>
      </c>
      <c r="E46" s="45"/>
      <c r="F46" s="39">
        <v>54</v>
      </c>
      <c r="G46" s="39"/>
      <c r="H46" s="40">
        <v>24980</v>
      </c>
      <c r="I46" s="53">
        <v>0.54</v>
      </c>
      <c r="J46" s="42">
        <f>IFERROR(K46/H46,"")</f>
        <v>0.54781825460368294</v>
      </c>
      <c r="K46" s="40">
        <v>13684.5</v>
      </c>
      <c r="L46" s="39">
        <v>15</v>
      </c>
      <c r="M46" s="39">
        <v>35</v>
      </c>
      <c r="N46" s="39">
        <v>4</v>
      </c>
      <c r="O46" s="39"/>
      <c r="P46" s="39"/>
      <c r="Q46" s="39"/>
      <c r="R46" s="39"/>
      <c r="S46" s="39"/>
      <c r="T46" s="39"/>
      <c r="U46" s="43">
        <v>265</v>
      </c>
      <c r="V46" s="43">
        <f>H46*U46*I46/15</f>
        <v>238309.20000000004</v>
      </c>
      <c r="W46" s="43">
        <v>313.02</v>
      </c>
      <c r="X46" s="43">
        <v>337210.4</v>
      </c>
      <c r="Y46" s="43">
        <v>0</v>
      </c>
      <c r="Z46" s="43">
        <v>11900</v>
      </c>
      <c r="AA46" s="43"/>
      <c r="AB46" s="43">
        <v>1431</v>
      </c>
      <c r="AC46" s="43">
        <f>F46*30</f>
        <v>1620</v>
      </c>
      <c r="AD46" s="43">
        <f>IF(F46="",G46*3.83,F46*3.83)</f>
        <v>206.82</v>
      </c>
      <c r="AE46" s="43">
        <v>674.42</v>
      </c>
      <c r="AF46" s="43">
        <f>V46+Y46+Z46+AA46+AB46+AC46+AD46</f>
        <v>253467.02000000005</v>
      </c>
      <c r="AG46" s="43">
        <f>IFERROR(IFERROR((H46*W46*J46/15)-AE46,""),"")</f>
        <v>284893.72599999997</v>
      </c>
      <c r="AH46" s="26">
        <f>IFERROR(AG46-AF46,"")</f>
        <v>31426.705999999918</v>
      </c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4"/>
    </row>
    <row r="47" spans="1:59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581.97603703703555</v>
      </c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4"/>
    </row>
    <row r="48" spans="1:59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0.11031027759452984</v>
      </c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4"/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4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4"/>
    </row>
    <row r="51" spans="1:59" ht="15" thickBot="1" x14ac:dyDescent="0.4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3"/>
      <c r="AA51" s="21"/>
      <c r="AB51" s="21"/>
      <c r="AC51" s="21"/>
      <c r="AD51" s="21"/>
      <c r="AE51" s="21"/>
      <c r="AF51" s="21"/>
      <c r="AG51" s="21"/>
      <c r="AH51" s="48"/>
    </row>
    <row r="52" spans="1:59" ht="16" thickBot="1" x14ac:dyDescent="0.4">
      <c r="A52" s="377" t="s">
        <v>290</v>
      </c>
      <c r="B52" s="378"/>
      <c r="C52" s="378"/>
      <c r="D52" s="378"/>
      <c r="E52" s="378"/>
      <c r="F52" s="378"/>
      <c r="G52" s="378"/>
      <c r="H52" s="378"/>
      <c r="I52" s="378"/>
      <c r="J52" s="378"/>
      <c r="K52" s="378"/>
      <c r="L52" s="46"/>
      <c r="M52" s="46"/>
      <c r="N52" s="46"/>
      <c r="O52" s="46"/>
      <c r="P52" s="46"/>
      <c r="Q52" s="46"/>
      <c r="R52" s="46"/>
      <c r="S52" s="46"/>
      <c r="T52" s="46"/>
      <c r="U52" s="30"/>
      <c r="V52" s="31">
        <f>V4+V10+V16+V22+V28+V34+V40+V46</f>
        <v>4694371.5933333337</v>
      </c>
      <c r="W52" s="30"/>
      <c r="X52" s="30"/>
      <c r="Y52" s="31">
        <f>Y4+Y10+Y16+Y22+Y28+Y34+Y40+Y46</f>
        <v>45920</v>
      </c>
      <c r="Z52" s="31">
        <f>Z4+Z10+Z16+Z22+Z28+Z34+Z40+Z46</f>
        <v>177391.98</v>
      </c>
      <c r="AA52" s="31">
        <f>AA4+AA10+AA16+AA22+AA28+AA34+AA40+AA46</f>
        <v>0</v>
      </c>
      <c r="AB52" s="31">
        <f>AB4+AB10+AB16+AB16+AB22+AB28+AB34+AB40+AB46</f>
        <v>29026</v>
      </c>
      <c r="AC52" s="31">
        <f>AC4+AC10+AC16+AC22+AC28+AC34+AC40+AC46</f>
        <v>22620</v>
      </c>
      <c r="AD52" s="31">
        <f>AD4+AD10+AD16+AD22+AD28+AD34+AD40+AD46</f>
        <v>3332.1000000000004</v>
      </c>
      <c r="AE52" s="31">
        <f>AE4+AE10+AE16+AE22+AE28+AE34+AE40+AE46</f>
        <v>11342.320000000002</v>
      </c>
      <c r="AF52" s="31">
        <f>AF4+AF10+AF16+AF22+AF28+AF34+AF40+AF46</f>
        <v>4967211.6733333338</v>
      </c>
      <c r="AG52" s="31">
        <f>AG4+AG10+AG16+AG22+AG28+AG34+AG40+AG46</f>
        <v>5628685.0139599992</v>
      </c>
      <c r="AH52" s="32"/>
    </row>
  </sheetData>
  <mergeCells count="2">
    <mergeCell ref="U2:AC2"/>
    <mergeCell ref="A52:K5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1"/>
  <dimension ref="A1:BG75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29.4531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44849</v>
      </c>
      <c r="B4" s="21" t="s">
        <v>276</v>
      </c>
      <c r="C4" s="21" t="s">
        <v>272</v>
      </c>
      <c r="D4" s="44">
        <v>137703</v>
      </c>
      <c r="E4" s="44"/>
      <c r="F4" s="21">
        <v>150</v>
      </c>
      <c r="G4" s="21"/>
      <c r="H4" s="22">
        <v>82800</v>
      </c>
      <c r="I4" s="33">
        <v>0.55000000000000004</v>
      </c>
      <c r="J4" s="24">
        <f>IFERROR(K4/H4,"")</f>
        <v>0.57199275362318835</v>
      </c>
      <c r="K4" s="22">
        <v>47361</v>
      </c>
      <c r="L4" s="21">
        <v>20</v>
      </c>
      <c r="M4" s="21">
        <v>56</v>
      </c>
      <c r="N4" s="21">
        <v>65</v>
      </c>
      <c r="O4" s="21">
        <v>7</v>
      </c>
      <c r="P4" s="21">
        <v>2</v>
      </c>
      <c r="Q4" s="21"/>
      <c r="R4" s="21"/>
      <c r="S4" s="21"/>
      <c r="T4" s="21"/>
      <c r="U4" s="25">
        <v>272.5</v>
      </c>
      <c r="V4" s="25">
        <f>H4*U4*I4/15</f>
        <v>827310.00000000012</v>
      </c>
      <c r="W4" s="25">
        <v>313.02</v>
      </c>
      <c r="X4" s="25">
        <v>936695.57</v>
      </c>
      <c r="Y4" s="25">
        <v>0</v>
      </c>
      <c r="Z4" s="25">
        <v>36027.599999999999</v>
      </c>
      <c r="AA4" s="25">
        <v>0</v>
      </c>
      <c r="AB4" s="25">
        <v>4087.5</v>
      </c>
      <c r="AC4" s="25">
        <f>F4*30</f>
        <v>4500</v>
      </c>
      <c r="AD4" s="25">
        <f>F4*3.83</f>
        <v>574.5</v>
      </c>
      <c r="AE4" s="25">
        <v>1873.38</v>
      </c>
      <c r="AF4" s="25">
        <f>V4+Y4+Z4+AA4+AB4+AC4+AD4</f>
        <v>872499.60000000009</v>
      </c>
      <c r="AG4" s="25">
        <f>IFERROR(IFERROR((H4*W4*J4/15)-AE4,""),"")</f>
        <v>986455.96799999988</v>
      </c>
      <c r="AH4" s="26">
        <f>IFERROR(AG4-AF4,"")</f>
        <v>113956.36799999978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759.70911999999851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0.11552098795756872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K9" s="63"/>
    </row>
    <row r="10" spans="1:38" x14ac:dyDescent="0.35">
      <c r="A10" s="20">
        <v>44850</v>
      </c>
      <c r="B10" s="21" t="s">
        <v>276</v>
      </c>
      <c r="C10" s="21" t="s">
        <v>272</v>
      </c>
      <c r="D10" s="44">
        <v>137707</v>
      </c>
      <c r="E10" s="44"/>
      <c r="F10" s="21">
        <v>50</v>
      </c>
      <c r="G10" s="21"/>
      <c r="H10" s="22">
        <v>22080</v>
      </c>
      <c r="I10" s="33">
        <v>0.53</v>
      </c>
      <c r="J10" s="24">
        <f>IFERROR(K10/H10,"")</f>
        <v>0.56761956521739132</v>
      </c>
      <c r="K10" s="22">
        <v>12533.04</v>
      </c>
      <c r="L10" s="21">
        <v>23</v>
      </c>
      <c r="M10" s="21">
        <v>15</v>
      </c>
      <c r="N10" s="21">
        <v>12</v>
      </c>
      <c r="O10" s="21"/>
      <c r="P10" s="21"/>
      <c r="Q10" s="21"/>
      <c r="R10" s="21"/>
      <c r="S10" s="21"/>
      <c r="T10" s="21"/>
      <c r="U10" s="25">
        <v>265</v>
      </c>
      <c r="V10" s="25">
        <f>H10*U10*I10/15</f>
        <v>206742.39999999999</v>
      </c>
      <c r="W10" s="25">
        <v>308.13</v>
      </c>
      <c r="X10" s="25">
        <v>301358.08000000002</v>
      </c>
      <c r="Y10" s="25">
        <v>0</v>
      </c>
      <c r="Z10" s="25">
        <v>12004</v>
      </c>
      <c r="AA10" s="25">
        <v>0</v>
      </c>
      <c r="AB10" s="25">
        <v>1325</v>
      </c>
      <c r="AC10" s="25">
        <f>F10*30</f>
        <v>1500</v>
      </c>
      <c r="AD10" s="25">
        <f>IF(F10="",G10*3.83,F10*3.83)</f>
        <v>191.5</v>
      </c>
      <c r="AE10" s="25">
        <v>602.71</v>
      </c>
      <c r="AF10" s="25">
        <f>V10+Y10+Z10+AA10+AB10+AC10+AD10</f>
        <v>221762.9</v>
      </c>
      <c r="AG10" s="25">
        <f>IFERROR(IFERROR((H10*W10*J10/15)-AE10,""),"")</f>
        <v>256850.99768</v>
      </c>
      <c r="AH10" s="26">
        <f>IFERROR(AG10-AF10,"")</f>
        <v>35088.097680000006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701.76195360000008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0.13660876538122235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20">
        <v>44850</v>
      </c>
      <c r="B16" s="21" t="s">
        <v>276</v>
      </c>
      <c r="C16" s="21" t="s">
        <v>272</v>
      </c>
      <c r="D16" s="44">
        <v>137707</v>
      </c>
      <c r="E16" s="44"/>
      <c r="F16" s="21">
        <v>150</v>
      </c>
      <c r="G16" s="21"/>
      <c r="H16" s="22">
        <v>80680</v>
      </c>
      <c r="I16" s="33">
        <v>0.54</v>
      </c>
      <c r="J16" s="24">
        <f>IFERROR(K16/H16,"")</f>
        <v>0.57199999999999995</v>
      </c>
      <c r="K16" s="22">
        <v>46148.959999999999</v>
      </c>
      <c r="L16" s="21">
        <v>30</v>
      </c>
      <c r="M16" s="21">
        <v>79</v>
      </c>
      <c r="N16" s="21">
        <v>34</v>
      </c>
      <c r="O16" s="21">
        <v>6</v>
      </c>
      <c r="P16" s="21">
        <v>1</v>
      </c>
      <c r="Q16" s="21"/>
      <c r="R16" s="21"/>
      <c r="S16" s="21"/>
      <c r="T16" s="21"/>
      <c r="U16" s="25">
        <v>272.5</v>
      </c>
      <c r="V16" s="25">
        <f>H16*U16*I16/15</f>
        <v>791470.8</v>
      </c>
      <c r="W16" s="25">
        <v>308.13</v>
      </c>
      <c r="X16" s="25">
        <v>904074.23999999999</v>
      </c>
      <c r="Y16" s="25">
        <v>0</v>
      </c>
      <c r="Z16" s="25">
        <v>36012</v>
      </c>
      <c r="AA16" s="25">
        <v>0</v>
      </c>
      <c r="AB16" s="25">
        <v>4087.5</v>
      </c>
      <c r="AC16" s="25">
        <f>F16*30</f>
        <v>4500</v>
      </c>
      <c r="AD16" s="25">
        <f>IF(F16="",G16*3.83,F16*3.83)</f>
        <v>574.5</v>
      </c>
      <c r="AE16" s="25">
        <v>1808.15</v>
      </c>
      <c r="AF16" s="25">
        <f>V16+Y16+Z16+AA16+AB16+AC16+AD16</f>
        <v>836644.8</v>
      </c>
      <c r="AG16" s="25">
        <f>IFERROR(IFERROR((H16*W16*J16/15)-AE16,""),"")</f>
        <v>946183.78631999984</v>
      </c>
      <c r="AH16" s="26">
        <f>IFERROR(AG16-AF16,"")</f>
        <v>109538.98631999979</v>
      </c>
      <c r="AJ16">
        <f>F4+G4+F10+G10+F16+G16+F22+G22+F28+G28+F34+G34+F40+G40+F46+G46+F52+G52+F58+G58+F64+G64+F70+G70</f>
        <v>987</v>
      </c>
      <c r="AK16" s="50" t="s">
        <v>22</v>
      </c>
      <c r="AL16" t="s">
        <v>72</v>
      </c>
    </row>
    <row r="17" spans="1:37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730.25990879999858</v>
      </c>
      <c r="AJ17" s="11">
        <f>AH4+AH10+AH16+AH22+AH28+AH34+AH40+AH46+AH52+AH58+AH64+AH70</f>
        <v>551578.8467266662</v>
      </c>
      <c r="AK17" s="11">
        <f>AJ17*30%</f>
        <v>165473.65401799986</v>
      </c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0.11576924895958178</v>
      </c>
      <c r="AJ18" s="11"/>
      <c r="AK18" s="11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</row>
    <row r="21" spans="1:37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</row>
    <row r="22" spans="1:37" x14ac:dyDescent="0.35">
      <c r="A22" s="20">
        <v>44851</v>
      </c>
      <c r="B22" s="21" t="s">
        <v>294</v>
      </c>
      <c r="C22" s="21" t="s">
        <v>295</v>
      </c>
      <c r="D22" s="44">
        <v>137711</v>
      </c>
      <c r="E22" s="44"/>
      <c r="F22" s="21">
        <v>50</v>
      </c>
      <c r="G22" s="21"/>
      <c r="H22" s="22">
        <v>24900</v>
      </c>
      <c r="I22" s="33">
        <v>0.54</v>
      </c>
      <c r="J22" s="24">
        <f>IFERROR(K22/H22,"")</f>
        <v>0.57808554216867469</v>
      </c>
      <c r="K22" s="22">
        <v>14394.33</v>
      </c>
      <c r="L22" s="21">
        <v>1</v>
      </c>
      <c r="M22" s="21">
        <v>17</v>
      </c>
      <c r="N22" s="21">
        <v>22</v>
      </c>
      <c r="O22" s="21">
        <v>9</v>
      </c>
      <c r="P22" s="21">
        <v>1</v>
      </c>
      <c r="Q22" s="21"/>
      <c r="R22" s="21"/>
      <c r="S22" s="21"/>
      <c r="T22" s="21"/>
      <c r="U22" s="25">
        <v>270</v>
      </c>
      <c r="V22" s="25">
        <f>H22*U22*I22/15</f>
        <v>242028.00000000003</v>
      </c>
      <c r="W22" s="25">
        <v>302.52</v>
      </c>
      <c r="X22" s="25">
        <v>290303.09999999998</v>
      </c>
      <c r="Y22" s="25">
        <f>G22*120</f>
        <v>0</v>
      </c>
      <c r="Z22" s="25">
        <v>13602.2</v>
      </c>
      <c r="AA22" s="25">
        <v>0</v>
      </c>
      <c r="AB22" s="25">
        <v>1350</v>
      </c>
      <c r="AC22" s="25">
        <f>F22*30</f>
        <v>1500</v>
      </c>
      <c r="AD22" s="25">
        <f>IF(F22="",G22*3.83,F22*3.83)</f>
        <v>191.5</v>
      </c>
      <c r="AE22" s="25">
        <v>580.6</v>
      </c>
      <c r="AF22" s="25">
        <f>V22+Y22+Z22+AA22+AB22+AC22+AD22</f>
        <v>258671.70000000004</v>
      </c>
      <c r="AG22" s="25">
        <f>IFERROR(IFERROR((H22*W22*J22/15)-AE22,""),"")</f>
        <v>289724.24744000001</v>
      </c>
      <c r="AH22" s="26">
        <f>IFERROR(AG22-AF22,"")</f>
        <v>31052.547439999966</v>
      </c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621.05094879999933</v>
      </c>
    </row>
    <row r="24" spans="1:3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0.10717966381612828</v>
      </c>
    </row>
    <row r="25" spans="1:3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7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7" x14ac:dyDescent="0.35">
      <c r="A28" s="20">
        <v>44851</v>
      </c>
      <c r="B28" s="21" t="s">
        <v>296</v>
      </c>
      <c r="C28" s="21" t="s">
        <v>297</v>
      </c>
      <c r="D28" s="44">
        <v>137712</v>
      </c>
      <c r="E28" s="44"/>
      <c r="F28" s="21"/>
      <c r="G28" s="21">
        <v>70</v>
      </c>
      <c r="H28" s="22">
        <v>28540</v>
      </c>
      <c r="I28" s="33">
        <v>0.5</v>
      </c>
      <c r="J28" s="24">
        <f>IFERROR(K28/H28,"")</f>
        <v>0.49640854940434476</v>
      </c>
      <c r="K28" s="22">
        <v>14167.5</v>
      </c>
      <c r="L28" s="21">
        <v>34</v>
      </c>
      <c r="M28" s="21">
        <v>29</v>
      </c>
      <c r="N28" s="21">
        <v>5</v>
      </c>
      <c r="O28" s="21">
        <v>2</v>
      </c>
      <c r="P28" s="21"/>
      <c r="Q28" s="21"/>
      <c r="R28" s="21"/>
      <c r="S28" s="21"/>
      <c r="T28" s="21"/>
      <c r="U28" s="25">
        <v>260</v>
      </c>
      <c r="V28" s="25">
        <f>H28*U28*I28/15</f>
        <v>247346.66666666666</v>
      </c>
      <c r="W28" s="25">
        <v>302.14999999999998</v>
      </c>
      <c r="X28" s="25">
        <v>285380.47999999998</v>
      </c>
      <c r="Y28" s="25">
        <v>3900</v>
      </c>
      <c r="Z28" s="25">
        <v>6594.6</v>
      </c>
      <c r="AA28" s="25">
        <v>0</v>
      </c>
      <c r="AB28" s="25">
        <v>1820</v>
      </c>
      <c r="AC28" s="25">
        <f>G28*30</f>
        <v>2100</v>
      </c>
      <c r="AD28" s="25">
        <f>IF(F28="",G28*3.83,F28*3.83)</f>
        <v>268.10000000000002</v>
      </c>
      <c r="AE28" s="25">
        <v>570.76</v>
      </c>
      <c r="AF28" s="25">
        <f>V28+Y28+Z28+AA28+AB28+AC28+AD28</f>
        <v>262029.36666666667</v>
      </c>
      <c r="AG28" s="25">
        <f>IFERROR(IFERROR((H28*W28*J28/15)-AE28,""),"")</f>
        <v>284809.91499999998</v>
      </c>
      <c r="AH28" s="26">
        <f>IFERROR(AG28-AF28,"")</f>
        <v>22780.54833333331</v>
      </c>
    </row>
    <row r="29" spans="1:37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AH28/G28</f>
        <v>325.43640476190444</v>
      </c>
      <c r="AJ29" s="11"/>
      <c r="AK29" s="11"/>
    </row>
    <row r="30" spans="1:37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7.998509579040923E-2</v>
      </c>
      <c r="AJ30" s="11"/>
      <c r="AK30" s="11"/>
    </row>
    <row r="31" spans="1:37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7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59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90" t="s">
        <v>138</v>
      </c>
      <c r="H33" s="90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59" x14ac:dyDescent="0.35">
      <c r="A34" s="20">
        <v>44852</v>
      </c>
      <c r="B34" s="21" t="s">
        <v>298</v>
      </c>
      <c r="C34" s="21" t="s">
        <v>297</v>
      </c>
      <c r="D34" s="44">
        <v>137866</v>
      </c>
      <c r="E34" s="44"/>
      <c r="F34" s="21"/>
      <c r="G34" s="91">
        <v>59</v>
      </c>
      <c r="H34" s="92">
        <v>22764.16</v>
      </c>
      <c r="I34" s="33">
        <v>0.5</v>
      </c>
      <c r="J34" s="24">
        <f>IFERROR(K34/H34,"")</f>
        <v>0.51208961806629372</v>
      </c>
      <c r="K34" s="22">
        <v>11657.29</v>
      </c>
      <c r="L34" s="21">
        <v>8</v>
      </c>
      <c r="M34" s="21">
        <v>33</v>
      </c>
      <c r="N34" s="21">
        <v>14</v>
      </c>
      <c r="O34" s="21">
        <v>2</v>
      </c>
      <c r="P34" s="21">
        <v>2</v>
      </c>
      <c r="Q34" s="21"/>
      <c r="R34" s="21"/>
      <c r="S34" s="21"/>
      <c r="T34" s="21"/>
      <c r="U34" s="25">
        <v>265</v>
      </c>
      <c r="V34" s="25">
        <f>H34*U34*I34/15</f>
        <v>201083.41333333336</v>
      </c>
      <c r="W34" s="25">
        <v>300.66000000000003</v>
      </c>
      <c r="X34" s="25">
        <v>233657.78</v>
      </c>
      <c r="Y34" s="25">
        <f>F34*120</f>
        <v>0</v>
      </c>
      <c r="Z34" s="25">
        <v>6659.1</v>
      </c>
      <c r="AA34" s="25">
        <v>0</v>
      </c>
      <c r="AB34" s="25">
        <v>1590</v>
      </c>
      <c r="AC34" s="25">
        <f>G34*30</f>
        <v>1770</v>
      </c>
      <c r="AD34" s="25">
        <f>IF(F34="",G34*3.83,F34*3.83)</f>
        <v>225.97</v>
      </c>
      <c r="AE34" s="25">
        <v>467.31</v>
      </c>
      <c r="AF34" s="25">
        <f>V34+Y34+Z34+AA34+AB34+AC34+AD34</f>
        <v>211328.48333333337</v>
      </c>
      <c r="AG34" s="25">
        <f>IFERROR(IFERROR((H34*W34*J34/15)-AE34,""),"")</f>
        <v>233191.41076000003</v>
      </c>
      <c r="AH34" s="26">
        <f>IFERROR(AG34-AF34,"")</f>
        <v>21862.927426666662</v>
      </c>
    </row>
    <row r="35" spans="1:59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AH34/G34</f>
        <v>370.55809197740103</v>
      </c>
    </row>
    <row r="36" spans="1:59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9.3755286077701755E-2</v>
      </c>
    </row>
    <row r="37" spans="1:59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59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59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47"/>
    </row>
    <row r="40" spans="1:59" x14ac:dyDescent="0.35">
      <c r="A40" s="20">
        <v>44852</v>
      </c>
      <c r="B40" s="21" t="s">
        <v>299</v>
      </c>
      <c r="C40" s="21" t="s">
        <v>150</v>
      </c>
      <c r="D40" s="44">
        <v>137711</v>
      </c>
      <c r="E40" s="44"/>
      <c r="F40" s="21">
        <v>50</v>
      </c>
      <c r="G40" s="21"/>
      <c r="H40" s="22">
        <v>28771</v>
      </c>
      <c r="I40" s="33">
        <v>0.53</v>
      </c>
      <c r="J40" s="24">
        <f>IFERROR(K40/H40,"")</f>
        <v>0.50030690625977547</v>
      </c>
      <c r="K40" s="22">
        <v>14394.33</v>
      </c>
      <c r="L40" s="21"/>
      <c r="M40" s="21">
        <v>16</v>
      </c>
      <c r="N40" s="21">
        <v>22</v>
      </c>
      <c r="O40" s="21">
        <v>10</v>
      </c>
      <c r="P40" s="21">
        <v>1</v>
      </c>
      <c r="Q40" s="21"/>
      <c r="R40" s="21"/>
      <c r="S40" s="21"/>
      <c r="T40" s="21">
        <v>1</v>
      </c>
      <c r="U40" s="25">
        <v>270</v>
      </c>
      <c r="V40" s="25">
        <f>H40*U40*I40/15</f>
        <v>274475.34000000003</v>
      </c>
      <c r="W40" s="25">
        <v>302.52</v>
      </c>
      <c r="X40" s="25">
        <v>290303.09999999998</v>
      </c>
      <c r="Y40" s="25">
        <f>F40*120</f>
        <v>6000</v>
      </c>
      <c r="Z40" s="25">
        <v>3647.5</v>
      </c>
      <c r="AA40" s="25">
        <v>0</v>
      </c>
      <c r="AB40" s="25">
        <v>1350</v>
      </c>
      <c r="AC40" s="25">
        <f>G40*30</f>
        <v>0</v>
      </c>
      <c r="AD40" s="25">
        <f>IF(F40="",G40*3.83,F40*3.83)</f>
        <v>191.5</v>
      </c>
      <c r="AE40" s="25">
        <v>580.6</v>
      </c>
      <c r="AF40" s="25">
        <f>V40+Y40+Z40+AA40+AB40+AC40+AD40</f>
        <v>285664.34000000003</v>
      </c>
      <c r="AG40" s="25">
        <f>IFERROR(IFERROR((H40*W40*J40/15)-AE40,""),"")</f>
        <v>289724.24744000001</v>
      </c>
      <c r="AH40" s="26">
        <f>IFERROR(AG40-AF40,"")</f>
        <v>4059.9074399999809</v>
      </c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47"/>
    </row>
    <row r="41" spans="1:59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81.198148799999615</v>
      </c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4"/>
    </row>
    <row r="42" spans="1:59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1.4013005386581463E-2</v>
      </c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4"/>
    </row>
    <row r="43" spans="1:59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4"/>
    </row>
    <row r="44" spans="1:59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4"/>
    </row>
    <row r="45" spans="1:59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90" t="s">
        <v>138</v>
      </c>
      <c r="H45" s="90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11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4"/>
    </row>
    <row r="46" spans="1:59" x14ac:dyDescent="0.35">
      <c r="A46" s="20">
        <v>44852</v>
      </c>
      <c r="B46" s="21" t="s">
        <v>300</v>
      </c>
      <c r="C46" s="21" t="s">
        <v>163</v>
      </c>
      <c r="D46" s="44">
        <v>137866</v>
      </c>
      <c r="E46" s="44"/>
      <c r="F46" s="21"/>
      <c r="G46" s="91">
        <v>58</v>
      </c>
      <c r="H46" s="92">
        <v>21784.400000000001</v>
      </c>
      <c r="I46" s="33">
        <v>0.5</v>
      </c>
      <c r="J46" s="24">
        <f>IFERROR(K46/H46,"")</f>
        <v>0.5260507519142138</v>
      </c>
      <c r="K46" s="22">
        <v>11459.7</v>
      </c>
      <c r="L46" s="21">
        <v>8</v>
      </c>
      <c r="M46" s="21">
        <v>33</v>
      </c>
      <c r="N46" s="21">
        <v>14</v>
      </c>
      <c r="O46" s="21">
        <v>1</v>
      </c>
      <c r="P46" s="21">
        <v>2</v>
      </c>
      <c r="Q46" s="21"/>
      <c r="R46" s="21"/>
      <c r="S46" s="21"/>
      <c r="T46" s="21"/>
      <c r="U46" s="25">
        <v>260</v>
      </c>
      <c r="V46" s="25">
        <f>H46*U46*I46/15</f>
        <v>188798.13333333333</v>
      </c>
      <c r="W46" s="25">
        <v>300.66000000000003</v>
      </c>
      <c r="X46" s="25">
        <v>229697.48</v>
      </c>
      <c r="Y46" s="25">
        <v>0</v>
      </c>
      <c r="Z46" s="25">
        <v>7476.1</v>
      </c>
      <c r="AA46" s="25"/>
      <c r="AB46" s="25">
        <v>1534</v>
      </c>
      <c r="AC46" s="25">
        <f>G46*30</f>
        <v>1740</v>
      </c>
      <c r="AD46" s="25">
        <f>IF(F46="",G46*3.83,F46*3.83)</f>
        <v>222.14000000000001</v>
      </c>
      <c r="AE46" s="25">
        <v>459.39</v>
      </c>
      <c r="AF46" s="25">
        <f>V46+Y46+Z46+AA46+AB46+AC46+AD46</f>
        <v>199770.37333333335</v>
      </c>
      <c r="AG46" s="25">
        <f>IFERROR(IFERROR((H46*W46*J46/15)-AE46,""),"")</f>
        <v>229238.83679999999</v>
      </c>
      <c r="AH46" s="26">
        <f>IFERROR(AG46-AF46,"")</f>
        <v>29468.463466666639</v>
      </c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4"/>
    </row>
    <row r="47" spans="1:59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AH46/G46</f>
        <v>508.07695632183862</v>
      </c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4"/>
    </row>
    <row r="48" spans="1:59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0.12854917551503925</v>
      </c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4"/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4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4"/>
    </row>
    <row r="51" spans="1:59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11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</row>
    <row r="52" spans="1:59" x14ac:dyDescent="0.35">
      <c r="A52" s="20">
        <v>44852</v>
      </c>
      <c r="B52" s="21" t="s">
        <v>301</v>
      </c>
      <c r="C52" s="21" t="s">
        <v>302</v>
      </c>
      <c r="D52" s="44">
        <v>137713</v>
      </c>
      <c r="E52" s="44"/>
      <c r="F52" s="21">
        <v>100</v>
      </c>
      <c r="G52" s="21"/>
      <c r="H52" s="22">
        <v>58510</v>
      </c>
      <c r="I52" s="33">
        <v>0.55000000000000004</v>
      </c>
      <c r="J52" s="24">
        <f>IFERROR(K52/H52,"")</f>
        <v>0.55510169201845838</v>
      </c>
      <c r="K52" s="22">
        <v>32479</v>
      </c>
      <c r="L52" s="21">
        <v>12</v>
      </c>
      <c r="M52" s="21">
        <v>27</v>
      </c>
      <c r="N52" s="21">
        <v>50</v>
      </c>
      <c r="O52" s="21">
        <v>11</v>
      </c>
      <c r="P52" s="21"/>
      <c r="Q52" s="21"/>
      <c r="R52" s="21"/>
      <c r="S52" s="21"/>
      <c r="T52" s="21"/>
      <c r="U52" s="25">
        <v>275</v>
      </c>
      <c r="V52" s="25">
        <f>H52*U52*I52/15</f>
        <v>589975.83333333337</v>
      </c>
      <c r="W52" s="25">
        <v>304.56</v>
      </c>
      <c r="X52" s="25">
        <v>659450.35</v>
      </c>
      <c r="Y52" s="25">
        <v>8000</v>
      </c>
      <c r="Z52" s="25">
        <v>14759</v>
      </c>
      <c r="AA52" s="25"/>
      <c r="AB52" s="25">
        <v>2750</v>
      </c>
      <c r="AC52" s="25">
        <f>F52*30</f>
        <v>3000</v>
      </c>
      <c r="AD52" s="25">
        <f>IF(F52="",G52*3.83,F52*3.83)</f>
        <v>383</v>
      </c>
      <c r="AE52" s="25">
        <v>1318.9</v>
      </c>
      <c r="AF52" s="25">
        <f>V52+Y52+Z52+AA52+AB52+AC52+AD52</f>
        <v>618867.83333333337</v>
      </c>
      <c r="AG52" s="25">
        <f>IFERROR(IFERROR((H52*W52*J52/15)-AE52,""),"")</f>
        <v>658134.71600000001</v>
      </c>
      <c r="AH52" s="26">
        <f>IFERROR(AG52-AF52,"")</f>
        <v>39266.882666666643</v>
      </c>
    </row>
    <row r="53" spans="1:5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392.6688266666664</v>
      </c>
    </row>
    <row r="54" spans="1:5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3"/>
      <c r="AA54" s="21"/>
      <c r="AB54" s="21"/>
      <c r="AC54" s="21"/>
      <c r="AD54" s="21"/>
      <c r="AE54" s="21"/>
      <c r="AF54" s="21"/>
      <c r="AG54" s="21"/>
      <c r="AH54" s="27">
        <f>IFERROR(AH52/AG52,"")</f>
        <v>5.9663898153439213E-2</v>
      </c>
    </row>
    <row r="55" spans="1:5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4"/>
    </row>
    <row r="56" spans="1:5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3"/>
      <c r="AA56" s="21"/>
      <c r="AB56" s="21"/>
      <c r="AC56" s="21"/>
      <c r="AD56" s="21"/>
      <c r="AE56" s="21"/>
      <c r="AF56" s="21"/>
      <c r="AG56" s="21"/>
      <c r="AH56" s="24"/>
    </row>
    <row r="57" spans="1:59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11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</row>
    <row r="58" spans="1:59" x14ac:dyDescent="0.35">
      <c r="A58" s="20">
        <v>44852</v>
      </c>
      <c r="B58" s="21" t="s">
        <v>303</v>
      </c>
      <c r="C58" s="21" t="s">
        <v>111</v>
      </c>
      <c r="D58" s="44">
        <v>137711</v>
      </c>
      <c r="E58" s="44"/>
      <c r="F58" s="21">
        <v>50</v>
      </c>
      <c r="G58" s="21"/>
      <c r="H58" s="22">
        <v>26125</v>
      </c>
      <c r="I58" s="33">
        <v>0.52</v>
      </c>
      <c r="J58" s="24">
        <f>IFERROR(K58/H58,"")</f>
        <v>0.55097913875598081</v>
      </c>
      <c r="K58" s="22">
        <v>14394.33</v>
      </c>
      <c r="L58" s="21"/>
      <c r="M58" s="21">
        <v>16</v>
      </c>
      <c r="N58" s="21">
        <v>23</v>
      </c>
      <c r="O58" s="21">
        <v>10</v>
      </c>
      <c r="P58" s="21">
        <v>1</v>
      </c>
      <c r="Q58" s="21"/>
      <c r="R58" s="21"/>
      <c r="S58" s="21"/>
      <c r="T58" s="21"/>
      <c r="U58" s="25">
        <v>270</v>
      </c>
      <c r="V58" s="25">
        <f>H58*U58*I58/15</f>
        <v>244530</v>
      </c>
      <c r="W58" s="25">
        <v>302.52</v>
      </c>
      <c r="X58" s="25">
        <v>290303.09999999998</v>
      </c>
      <c r="Y58" s="25">
        <f>F58*120</f>
        <v>6000</v>
      </c>
      <c r="Z58" s="25">
        <v>5711.5</v>
      </c>
      <c r="AA58" s="25"/>
      <c r="AB58" s="25">
        <v>1350</v>
      </c>
      <c r="AC58" s="25">
        <v>0</v>
      </c>
      <c r="AD58" s="25">
        <f>IF(F58="",G58*3.83,F58*3.83)</f>
        <v>191.5</v>
      </c>
      <c r="AE58" s="25">
        <v>580.6</v>
      </c>
      <c r="AF58" s="25">
        <f>V58+Y58+Z58+AA58+AB58+AC58+AD58</f>
        <v>257783</v>
      </c>
      <c r="AG58" s="25">
        <f>IFERROR(IFERROR((H58*W58*J58/15)-AE58,""),"")</f>
        <v>289724.24743999995</v>
      </c>
      <c r="AH58" s="26">
        <f>IFERROR(AG58-AF58,"")</f>
        <v>31941.247439999948</v>
      </c>
    </row>
    <row r="59" spans="1:59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638.82494879999899</v>
      </c>
    </row>
    <row r="60" spans="1:5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7">
        <f>IFERROR(AH58/AG58,"")</f>
        <v>0.11024706327562307</v>
      </c>
    </row>
    <row r="61" spans="1:5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3"/>
      <c r="AA61" s="21"/>
      <c r="AB61" s="21"/>
      <c r="AC61" s="21"/>
      <c r="AD61" s="21"/>
      <c r="AE61" s="21"/>
      <c r="AF61" s="21"/>
      <c r="AG61" s="21"/>
      <c r="AH61" s="24"/>
    </row>
    <row r="62" spans="1:5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3"/>
      <c r="AA62" s="21"/>
      <c r="AB62" s="21"/>
      <c r="AC62" s="21"/>
      <c r="AD62" s="21"/>
      <c r="AE62" s="21"/>
      <c r="AF62" s="21"/>
      <c r="AG62" s="21"/>
      <c r="AH62" s="24"/>
    </row>
    <row r="63" spans="1:5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11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</row>
    <row r="64" spans="1:59" x14ac:dyDescent="0.35">
      <c r="A64" s="20">
        <v>44853</v>
      </c>
      <c r="B64" s="21" t="s">
        <v>304</v>
      </c>
      <c r="C64" s="21" t="s">
        <v>305</v>
      </c>
      <c r="D64" s="44">
        <v>137714</v>
      </c>
      <c r="E64" s="44"/>
      <c r="F64" s="21">
        <v>50</v>
      </c>
      <c r="G64" s="21"/>
      <c r="H64" s="22">
        <v>23460</v>
      </c>
      <c r="I64" s="33">
        <v>0.54</v>
      </c>
      <c r="J64" s="24">
        <f>IFERROR(K64/H64,"")</f>
        <v>0.55562702472293268</v>
      </c>
      <c r="K64" s="22">
        <v>13035.01</v>
      </c>
      <c r="L64" s="21">
        <v>8</v>
      </c>
      <c r="M64" s="21">
        <v>20</v>
      </c>
      <c r="N64" s="21">
        <v>16</v>
      </c>
      <c r="O64" s="21">
        <v>6</v>
      </c>
      <c r="P64" s="21"/>
      <c r="Q64" s="21"/>
      <c r="R64" s="21"/>
      <c r="S64" s="21"/>
      <c r="T64" s="21"/>
      <c r="U64" s="25">
        <v>270</v>
      </c>
      <c r="V64" s="25">
        <f>H64*U64*I64/15</f>
        <v>228031.2</v>
      </c>
      <c r="W64" s="25">
        <v>309.23</v>
      </c>
      <c r="X64" s="25">
        <v>311468.65000000002</v>
      </c>
      <c r="Y64" s="25">
        <v>0</v>
      </c>
      <c r="Z64" s="25">
        <v>7491.4</v>
      </c>
      <c r="AA64" s="25"/>
      <c r="AB64" s="25">
        <v>1350</v>
      </c>
      <c r="AC64" s="25">
        <f>F64*30</f>
        <v>1500</v>
      </c>
      <c r="AD64" s="25">
        <f>IF(F64="",G64*3.83,F64*3.83)</f>
        <v>191.5</v>
      </c>
      <c r="AE64" s="25">
        <v>622.94000000000005</v>
      </c>
      <c r="AF64" s="25">
        <f>V64+Y64+Z64+AA64+AB64+AC64+AD64</f>
        <v>238564.1</v>
      </c>
      <c r="AG64" s="25">
        <f>IFERROR(IFERROR((H64*W64*J64/15)-AE64,""),"")</f>
        <v>268098.13615333335</v>
      </c>
      <c r="AH64" s="26">
        <f>IFERROR(AG64-AF64,"")</f>
        <v>29534.036153333349</v>
      </c>
    </row>
    <row r="65" spans="1:34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590.68072306666693</v>
      </c>
    </row>
    <row r="66" spans="1:34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3"/>
      <c r="AA66" s="21"/>
      <c r="AB66" s="21"/>
      <c r="AC66" s="21"/>
      <c r="AD66" s="21"/>
      <c r="AE66" s="21"/>
      <c r="AF66" s="21"/>
      <c r="AG66" s="21"/>
      <c r="AH66" s="27">
        <f>IFERROR(AH64/AG64,"")</f>
        <v>0.11016128861277107</v>
      </c>
    </row>
    <row r="67" spans="1:34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3"/>
      <c r="AA67" s="21"/>
      <c r="AB67" s="21"/>
      <c r="AC67" s="21"/>
      <c r="AD67" s="21"/>
      <c r="AE67" s="21"/>
      <c r="AF67" s="21"/>
      <c r="AG67" s="21"/>
      <c r="AH67" s="24"/>
    </row>
    <row r="68" spans="1:34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3"/>
      <c r="AA68" s="21"/>
      <c r="AB68" s="21"/>
      <c r="AC68" s="21"/>
      <c r="AD68" s="21"/>
      <c r="AE68" s="21"/>
      <c r="AF68" s="21"/>
      <c r="AG68" s="21"/>
      <c r="AH68" s="24"/>
    </row>
    <row r="69" spans="1:34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11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</row>
    <row r="70" spans="1:34" x14ac:dyDescent="0.35">
      <c r="A70" s="20">
        <v>44853</v>
      </c>
      <c r="B70" s="21" t="s">
        <v>301</v>
      </c>
      <c r="C70" s="21" t="s">
        <v>302</v>
      </c>
      <c r="D70" s="44">
        <v>137714</v>
      </c>
      <c r="E70" s="44"/>
      <c r="F70" s="21">
        <v>150</v>
      </c>
      <c r="G70" s="21"/>
      <c r="H70" s="22">
        <v>85390</v>
      </c>
      <c r="I70" s="33">
        <v>0.55000000000000004</v>
      </c>
      <c r="J70" s="24">
        <f>IFERROR(K70/H70,"")</f>
        <v>0.55509989460124143</v>
      </c>
      <c r="K70" s="22">
        <v>47399.98</v>
      </c>
      <c r="L70" s="21">
        <v>23</v>
      </c>
      <c r="M70" s="21">
        <v>60</v>
      </c>
      <c r="N70" s="21">
        <v>51</v>
      </c>
      <c r="O70" s="21">
        <v>16</v>
      </c>
      <c r="P70" s="21"/>
      <c r="Q70" s="21"/>
      <c r="R70" s="21"/>
      <c r="S70" s="21"/>
      <c r="T70" s="21"/>
      <c r="U70" s="25">
        <v>275</v>
      </c>
      <c r="V70" s="25">
        <f>H70*U70*I70/15</f>
        <v>861015.83333333349</v>
      </c>
      <c r="W70" s="25">
        <v>309.23</v>
      </c>
      <c r="X70" s="25">
        <v>934405.95</v>
      </c>
      <c r="Y70" s="25">
        <v>0</v>
      </c>
      <c r="Z70" s="25">
        <v>22053.4</v>
      </c>
      <c r="AA70" s="25"/>
      <c r="AB70" s="25">
        <v>4125</v>
      </c>
      <c r="AC70" s="25">
        <f>F70*30</f>
        <v>4500</v>
      </c>
      <c r="AD70" s="25">
        <f>IF(F70="",G70*3.83,F70*3.83)</f>
        <v>574.5</v>
      </c>
      <c r="AE70" s="25">
        <v>1868.82</v>
      </c>
      <c r="AF70" s="25">
        <f>V70+Y70+Z70+AA70+AB70+AC70+AD70</f>
        <v>892268.73333333351</v>
      </c>
      <c r="AG70" s="25">
        <f>IFERROR(IFERROR((H70*W70*J70/15)-AE70,""),"")</f>
        <v>975297.56769333361</v>
      </c>
      <c r="AH70" s="26">
        <f>IFERROR(AG70-AF70,"")</f>
        <v>83028.834360000095</v>
      </c>
    </row>
    <row r="71" spans="1:34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AH70/F70</f>
        <v>553.52556240000058</v>
      </c>
    </row>
    <row r="72" spans="1:34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3"/>
      <c r="AA72" s="21"/>
      <c r="AB72" s="21"/>
      <c r="AC72" s="21"/>
      <c r="AD72" s="21"/>
      <c r="AE72" s="21"/>
      <c r="AF72" s="21"/>
      <c r="AG72" s="21"/>
      <c r="AH72" s="27">
        <f>IFERROR(AH70/AG70,"")</f>
        <v>8.5131796807789387E-2</v>
      </c>
    </row>
    <row r="73" spans="1:34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3"/>
      <c r="AA73" s="21"/>
      <c r="AB73" s="21"/>
      <c r="AC73" s="21"/>
      <c r="AD73" s="21"/>
      <c r="AE73" s="21"/>
      <c r="AF73" s="21"/>
      <c r="AG73" s="21"/>
      <c r="AH73" s="24"/>
    </row>
    <row r="74" spans="1:34" ht="15" thickBot="1" x14ac:dyDescent="0.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3"/>
      <c r="AA74" s="21"/>
      <c r="AB74" s="21"/>
      <c r="AC74" s="21"/>
      <c r="AD74" s="21"/>
      <c r="AE74" s="21"/>
      <c r="AF74" s="21"/>
      <c r="AG74" s="21"/>
      <c r="AH74" s="24"/>
    </row>
    <row r="75" spans="1:34" ht="16" thickBot="1" x14ac:dyDescent="0.4">
      <c r="A75" s="377" t="s">
        <v>307</v>
      </c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46"/>
      <c r="M75" s="46"/>
      <c r="N75" s="46"/>
      <c r="O75" s="46"/>
      <c r="P75" s="46"/>
      <c r="Q75" s="46"/>
      <c r="R75" s="46"/>
      <c r="S75" s="46"/>
      <c r="T75" s="46"/>
      <c r="U75" s="30"/>
      <c r="V75" s="31">
        <f>V4+V10+V16+V22+V28+V34+V40+V46+V52+V58+V64+V70</f>
        <v>4902807.620000001</v>
      </c>
      <c r="W75" s="30"/>
      <c r="X75" s="30"/>
      <c r="Y75" s="31">
        <f>Y4+Y10+Y16+Y22+Y28+Y34+Y40+Y46+Y52+Y58+Y64+Y70</f>
        <v>23900</v>
      </c>
      <c r="Z75" s="31">
        <f>Z4+Z10+Z16+Z22+Z28+Z34+Z40+Z46+Z52+Z58+Z64+Z70</f>
        <v>172038.40000000002</v>
      </c>
      <c r="AA75" s="31">
        <f>AA4+AA10+AA16+AA22+AA28+AA34+AA40+AA46+AA52+AA58+AA64+AA70</f>
        <v>0</v>
      </c>
      <c r="AB75" s="31">
        <f>AB4+AB10+AB16+AB16+AB22+AB28+AB34+AB40+AB46+AB52+AB58+AB64+AB70</f>
        <v>30806.5</v>
      </c>
      <c r="AC75" s="31">
        <f>AC4+AC10+AC16+AC22+AC28+AC34+AC40+AC46+AC52+AC58+AC64+AC70</f>
        <v>26610</v>
      </c>
      <c r="AD75" s="31">
        <f>AD4+AD10+AD16+AD22+AD28+AD34+AD40+AD46+AD52+AD58+AD64+AD70</f>
        <v>3780.2099999999996</v>
      </c>
      <c r="AE75" s="31">
        <f>AE4+AE10+AE16+AE22+AE28+AE34+AE40+AE46+AE52+AE58+AE64+AE70</f>
        <v>11334.160000000002</v>
      </c>
      <c r="AF75" s="31">
        <f>AF4+AF10+AF16+AF22+AF28+AF34+AF40+AF46+AF52+AF58+AF64+AF70</f>
        <v>5155855.2300000004</v>
      </c>
      <c r="AG75" s="31">
        <f>AG4+AG10+AG16+AG22+AG28+AG34+AG40+AG46+AG52+AG58+AG64+AG70</f>
        <v>5707434.0767266676</v>
      </c>
      <c r="AH75" s="32"/>
    </row>
  </sheetData>
  <mergeCells count="2">
    <mergeCell ref="U2:AC2"/>
    <mergeCell ref="A75:K7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2"/>
  <dimension ref="A1:BG76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29.4531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93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94">
        <v>44856</v>
      </c>
      <c r="B4" s="21" t="s">
        <v>308</v>
      </c>
      <c r="C4" s="21" t="s">
        <v>257</v>
      </c>
      <c r="D4" s="44">
        <v>138147</v>
      </c>
      <c r="E4" s="44"/>
      <c r="F4" s="21">
        <v>50</v>
      </c>
      <c r="G4" s="21"/>
      <c r="H4" s="22">
        <v>25370</v>
      </c>
      <c r="I4" s="33">
        <v>0.54</v>
      </c>
      <c r="J4" s="24">
        <f>IFERROR(K4/H4,"")</f>
        <v>0.5318486401261332</v>
      </c>
      <c r="K4" s="22">
        <v>13493</v>
      </c>
      <c r="L4" s="21">
        <v>8</v>
      </c>
      <c r="M4" s="21">
        <v>23</v>
      </c>
      <c r="N4" s="21">
        <v>17</v>
      </c>
      <c r="O4" s="21">
        <v>2</v>
      </c>
      <c r="P4" s="21"/>
      <c r="Q4" s="21"/>
      <c r="R4" s="21"/>
      <c r="S4" s="21"/>
      <c r="T4" s="21"/>
      <c r="U4" s="25">
        <v>270</v>
      </c>
      <c r="V4" s="25">
        <f>H4*U4*I4/15</f>
        <v>246596.40000000002</v>
      </c>
      <c r="W4" s="25">
        <v>308.43</v>
      </c>
      <c r="X4" s="25">
        <v>277446.03999999998</v>
      </c>
      <c r="Y4" s="25">
        <v>0</v>
      </c>
      <c r="Z4" s="25">
        <v>13534.9</v>
      </c>
      <c r="AA4" s="25">
        <v>442.64</v>
      </c>
      <c r="AB4" s="25">
        <v>1350</v>
      </c>
      <c r="AC4" s="25">
        <f>F4*30</f>
        <v>1500</v>
      </c>
      <c r="AD4" s="25">
        <f>F4*3.83</f>
        <v>191.5</v>
      </c>
      <c r="AE4" s="25">
        <v>554.9</v>
      </c>
      <c r="AF4" s="25">
        <f>V4+Y4+Z4+AA4+AB4+AC4+AD4</f>
        <v>263615.44000000006</v>
      </c>
      <c r="AG4" s="25">
        <f>IFERROR(IFERROR((H4*W4*J4/15)-AE4,""),"")</f>
        <v>276888.16599999997</v>
      </c>
      <c r="AH4" s="26">
        <f>IFERROR(AG4-AF4,"")</f>
        <v>13272.725999999908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265.45451999999818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4.793533140740984E-2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K9" s="63"/>
    </row>
    <row r="10" spans="1:38" x14ac:dyDescent="0.35">
      <c r="A10" s="20">
        <v>44857</v>
      </c>
      <c r="B10" s="21" t="s">
        <v>308</v>
      </c>
      <c r="C10" s="21" t="s">
        <v>257</v>
      </c>
      <c r="D10" s="44">
        <v>137929</v>
      </c>
      <c r="E10" s="44"/>
      <c r="F10" s="21">
        <v>200</v>
      </c>
      <c r="G10" s="21"/>
      <c r="H10" s="22">
        <v>100580</v>
      </c>
      <c r="I10" s="33">
        <v>0.54</v>
      </c>
      <c r="J10" s="24">
        <f>IFERROR(K10/H10,"")</f>
        <v>0.54611254722608871</v>
      </c>
      <c r="K10" s="22">
        <v>54928</v>
      </c>
      <c r="L10" s="21">
        <v>22</v>
      </c>
      <c r="M10" s="21">
        <v>116</v>
      </c>
      <c r="N10" s="21">
        <v>54</v>
      </c>
      <c r="O10" s="21">
        <v>8</v>
      </c>
      <c r="P10" s="21"/>
      <c r="Q10" s="21"/>
      <c r="R10" s="21"/>
      <c r="S10" s="21"/>
      <c r="T10" s="21"/>
      <c r="U10" s="25">
        <v>270</v>
      </c>
      <c r="V10" s="25">
        <f>H10*U10*I10/15</f>
        <v>977637.60000000009</v>
      </c>
      <c r="W10" s="25">
        <v>313.27999999999997</v>
      </c>
      <c r="X10" s="25">
        <v>1147187.27</v>
      </c>
      <c r="Y10" s="25">
        <v>0</v>
      </c>
      <c r="Z10" s="25">
        <v>56440.4</v>
      </c>
      <c r="AA10" s="25">
        <v>0</v>
      </c>
      <c r="AB10" s="25">
        <v>5400</v>
      </c>
      <c r="AC10" s="25">
        <f>F10*30</f>
        <v>6000</v>
      </c>
      <c r="AD10" s="25">
        <f>IF(F10="",G10*3.83,F10*3.83)</f>
        <v>766</v>
      </c>
      <c r="AE10" s="25">
        <v>2294.38</v>
      </c>
      <c r="AF10" s="25">
        <f>V10+Y10+Z10+AA10+AB10+AC10+AD10</f>
        <v>1046244.0000000001</v>
      </c>
      <c r="AG10" s="25">
        <f>IFERROR(IFERROR((H10*W10*J10/15)-AE10,""),"")</f>
        <v>1144895.2093333334</v>
      </c>
      <c r="AH10" s="26">
        <f>IFERROR(AG10-AF10,"")</f>
        <v>98651.209333333303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493.25604666666652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8.6166147372367288E-2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20">
        <v>44857</v>
      </c>
      <c r="B16" s="21" t="s">
        <v>309</v>
      </c>
      <c r="C16" s="21" t="s">
        <v>268</v>
      </c>
      <c r="D16" s="44">
        <v>137926</v>
      </c>
      <c r="E16" s="44"/>
      <c r="F16" s="21">
        <v>1</v>
      </c>
      <c r="G16" s="21"/>
      <c r="H16" s="22">
        <v>790</v>
      </c>
      <c r="I16" s="33">
        <v>0.5</v>
      </c>
      <c r="J16" s="24">
        <f>IFERROR(K16/H16,"")</f>
        <v>0.40683544303797464</v>
      </c>
      <c r="K16" s="22">
        <v>321.39999999999998</v>
      </c>
      <c r="L16" s="21"/>
      <c r="M16" s="21"/>
      <c r="N16" s="21"/>
      <c r="O16" s="21"/>
      <c r="P16" s="21"/>
      <c r="Q16" s="21">
        <v>1</v>
      </c>
      <c r="R16" s="21">
        <v>1</v>
      </c>
      <c r="S16" s="21"/>
      <c r="T16" s="21"/>
      <c r="U16" s="25">
        <v>250</v>
      </c>
      <c r="V16" s="25">
        <f>H16*U16*I16/15</f>
        <v>6583.333333333333</v>
      </c>
      <c r="W16" s="25">
        <v>297.27</v>
      </c>
      <c r="X16" s="25">
        <v>6369.4</v>
      </c>
      <c r="Y16" s="25">
        <v>0</v>
      </c>
      <c r="Z16" s="25">
        <v>50</v>
      </c>
      <c r="AA16" s="25">
        <v>0</v>
      </c>
      <c r="AB16" s="25">
        <v>0</v>
      </c>
      <c r="AC16" s="25"/>
      <c r="AD16" s="25">
        <f>IF(F16="",G16*3.83,F16*3.83)</f>
        <v>3.83</v>
      </c>
      <c r="AE16" s="25">
        <v>12.73</v>
      </c>
      <c r="AF16" s="25">
        <f>V16+Y16+Z16+AA16+AB16+AC16+AD16</f>
        <v>6637.163333333333</v>
      </c>
      <c r="AG16" s="25">
        <f>IFERROR(IFERROR((H16*W16*J16/15)-AE16,""),"")</f>
        <v>6356.7751999999991</v>
      </c>
      <c r="AH16" s="26">
        <f>IFERROR(AG16-AF16,"")</f>
        <v>-280.38813333333383</v>
      </c>
      <c r="AJ16">
        <f>F4+G4+F10+G10+F16+G16+F22+G22+F28+G28+F34+G34+F40+G40+F46+G46+F52+G52+F58+G58+F64+G64+F70+G70</f>
        <v>1705</v>
      </c>
      <c r="AK16" s="50" t="s">
        <v>22</v>
      </c>
      <c r="AL16" t="s">
        <v>72</v>
      </c>
    </row>
    <row r="17" spans="1:37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-280.38813333333383</v>
      </c>
      <c r="AJ17" s="11">
        <f>AH4+AH10+AH16+AH22+AH28+AH34+AH40+AH46+AH52+AH58+AH64+AH70</f>
        <v>645790.99534666643</v>
      </c>
      <c r="AK17" s="11">
        <f>AJ17*30%</f>
        <v>193737.29860399992</v>
      </c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-4.4108549462836731E-2</v>
      </c>
      <c r="AJ18" s="11"/>
      <c r="AK18" s="11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</row>
    <row r="21" spans="1:37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</row>
    <row r="22" spans="1:37" x14ac:dyDescent="0.35">
      <c r="A22" s="20">
        <v>44857</v>
      </c>
      <c r="B22" s="21" t="s">
        <v>309</v>
      </c>
      <c r="C22" s="21" t="s">
        <v>268</v>
      </c>
      <c r="D22" s="44">
        <v>137926</v>
      </c>
      <c r="E22" s="44"/>
      <c r="F22" s="21">
        <v>4</v>
      </c>
      <c r="G22" s="21"/>
      <c r="H22" s="22">
        <v>2170</v>
      </c>
      <c r="I22" s="33">
        <v>0.5</v>
      </c>
      <c r="J22" s="24">
        <f>IFERROR(K22/H22,"")</f>
        <v>0.59244239631336404</v>
      </c>
      <c r="K22" s="22">
        <v>1285.5999999999999</v>
      </c>
      <c r="L22" s="21"/>
      <c r="M22" s="21">
        <v>1</v>
      </c>
      <c r="N22" s="21">
        <v>2</v>
      </c>
      <c r="O22" s="21">
        <v>1</v>
      </c>
      <c r="P22" s="21"/>
      <c r="Q22" s="21"/>
      <c r="R22" s="21"/>
      <c r="S22" s="21"/>
      <c r="T22" s="21"/>
      <c r="U22" s="25">
        <v>290</v>
      </c>
      <c r="V22" s="25">
        <f>H22*U22*I22/15</f>
        <v>20976.666666666668</v>
      </c>
      <c r="W22" s="25">
        <v>297.27</v>
      </c>
      <c r="X22" s="25">
        <v>25477.62</v>
      </c>
      <c r="Y22" s="25">
        <f>G22*120</f>
        <v>0</v>
      </c>
      <c r="Z22" s="25">
        <v>200</v>
      </c>
      <c r="AA22" s="25">
        <v>0</v>
      </c>
      <c r="AB22" s="25">
        <v>0</v>
      </c>
      <c r="AC22" s="25">
        <v>0</v>
      </c>
      <c r="AD22" s="25">
        <f>IF(F22="",G22*3.83,F22*3.83)</f>
        <v>15.32</v>
      </c>
      <c r="AE22" s="25">
        <v>50.95</v>
      </c>
      <c r="AF22" s="25">
        <f>V22+Y22+Z22+AA22+AB22+AC22+AD22</f>
        <v>21191.986666666668</v>
      </c>
      <c r="AG22" s="25">
        <f>IFERROR(IFERROR((H22*W22*J22/15)-AE22,""),"")</f>
        <v>25427.070799999994</v>
      </c>
      <c r="AH22" s="26">
        <f>IFERROR(AG22-AF22,"")</f>
        <v>4235.0841333333265</v>
      </c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1058.7710333333316</v>
      </c>
    </row>
    <row r="24" spans="1:3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0.16655808160699845</v>
      </c>
    </row>
    <row r="25" spans="1:3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7" x14ac:dyDescent="0.35">
      <c r="A27" s="93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7" x14ac:dyDescent="0.35">
      <c r="A28" s="94">
        <v>44856</v>
      </c>
      <c r="B28" s="21" t="s">
        <v>308</v>
      </c>
      <c r="C28" s="21" t="s">
        <v>257</v>
      </c>
      <c r="D28" s="44">
        <v>138148</v>
      </c>
      <c r="E28" s="44"/>
      <c r="F28" s="21">
        <v>150</v>
      </c>
      <c r="G28" s="21"/>
      <c r="H28" s="22">
        <v>76110</v>
      </c>
      <c r="I28" s="33">
        <v>0.54</v>
      </c>
      <c r="J28" s="24">
        <f>IFERROR(K28/H28,"")</f>
        <v>0.54888976481408491</v>
      </c>
      <c r="K28" s="22">
        <v>41776</v>
      </c>
      <c r="L28" s="21">
        <v>10</v>
      </c>
      <c r="M28" s="21">
        <v>75</v>
      </c>
      <c r="N28" s="21">
        <v>59</v>
      </c>
      <c r="O28" s="21">
        <v>6</v>
      </c>
      <c r="P28" s="21"/>
      <c r="Q28" s="21"/>
      <c r="R28" s="21"/>
      <c r="S28" s="21"/>
      <c r="T28" s="21"/>
      <c r="U28" s="25">
        <v>270</v>
      </c>
      <c r="V28" s="25">
        <f>H28*U28*I28/15</f>
        <v>739789.2</v>
      </c>
      <c r="W28" s="25">
        <v>308.29000000000002</v>
      </c>
      <c r="X28" s="25">
        <v>858617.13</v>
      </c>
      <c r="Y28" s="25">
        <v>0</v>
      </c>
      <c r="Z28" s="25">
        <v>40604.699999999997</v>
      </c>
      <c r="AA28" s="25">
        <v>442.64</v>
      </c>
      <c r="AB28" s="25">
        <v>4050</v>
      </c>
      <c r="AC28" s="25">
        <f>F28*30</f>
        <v>4500</v>
      </c>
      <c r="AD28" s="25">
        <f>IF(F28="",G28*3.83,F28*3.83)</f>
        <v>574.5</v>
      </c>
      <c r="AE28" s="25">
        <v>1717.23</v>
      </c>
      <c r="AF28" s="25">
        <f>V28+Y28+Z28+AA28+AB28+AC28+AD28</f>
        <v>789961.03999999992</v>
      </c>
      <c r="AG28" s="25">
        <f>IFERROR(IFERROR((H28*W28*J28/15)-AE28,""),"")</f>
        <v>856890.97266666684</v>
      </c>
      <c r="AH28" s="26">
        <f>IFERROR(AG28-AF28,"")</f>
        <v>66929.932666666922</v>
      </c>
    </row>
    <row r="29" spans="1:37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446.19955111111284</v>
      </c>
      <c r="AJ29" s="11"/>
      <c r="AK29" s="11"/>
    </row>
    <row r="30" spans="1:37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7.8107874632380878E-2</v>
      </c>
      <c r="AJ30" s="11"/>
      <c r="AK30" s="11"/>
    </row>
    <row r="31" spans="1:37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7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59" x14ac:dyDescent="0.35">
      <c r="A33" s="37" t="s">
        <v>1</v>
      </c>
      <c r="B33" s="37" t="s">
        <v>2</v>
      </c>
      <c r="C33" s="37" t="s">
        <v>110</v>
      </c>
      <c r="D33" s="37" t="s">
        <v>66</v>
      </c>
      <c r="E33" s="37"/>
      <c r="F33" s="37" t="s">
        <v>137</v>
      </c>
      <c r="G33" s="37" t="s">
        <v>138</v>
      </c>
      <c r="H33" s="37" t="s">
        <v>4</v>
      </c>
      <c r="I33" s="37" t="s">
        <v>5</v>
      </c>
      <c r="J33" s="37" t="s">
        <v>6</v>
      </c>
      <c r="K33" s="37" t="s">
        <v>7</v>
      </c>
      <c r="L33" s="37" t="s">
        <v>279</v>
      </c>
      <c r="M33" s="37" t="s">
        <v>280</v>
      </c>
      <c r="N33" s="37" t="s">
        <v>281</v>
      </c>
      <c r="O33" s="37" t="s">
        <v>282</v>
      </c>
      <c r="P33" s="37" t="s">
        <v>283</v>
      </c>
      <c r="Q33" s="37" t="s">
        <v>284</v>
      </c>
      <c r="R33" s="37" t="s">
        <v>904</v>
      </c>
      <c r="S33" s="37" t="s">
        <v>285</v>
      </c>
      <c r="T33" s="37" t="s">
        <v>289</v>
      </c>
      <c r="U33" s="37" t="s">
        <v>8</v>
      </c>
      <c r="V33" s="37" t="s">
        <v>9</v>
      </c>
      <c r="W33" s="37" t="s">
        <v>10</v>
      </c>
      <c r="X33" s="37" t="s">
        <v>100</v>
      </c>
      <c r="Y33" s="37" t="s">
        <v>106</v>
      </c>
      <c r="Z33" s="37" t="s">
        <v>12</v>
      </c>
      <c r="AA33" s="37" t="s">
        <v>258</v>
      </c>
      <c r="AB33" s="37" t="s">
        <v>13</v>
      </c>
      <c r="AC33" s="37" t="s">
        <v>74</v>
      </c>
      <c r="AD33" s="37" t="s">
        <v>21</v>
      </c>
      <c r="AE33" s="37" t="s">
        <v>14</v>
      </c>
      <c r="AF33" s="37" t="s">
        <v>15</v>
      </c>
      <c r="AG33" s="37" t="s">
        <v>16</v>
      </c>
      <c r="AH33" s="15" t="s">
        <v>17</v>
      </c>
    </row>
    <row r="34" spans="1:59" x14ac:dyDescent="0.35">
      <c r="A34" s="38">
        <v>44858</v>
      </c>
      <c r="B34" s="39" t="s">
        <v>308</v>
      </c>
      <c r="C34" s="39" t="s">
        <v>257</v>
      </c>
      <c r="D34" s="45">
        <v>137931</v>
      </c>
      <c r="E34" s="45"/>
      <c r="F34" s="39">
        <v>200</v>
      </c>
      <c r="G34" s="39"/>
      <c r="H34" s="40">
        <v>99320</v>
      </c>
      <c r="I34" s="53">
        <v>0.54</v>
      </c>
      <c r="J34" s="42">
        <f>IFERROR(K34/H34,"")</f>
        <v>0.55488320579943617</v>
      </c>
      <c r="K34" s="40">
        <v>55111</v>
      </c>
      <c r="L34" s="39">
        <v>17</v>
      </c>
      <c r="M34" s="39">
        <v>110</v>
      </c>
      <c r="N34" s="39">
        <v>73</v>
      </c>
      <c r="O34" s="39"/>
      <c r="P34" s="39"/>
      <c r="Q34" s="39"/>
      <c r="R34" s="39"/>
      <c r="S34" s="39"/>
      <c r="T34" s="39"/>
      <c r="U34" s="43">
        <v>270</v>
      </c>
      <c r="V34" s="43">
        <f>H34*U34*I34/15</f>
        <v>965390.40000000014</v>
      </c>
      <c r="W34" s="43">
        <v>311.89</v>
      </c>
      <c r="X34" s="43">
        <v>1145900.72</v>
      </c>
      <c r="Y34" s="43">
        <v>0</v>
      </c>
      <c r="Z34" s="43">
        <v>56444.4</v>
      </c>
      <c r="AA34" s="43">
        <v>0</v>
      </c>
      <c r="AB34" s="43">
        <v>5400</v>
      </c>
      <c r="AC34" s="43">
        <f>F34*30</f>
        <v>6000</v>
      </c>
      <c r="AD34" s="43">
        <f>IF(F34="",G34*3.83,F34*3.83)</f>
        <v>766</v>
      </c>
      <c r="AE34" s="43">
        <v>2291.79</v>
      </c>
      <c r="AF34" s="43">
        <f>V34+Y34+Z34+AA34+AB34+AC34+AD34</f>
        <v>1034000.8000000002</v>
      </c>
      <c r="AG34" s="43">
        <f>IFERROR(IFERROR((H34*W34*J34/15)-AE34,""),"")</f>
        <v>1143612.8626666665</v>
      </c>
      <c r="AH34" s="26">
        <f>IFERROR(AG34-AF34,"")</f>
        <v>109612.06266666634</v>
      </c>
    </row>
    <row r="35" spans="1:59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548.06031333333169</v>
      </c>
    </row>
    <row r="36" spans="1:59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9.5847175425321729E-2</v>
      </c>
    </row>
    <row r="37" spans="1:59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59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59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47"/>
    </row>
    <row r="40" spans="1:59" x14ac:dyDescent="0.35">
      <c r="A40" s="20">
        <v>44859</v>
      </c>
      <c r="B40" s="21" t="s">
        <v>308</v>
      </c>
      <c r="C40" s="21" t="s">
        <v>257</v>
      </c>
      <c r="D40" s="44">
        <v>137933</v>
      </c>
      <c r="E40" s="44"/>
      <c r="F40" s="21">
        <v>250</v>
      </c>
      <c r="G40" s="21"/>
      <c r="H40" s="22">
        <v>122460</v>
      </c>
      <c r="I40" s="33">
        <v>0.54</v>
      </c>
      <c r="J40" s="24">
        <f>IFERROR(K40/H40,"")</f>
        <v>0.54548832271762204</v>
      </c>
      <c r="K40" s="22">
        <v>66800.5</v>
      </c>
      <c r="L40" s="21">
        <v>19</v>
      </c>
      <c r="M40" s="21">
        <v>134</v>
      </c>
      <c r="N40" s="21">
        <v>83</v>
      </c>
      <c r="O40" s="21">
        <v>14</v>
      </c>
      <c r="P40" s="21"/>
      <c r="Q40" s="21"/>
      <c r="R40" s="21"/>
      <c r="S40" s="21"/>
      <c r="T40" s="21"/>
      <c r="U40" s="25">
        <v>270</v>
      </c>
      <c r="V40" s="25">
        <f>H40*U40*I40/15</f>
        <v>1190311.2</v>
      </c>
      <c r="W40" s="25">
        <v>306.86</v>
      </c>
      <c r="X40" s="25">
        <v>1366569.88</v>
      </c>
      <c r="Y40" s="25">
        <v>0</v>
      </c>
      <c r="Z40" s="25">
        <v>70686.899999999994</v>
      </c>
      <c r="AA40" s="25">
        <v>0</v>
      </c>
      <c r="AB40" s="25">
        <v>6750</v>
      </c>
      <c r="AC40" s="25">
        <f>F40*30</f>
        <v>7500</v>
      </c>
      <c r="AD40" s="25">
        <f>IF(F40="",G40*3.83,F40*3.83)</f>
        <v>957.5</v>
      </c>
      <c r="AE40" s="25">
        <v>2733.14</v>
      </c>
      <c r="AF40" s="25">
        <f>V40+Y40+Z40+AA40+AB40+AC40+AD40</f>
        <v>1276205.5999999999</v>
      </c>
      <c r="AG40" s="25">
        <f>IFERROR(IFERROR((H40*W40*J40/15)-AE40,""),"")</f>
        <v>1363826.9553333335</v>
      </c>
      <c r="AH40" s="26">
        <f>IFERROR(AG40-AF40,"")</f>
        <v>87621.355333333602</v>
      </c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47"/>
    </row>
    <row r="41" spans="1:59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350.48542133333439</v>
      </c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4"/>
    </row>
    <row r="42" spans="1:59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6.4246680996210434E-2</v>
      </c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4"/>
    </row>
    <row r="43" spans="1:59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4"/>
    </row>
    <row r="44" spans="1:59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4"/>
    </row>
    <row r="45" spans="1:59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11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4"/>
    </row>
    <row r="46" spans="1:59" x14ac:dyDescent="0.35">
      <c r="A46" s="20">
        <v>44860</v>
      </c>
      <c r="B46" s="21" t="s">
        <v>308</v>
      </c>
      <c r="C46" s="21" t="s">
        <v>257</v>
      </c>
      <c r="D46" s="44">
        <v>137934</v>
      </c>
      <c r="E46" s="44"/>
      <c r="F46" s="21">
        <v>250</v>
      </c>
      <c r="G46" s="21"/>
      <c r="H46" s="22">
        <v>119560</v>
      </c>
      <c r="I46" s="33">
        <v>0.53500000000000003</v>
      </c>
      <c r="J46" s="24">
        <f>IFERROR(K46/H46,"")</f>
        <v>0.54466794914687189</v>
      </c>
      <c r="K46" s="22">
        <v>65120.5</v>
      </c>
      <c r="L46" s="21">
        <v>28</v>
      </c>
      <c r="M46" s="21">
        <v>136</v>
      </c>
      <c r="N46" s="21">
        <v>80</v>
      </c>
      <c r="O46" s="21">
        <v>6</v>
      </c>
      <c r="P46" s="21"/>
      <c r="Q46" s="21"/>
      <c r="R46" s="21"/>
      <c r="S46" s="21"/>
      <c r="T46" s="21"/>
      <c r="U46" s="25">
        <v>270</v>
      </c>
      <c r="V46" s="25">
        <f>H46*U46*I46/15</f>
        <v>1151362.8</v>
      </c>
      <c r="W46" s="25">
        <v>301.88</v>
      </c>
      <c r="X46" s="25">
        <v>1310587.96</v>
      </c>
      <c r="Y46" s="25">
        <v>0</v>
      </c>
      <c r="Z46" s="25">
        <v>70549</v>
      </c>
      <c r="AA46" s="25"/>
      <c r="AB46" s="25">
        <v>6750</v>
      </c>
      <c r="AC46" s="25">
        <f>F46*30</f>
        <v>7500</v>
      </c>
      <c r="AD46" s="25">
        <f>IF(F46="",G46*3.83,F46*3.83)</f>
        <v>957.5</v>
      </c>
      <c r="AE46" s="25">
        <v>2621.17</v>
      </c>
      <c r="AF46" s="25">
        <f>V46+Y46+Z46+AA46+AB46+AC46+AD46</f>
        <v>1237119.3</v>
      </c>
      <c r="AG46" s="25">
        <f>IFERROR(IFERROR((H46*W46*J46/15)-AE46,""),"")</f>
        <v>1307950.5993333333</v>
      </c>
      <c r="AH46" s="26">
        <f>IFERROR(AG46-AF46,"")</f>
        <v>70831.299333333271</v>
      </c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4"/>
    </row>
    <row r="47" spans="1:59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283.32519733333311</v>
      </c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4"/>
    </row>
    <row r="48" spans="1:59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5.4154414829914996E-2</v>
      </c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4"/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4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4"/>
    </row>
    <row r="51" spans="1:59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11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</row>
    <row r="52" spans="1:59" x14ac:dyDescent="0.35">
      <c r="A52" s="20">
        <v>44862</v>
      </c>
      <c r="B52" s="21" t="s">
        <v>313</v>
      </c>
      <c r="C52" s="21" t="s">
        <v>314</v>
      </c>
      <c r="D52" s="44">
        <v>138273</v>
      </c>
      <c r="E52" s="44"/>
      <c r="F52" s="21">
        <v>200</v>
      </c>
      <c r="G52" s="21"/>
      <c r="H52" s="22">
        <v>114296.66</v>
      </c>
      <c r="I52" s="33">
        <v>0.55000000000000004</v>
      </c>
      <c r="J52" s="24">
        <f>IFERROR(K52/H52,"")</f>
        <v>0.56351602925229838</v>
      </c>
      <c r="K52" s="22">
        <v>64408</v>
      </c>
      <c r="L52" s="21">
        <v>22</v>
      </c>
      <c r="M52" s="21">
        <v>109</v>
      </c>
      <c r="N52" s="21">
        <v>64</v>
      </c>
      <c r="O52" s="21">
        <v>5</v>
      </c>
      <c r="P52" s="21"/>
      <c r="Q52" s="21"/>
      <c r="R52" s="21"/>
      <c r="S52" s="21"/>
      <c r="T52" s="21"/>
      <c r="U52" s="25">
        <v>280</v>
      </c>
      <c r="V52" s="25">
        <f>H52*U52*I52/15</f>
        <v>1173445.7093333334</v>
      </c>
      <c r="W52" s="25">
        <v>299.72000000000003</v>
      </c>
      <c r="X52" s="25">
        <v>1286953.9099999999</v>
      </c>
      <c r="Y52" s="25">
        <v>0</v>
      </c>
      <c r="Z52" s="25">
        <v>30648.266</v>
      </c>
      <c r="AA52" s="25"/>
      <c r="AB52" s="25">
        <v>5600</v>
      </c>
      <c r="AC52" s="25">
        <f>F52*30</f>
        <v>6000</v>
      </c>
      <c r="AD52" s="25">
        <f>IF(F52="",G52*3.83,F52*3.83)</f>
        <v>766</v>
      </c>
      <c r="AE52" s="25">
        <v>2573.9</v>
      </c>
      <c r="AF52" s="25">
        <f>V52+Y52+Z52+AA52+AB52+AC52+AD52</f>
        <v>1216459.9753333335</v>
      </c>
      <c r="AG52" s="25">
        <f>IFERROR(IFERROR((H52*W52*J52/15)-AE52,""),"")</f>
        <v>1284383.8173333339</v>
      </c>
      <c r="AH52" s="26">
        <f>IFERROR(AG52-AF52,"")</f>
        <v>67923.842000000412</v>
      </c>
    </row>
    <row r="53" spans="1:5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339.61921000000206</v>
      </c>
    </row>
    <row r="54" spans="1:5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3"/>
      <c r="AA54" s="21"/>
      <c r="AB54" s="21"/>
      <c r="AC54" s="21"/>
      <c r="AD54" s="21"/>
      <c r="AE54" s="21"/>
      <c r="AF54" s="21"/>
      <c r="AG54" s="21"/>
      <c r="AH54" s="27">
        <f>IFERROR(AH52/AG52,"")</f>
        <v>5.2884380107673261E-2</v>
      </c>
    </row>
    <row r="55" spans="1:5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4"/>
    </row>
    <row r="56" spans="1:5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3"/>
      <c r="AA56" s="21"/>
      <c r="AB56" s="21"/>
      <c r="AC56" s="21"/>
      <c r="AD56" s="21"/>
      <c r="AE56" s="21"/>
      <c r="AF56" s="21"/>
      <c r="AG56" s="21"/>
      <c r="AH56" s="24"/>
    </row>
    <row r="57" spans="1:59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11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</row>
    <row r="58" spans="1:59" x14ac:dyDescent="0.35">
      <c r="A58" s="20">
        <v>44862</v>
      </c>
      <c r="B58" s="21" t="s">
        <v>313</v>
      </c>
      <c r="C58" s="21" t="s">
        <v>314</v>
      </c>
      <c r="D58" s="44">
        <v>138275</v>
      </c>
      <c r="E58" s="44"/>
      <c r="F58" s="21">
        <v>200</v>
      </c>
      <c r="G58" s="21"/>
      <c r="H58" s="22">
        <v>114296.66</v>
      </c>
      <c r="I58" s="33">
        <v>0.55000000000000004</v>
      </c>
      <c r="J58" s="24">
        <f>IFERROR(K58/H58,"")</f>
        <v>0.58296541648723588</v>
      </c>
      <c r="K58" s="22">
        <v>66631</v>
      </c>
      <c r="L58" s="21">
        <v>31</v>
      </c>
      <c r="M58" s="21">
        <v>74</v>
      </c>
      <c r="N58" s="21">
        <v>86</v>
      </c>
      <c r="O58" s="21">
        <v>9</v>
      </c>
      <c r="P58" s="21"/>
      <c r="Q58" s="21"/>
      <c r="R58" s="21"/>
      <c r="S58" s="21"/>
      <c r="T58" s="21"/>
      <c r="U58" s="25">
        <v>280</v>
      </c>
      <c r="V58" s="25">
        <f>H58*U58*I58/15</f>
        <v>1173445.7093333334</v>
      </c>
      <c r="W58" s="25">
        <v>300.20999999999998</v>
      </c>
      <c r="X58" s="25">
        <v>1333529.3899999999</v>
      </c>
      <c r="Y58" s="25">
        <v>0</v>
      </c>
      <c r="Z58" s="25">
        <v>30648.27</v>
      </c>
      <c r="AA58" s="25"/>
      <c r="AB58" s="25">
        <v>5600</v>
      </c>
      <c r="AC58" s="25">
        <f>F58*30</f>
        <v>6000</v>
      </c>
      <c r="AD58" s="25">
        <f>IF(F58="",G58*3.83,F58*3.83)</f>
        <v>766</v>
      </c>
      <c r="AE58" s="25">
        <v>2667.06</v>
      </c>
      <c r="AF58" s="25">
        <f>V58+Y58+Z58+AA58+AB58+AC58+AD58</f>
        <v>1216459.9793333334</v>
      </c>
      <c r="AG58" s="25">
        <f>IFERROR(IFERROR((H58*W58*J58/15)-AE58,""),"")</f>
        <v>1330885.7739999995</v>
      </c>
      <c r="AH58" s="26">
        <f>IFERROR(AG58-AF58,"")</f>
        <v>114425.79466666607</v>
      </c>
    </row>
    <row r="59" spans="1:59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572.12897333333035</v>
      </c>
    </row>
    <row r="60" spans="1:5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7">
        <f>IFERROR(AH58/AG58,"")</f>
        <v>8.5977171671733646E-2</v>
      </c>
    </row>
    <row r="61" spans="1:5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3"/>
      <c r="AA61" s="21"/>
      <c r="AB61" s="21"/>
      <c r="AC61" s="21"/>
      <c r="AD61" s="21"/>
      <c r="AE61" s="21"/>
      <c r="AF61" s="21"/>
      <c r="AG61" s="21"/>
      <c r="AH61" s="24"/>
    </row>
    <row r="62" spans="1:5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3"/>
      <c r="AA62" s="21"/>
      <c r="AB62" s="21"/>
      <c r="AC62" s="21"/>
      <c r="AD62" s="21"/>
      <c r="AE62" s="21"/>
      <c r="AF62" s="21"/>
      <c r="AG62" s="21"/>
      <c r="AH62" s="24"/>
    </row>
    <row r="63" spans="1:5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11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</row>
    <row r="64" spans="1:59" x14ac:dyDescent="0.35">
      <c r="A64" s="20">
        <v>44862</v>
      </c>
      <c r="B64" s="21" t="s">
        <v>313</v>
      </c>
      <c r="C64" s="21" t="s">
        <v>314</v>
      </c>
      <c r="D64" s="44">
        <v>138276</v>
      </c>
      <c r="E64" s="44"/>
      <c r="F64" s="21">
        <v>150</v>
      </c>
      <c r="G64" s="21"/>
      <c r="H64" s="22">
        <v>85722.49</v>
      </c>
      <c r="I64" s="33">
        <v>0.55000000000000004</v>
      </c>
      <c r="J64" s="24">
        <f>IFERROR(K64/H64,"")</f>
        <v>0.5447170281684538</v>
      </c>
      <c r="K64" s="22">
        <v>46694.5</v>
      </c>
      <c r="L64" s="21">
        <v>12</v>
      </c>
      <c r="M64" s="21">
        <v>48</v>
      </c>
      <c r="N64" s="21">
        <v>69</v>
      </c>
      <c r="O64" s="21">
        <v>17</v>
      </c>
      <c r="P64" s="21">
        <v>3</v>
      </c>
      <c r="Q64" s="21">
        <v>1</v>
      </c>
      <c r="R64" s="21">
        <v>1</v>
      </c>
      <c r="S64" s="21"/>
      <c r="T64" s="21"/>
      <c r="U64" s="25">
        <v>280</v>
      </c>
      <c r="V64" s="25">
        <f>H64*U64*I64/15</f>
        <v>880084.23066666687</v>
      </c>
      <c r="W64" s="25">
        <v>293.55</v>
      </c>
      <c r="X64" s="25">
        <v>913808.05</v>
      </c>
      <c r="Y64" s="25">
        <v>0</v>
      </c>
      <c r="Z64" s="25">
        <v>22986.2</v>
      </c>
      <c r="AA64" s="25"/>
      <c r="AB64" s="25">
        <v>4200</v>
      </c>
      <c r="AC64" s="25">
        <f>F64*30</f>
        <v>4500</v>
      </c>
      <c r="AD64" s="25">
        <f>IF(F64="",G64*3.83,F64*3.83)</f>
        <v>574.5</v>
      </c>
      <c r="AE64" s="25">
        <v>1827.62</v>
      </c>
      <c r="AF64" s="25">
        <f>V64+Y64+Z64+AA64+AB64+AC64+AD64</f>
        <v>912344.93066666683</v>
      </c>
      <c r="AG64" s="25">
        <f>IFERROR(IFERROR((H64*W64*J64/15)-AE64,""),"")</f>
        <v>911983.74500000011</v>
      </c>
      <c r="AH64" s="26">
        <f>IFERROR(AG64-AF64,"")</f>
        <v>-361.18566666671541</v>
      </c>
    </row>
    <row r="65" spans="1:34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-2.4079044444447693</v>
      </c>
    </row>
    <row r="66" spans="1:34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3"/>
      <c r="AA66" s="21"/>
      <c r="AB66" s="21"/>
      <c r="AC66" s="21"/>
      <c r="AD66" s="21"/>
      <c r="AE66" s="21"/>
      <c r="AF66" s="21"/>
      <c r="AG66" s="21"/>
      <c r="AH66" s="27">
        <f>IFERROR(AH64/AG64,"")</f>
        <v>-3.9604397408060752E-4</v>
      </c>
    </row>
    <row r="67" spans="1:34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3"/>
      <c r="AA67" s="21"/>
      <c r="AB67" s="21"/>
      <c r="AC67" s="21"/>
      <c r="AD67" s="21"/>
      <c r="AE67" s="21"/>
      <c r="AF67" s="21"/>
      <c r="AG67" s="21"/>
      <c r="AH67" s="24"/>
    </row>
    <row r="68" spans="1:34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3"/>
      <c r="AA68" s="21"/>
      <c r="AB68" s="21"/>
      <c r="AC68" s="21"/>
      <c r="AD68" s="21"/>
      <c r="AE68" s="21"/>
      <c r="AF68" s="21"/>
      <c r="AG68" s="21"/>
      <c r="AH68" s="24"/>
    </row>
    <row r="69" spans="1:34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11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</row>
    <row r="70" spans="1:34" x14ac:dyDescent="0.35">
      <c r="A70" s="20">
        <v>44862</v>
      </c>
      <c r="B70" s="21" t="s">
        <v>313</v>
      </c>
      <c r="C70" s="21" t="s">
        <v>314</v>
      </c>
      <c r="D70" s="44">
        <v>138899</v>
      </c>
      <c r="E70" s="44"/>
      <c r="F70" s="21">
        <v>50</v>
      </c>
      <c r="G70" s="21"/>
      <c r="H70" s="22">
        <v>28574.65</v>
      </c>
      <c r="I70" s="33">
        <v>0.55000000000000004</v>
      </c>
      <c r="J70" s="24">
        <f>IFERROR(K70/H70,"")</f>
        <v>0.56831247276869534</v>
      </c>
      <c r="K70" s="22">
        <v>16239.33</v>
      </c>
      <c r="L70" s="21">
        <v>4</v>
      </c>
      <c r="M70" s="21">
        <v>28</v>
      </c>
      <c r="N70" s="21">
        <v>10</v>
      </c>
      <c r="O70" s="21">
        <v>8</v>
      </c>
      <c r="P70" s="21"/>
      <c r="Q70" s="21"/>
      <c r="R70" s="21"/>
      <c r="S70" s="21"/>
      <c r="T70" s="21"/>
      <c r="U70" s="25">
        <v>280</v>
      </c>
      <c r="V70" s="25">
        <f>H70*U70*I70/15</f>
        <v>293366.40666666668</v>
      </c>
      <c r="W70" s="25">
        <v>293.44</v>
      </c>
      <c r="X70" s="25">
        <v>317684.27</v>
      </c>
      <c r="Y70" s="25">
        <v>0</v>
      </c>
      <c r="Z70" s="25">
        <v>7662.06</v>
      </c>
      <c r="AA70" s="25"/>
      <c r="AB70" s="25">
        <v>1400</v>
      </c>
      <c r="AC70" s="25">
        <f>F70*30</f>
        <v>1500</v>
      </c>
      <c r="AD70" s="25">
        <f>IF(F70="",G70*3.83,F70*3.83)</f>
        <v>191.5</v>
      </c>
      <c r="AE70" s="25">
        <v>635.37</v>
      </c>
      <c r="AF70" s="25">
        <f>V70+Y70+Z70+AA70+AB70+AC70+AD70</f>
        <v>304119.96666666667</v>
      </c>
      <c r="AG70" s="25">
        <f>IFERROR(IFERROR((H70*W70*J70/15)-AE70,""),"")</f>
        <v>317049.22967999999</v>
      </c>
      <c r="AH70" s="26">
        <f>IFERROR(AG70-AF70,"")</f>
        <v>12929.263013333315</v>
      </c>
    </row>
    <row r="71" spans="1:34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AH70/F70</f>
        <v>258.5852602666663</v>
      </c>
    </row>
    <row r="72" spans="1:34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3"/>
      <c r="AA72" s="21"/>
      <c r="AB72" s="21"/>
      <c r="AC72" s="21"/>
      <c r="AD72" s="21"/>
      <c r="AE72" s="21"/>
      <c r="AF72" s="21"/>
      <c r="AG72" s="21"/>
      <c r="AH72" s="27">
        <f>IFERROR(AH70/AG70,"")</f>
        <v>4.0779985576318574E-2</v>
      </c>
    </row>
    <row r="73" spans="1:34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3"/>
      <c r="AA73" s="21"/>
      <c r="AB73" s="21"/>
      <c r="AC73" s="21"/>
      <c r="AD73" s="21"/>
      <c r="AE73" s="21"/>
      <c r="AF73" s="21"/>
      <c r="AG73" s="21"/>
      <c r="AH73" s="24"/>
    </row>
    <row r="74" spans="1:34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3"/>
      <c r="AA74" s="21"/>
      <c r="AB74" s="21"/>
      <c r="AC74" s="21"/>
      <c r="AD74" s="21"/>
      <c r="AE74" s="21"/>
      <c r="AF74" s="21"/>
      <c r="AG74" s="21"/>
      <c r="AH74" s="24"/>
    </row>
    <row r="75" spans="1:34" ht="15" thickBot="1" x14ac:dyDescent="0.4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48"/>
    </row>
    <row r="76" spans="1:34" ht="16" thickBot="1" x14ac:dyDescent="0.4">
      <c r="A76" s="377" t="s">
        <v>306</v>
      </c>
      <c r="B76" s="378"/>
      <c r="C76" s="378"/>
      <c r="D76" s="378"/>
      <c r="E76" s="378"/>
      <c r="F76" s="378"/>
      <c r="G76" s="378"/>
      <c r="H76" s="378"/>
      <c r="I76" s="378"/>
      <c r="J76" s="378"/>
      <c r="K76" s="378"/>
      <c r="L76" s="46"/>
      <c r="M76" s="46"/>
      <c r="N76" s="46"/>
      <c r="O76" s="46"/>
      <c r="P76" s="46"/>
      <c r="Q76" s="46"/>
      <c r="R76" s="46"/>
      <c r="S76" s="46"/>
      <c r="T76" s="46"/>
      <c r="U76" s="30"/>
      <c r="V76" s="31">
        <f>V4+V10+V16+V22+V28+V34+V40+V46+V52+V58+V64+V70</f>
        <v>8818989.6559999995</v>
      </c>
      <c r="W76" s="30"/>
      <c r="X76" s="30"/>
      <c r="Y76" s="31">
        <f>Y4+Y10+Y16+Y22+Y28+Y34+Y40+Y46+Y52+Y58+Y64+Y70</f>
        <v>0</v>
      </c>
      <c r="Z76" s="31">
        <f>Z4+Z10+Z16+Z22+Z28+Z34+Z40+Z46+Z52+Z58+Z64+Z70</f>
        <v>400455.09600000002</v>
      </c>
      <c r="AA76" s="31">
        <f>AA4+AA10+AA16+AA22+AA28+AA34+AA40+AA46+AA52+AA58+AA64+AA70</f>
        <v>885.28</v>
      </c>
      <c r="AB76" s="31">
        <f>AB4+AB10+AB16+AB16+AB22+AB28+AB34+AB40+AB46+AB52+AB58+AB64+AB70</f>
        <v>46500</v>
      </c>
      <c r="AC76" s="31">
        <f>AC4+AC10+AC16+AC22+AC28+AC34+AC40+AC46+AC52+AC58+AC64+AC70</f>
        <v>51000</v>
      </c>
      <c r="AD76" s="31">
        <f>AD4+AD10+AD16+AD22+AD28+AD34+AD40+AD46+AD52+AD58+AD64+AD70</f>
        <v>6530.15</v>
      </c>
      <c r="AE76" s="31">
        <f>AE4+AE10+AE16+AE22+AE28+AE34+AE40+AE46+AE52+AE58+AE64+AE70</f>
        <v>19980.239999999998</v>
      </c>
      <c r="AF76" s="31">
        <f>AF4+AF10+AF16+AF22+AF28+AF34+AF40+AF46+AF52+AF58+AF64+AF70</f>
        <v>9324360.182</v>
      </c>
      <c r="AG76" s="31">
        <f>AG4+AG10+AG16+AG22+AG28+AG34+AG40+AG46+AG52+AG58+AG64+AG70</f>
        <v>9970151.1773466673</v>
      </c>
      <c r="AH76" s="32"/>
    </row>
  </sheetData>
  <mergeCells count="2">
    <mergeCell ref="U2:AC2"/>
    <mergeCell ref="A76:K7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3"/>
  <dimension ref="A1:BG52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29.4531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93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94">
        <v>44865</v>
      </c>
      <c r="B4" s="21" t="s">
        <v>313</v>
      </c>
      <c r="C4" s="21" t="s">
        <v>314</v>
      </c>
      <c r="D4" s="44">
        <v>138901</v>
      </c>
      <c r="E4" s="44"/>
      <c r="F4" s="21">
        <v>150</v>
      </c>
      <c r="G4" s="21"/>
      <c r="H4" s="22">
        <v>85671.42</v>
      </c>
      <c r="I4" s="33">
        <v>0.55000000000000004</v>
      </c>
      <c r="J4" s="24">
        <f>IFERROR(K4/H4,"")</f>
        <v>0.56369440357122602</v>
      </c>
      <c r="K4" s="22">
        <v>48292.5</v>
      </c>
      <c r="L4" s="21">
        <v>15</v>
      </c>
      <c r="M4" s="21">
        <v>85</v>
      </c>
      <c r="N4" s="21">
        <v>45</v>
      </c>
      <c r="O4" s="21">
        <v>5</v>
      </c>
      <c r="P4" s="21"/>
      <c r="Q4" s="21"/>
      <c r="R4" s="21"/>
      <c r="S4" s="21"/>
      <c r="T4" s="21"/>
      <c r="U4" s="25">
        <v>280</v>
      </c>
      <c r="V4" s="25">
        <f>H4*U4*I4/15</f>
        <v>879559.91200000001</v>
      </c>
      <c r="W4" s="25">
        <v>295.27999999999997</v>
      </c>
      <c r="X4" s="25">
        <v>950658.02</v>
      </c>
      <c r="Y4" s="25">
        <v>0</v>
      </c>
      <c r="Z4" s="25">
        <v>22905.93</v>
      </c>
      <c r="AA4" s="25">
        <v>840</v>
      </c>
      <c r="AB4" s="25">
        <v>4200</v>
      </c>
      <c r="AC4" s="25">
        <f>F4*30</f>
        <v>4500</v>
      </c>
      <c r="AD4" s="25">
        <f>F4*3.83</f>
        <v>574.5</v>
      </c>
      <c r="AE4" s="25">
        <v>1901.31</v>
      </c>
      <c r="AF4" s="25">
        <f>V4+Y4+Z4+AA4+AB4+AC4+AD4</f>
        <v>912580.34200000006</v>
      </c>
      <c r="AG4" s="25">
        <f>IFERROR(IFERROR((H4*W4*J4/15)-AE4,""),"")</f>
        <v>948752.65</v>
      </c>
      <c r="AH4" s="26">
        <f>IFERROR(AG4-AF4,"")</f>
        <v>36172.307999999961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241.14871999999974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3.8126173349818798E-2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K9" s="63"/>
    </row>
    <row r="10" spans="1:38" x14ac:dyDescent="0.35">
      <c r="A10" s="20">
        <v>44865</v>
      </c>
      <c r="B10" s="21" t="s">
        <v>313</v>
      </c>
      <c r="C10" s="21" t="s">
        <v>314</v>
      </c>
      <c r="D10" s="44">
        <v>138683</v>
      </c>
      <c r="E10" s="44"/>
      <c r="F10" s="21"/>
      <c r="G10" s="21">
        <v>60</v>
      </c>
      <c r="H10" s="22">
        <v>25020</v>
      </c>
      <c r="I10" s="33">
        <v>0.5</v>
      </c>
      <c r="J10" s="24">
        <f>IFERROR(K10/H10,"")</f>
        <v>0.49376498800959234</v>
      </c>
      <c r="K10" s="22">
        <v>12354</v>
      </c>
      <c r="L10" s="21">
        <v>20</v>
      </c>
      <c r="M10" s="21">
        <v>20</v>
      </c>
      <c r="N10" s="21">
        <v>11</v>
      </c>
      <c r="O10" s="21"/>
      <c r="P10" s="21">
        <v>8</v>
      </c>
      <c r="Q10" s="21"/>
      <c r="R10" s="21"/>
      <c r="S10" s="21"/>
      <c r="T10" s="21">
        <v>1</v>
      </c>
      <c r="U10" s="25">
        <v>270</v>
      </c>
      <c r="V10" s="25">
        <f>H10*U10*I10/15</f>
        <v>225180</v>
      </c>
      <c r="W10" s="25">
        <v>283.91000000000003</v>
      </c>
      <c r="X10" s="25">
        <v>233827.36</v>
      </c>
      <c r="Y10" s="25">
        <v>0</v>
      </c>
      <c r="Z10" s="25">
        <v>9162.3700000000008</v>
      </c>
      <c r="AA10" s="25">
        <v>0</v>
      </c>
      <c r="AB10" s="25">
        <v>1620</v>
      </c>
      <c r="AC10" s="25">
        <f>G10*30</f>
        <v>1800</v>
      </c>
      <c r="AD10" s="25">
        <f>IF(F10="",G10*3.83,F10*3.83)</f>
        <v>229.8</v>
      </c>
      <c r="AE10" s="25">
        <v>467.65</v>
      </c>
      <c r="AF10" s="25">
        <f>V10+Y10+Z10+AA10+AB10+AC10+AD10</f>
        <v>237992.16999999998</v>
      </c>
      <c r="AG10" s="25">
        <f>IFERROR(IFERROR((H10*W10*J10/15)-AE10,""),"")</f>
        <v>233360.62600000002</v>
      </c>
      <c r="AH10" s="26">
        <f>IFERROR(AG10-AF10,"")</f>
        <v>-4631.5439999999653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AH10/G10</f>
        <v>-77.192399999999424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-1.9847152792605061E-2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x14ac:dyDescent="0.35">
      <c r="A15" s="96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97">
        <v>44865</v>
      </c>
      <c r="B16" s="21" t="s">
        <v>316</v>
      </c>
      <c r="C16" s="21" t="s">
        <v>314</v>
      </c>
      <c r="D16" s="44">
        <v>138900</v>
      </c>
      <c r="E16" s="44"/>
      <c r="F16" s="21">
        <v>99</v>
      </c>
      <c r="G16" s="21"/>
      <c r="H16" s="22">
        <v>56370.76</v>
      </c>
      <c r="I16" s="33">
        <v>0.55000000000000004</v>
      </c>
      <c r="J16" s="24">
        <f>IFERROR(K16/H16,"")</f>
        <v>0.52029633803056763</v>
      </c>
      <c r="K16" s="22">
        <v>29329.5</v>
      </c>
      <c r="L16" s="21">
        <v>14</v>
      </c>
      <c r="M16" s="21">
        <v>42</v>
      </c>
      <c r="N16" s="21">
        <v>31</v>
      </c>
      <c r="O16" s="21">
        <v>10</v>
      </c>
      <c r="P16" s="21">
        <v>1</v>
      </c>
      <c r="Q16" s="21"/>
      <c r="R16" s="21"/>
      <c r="S16" s="21">
        <v>1</v>
      </c>
      <c r="T16" s="21"/>
      <c r="U16" s="25">
        <v>280</v>
      </c>
      <c r="V16" s="25">
        <f>H16*U16*I16/15</f>
        <v>578739.80266666668</v>
      </c>
      <c r="W16" s="25">
        <v>294.3</v>
      </c>
      <c r="X16" s="25">
        <v>575434.13</v>
      </c>
      <c r="Y16" s="25">
        <v>0</v>
      </c>
      <c r="Z16" s="25">
        <v>15270.62</v>
      </c>
      <c r="AA16" s="25">
        <v>0</v>
      </c>
      <c r="AB16" s="25">
        <v>2800</v>
      </c>
      <c r="AC16" s="25">
        <f>F16*30</f>
        <v>2970</v>
      </c>
      <c r="AD16" s="25">
        <f>IF(F16="",G16*3.83,F16*3.83)</f>
        <v>379.17</v>
      </c>
      <c r="AE16" s="25">
        <v>1150.8499999999999</v>
      </c>
      <c r="AF16" s="25">
        <f>V16+Y16+Z16+AA16+AB16+AC16+AD16</f>
        <v>600159.59266666672</v>
      </c>
      <c r="AG16" s="25">
        <f>IFERROR(IFERROR((H16*W16*J16/15)-AE16,""),"")</f>
        <v>574293.94000000018</v>
      </c>
      <c r="AH16" s="26">
        <f>IFERROR(AG16-AF16,"")</f>
        <v>-25865.652666666545</v>
      </c>
      <c r="AJ16">
        <f>F4+G4+F10+G10+F16+G16+F22+G22+F28+G28+F34+G34+F40+G40+F46+G46</f>
        <v>559</v>
      </c>
      <c r="AK16" s="50" t="s">
        <v>22</v>
      </c>
      <c r="AL16" t="s">
        <v>72</v>
      </c>
    </row>
    <row r="17" spans="1:38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-261.26921885521762</v>
      </c>
      <c r="AJ17" s="11">
        <f>AH4+AH10+AH16+AH22+AH28+AH34+AH40+AH46</f>
        <v>67598.76559999981</v>
      </c>
      <c r="AK17" s="11">
        <f>AJ17*30%</f>
        <v>20279.629679999944</v>
      </c>
    </row>
    <row r="18" spans="1:38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-4.5039048586628889E-2</v>
      </c>
      <c r="AJ18" s="11"/>
      <c r="AK18" s="11"/>
    </row>
    <row r="19" spans="1:38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</row>
    <row r="20" spans="1:38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J20" t="s">
        <v>310</v>
      </c>
      <c r="AK20" s="95">
        <v>64253.82</v>
      </c>
    </row>
    <row r="21" spans="1:38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J21" s="14" t="s">
        <v>311</v>
      </c>
      <c r="AK21" s="57">
        <f>AK20*70%</f>
        <v>44977.673999999999</v>
      </c>
    </row>
    <row r="22" spans="1:38" x14ac:dyDescent="0.35">
      <c r="A22" s="20">
        <v>44865</v>
      </c>
      <c r="B22" s="21" t="s">
        <v>313</v>
      </c>
      <c r="C22" s="21" t="s">
        <v>314</v>
      </c>
      <c r="D22" s="44">
        <v>138901</v>
      </c>
      <c r="E22" s="44"/>
      <c r="F22" s="21">
        <v>7</v>
      </c>
      <c r="G22" s="21"/>
      <c r="H22" s="22">
        <v>4490</v>
      </c>
      <c r="I22" s="33">
        <v>0.55000000000000004</v>
      </c>
      <c r="J22" s="24">
        <f>IFERROR(K22/H22,"")</f>
        <v>0.50192650334075728</v>
      </c>
      <c r="K22" s="22">
        <v>2253.65</v>
      </c>
      <c r="L22" s="21">
        <v>5</v>
      </c>
      <c r="M22" s="21"/>
      <c r="N22" s="21"/>
      <c r="O22" s="21"/>
      <c r="P22" s="21">
        <v>1</v>
      </c>
      <c r="Q22" s="21">
        <v>1</v>
      </c>
      <c r="R22" s="21"/>
      <c r="S22" s="21"/>
      <c r="T22" s="21"/>
      <c r="U22" s="25">
        <v>280</v>
      </c>
      <c r="V22" s="25">
        <f>H22*U22*I22/15</f>
        <v>46097.333333333336</v>
      </c>
      <c r="W22" s="25">
        <v>295.27999999999997</v>
      </c>
      <c r="X22" s="25">
        <v>44364.04</v>
      </c>
      <c r="Y22" s="25">
        <f>G22*120</f>
        <v>0</v>
      </c>
      <c r="Z22" s="25">
        <v>1068.94</v>
      </c>
      <c r="AA22" s="25">
        <v>0</v>
      </c>
      <c r="AB22" s="25">
        <v>196</v>
      </c>
      <c r="AC22" s="25">
        <f>F22*30</f>
        <v>210</v>
      </c>
      <c r="AD22" s="25">
        <f>IF(F22="",G22*3.83,F22*3.83)</f>
        <v>26.810000000000002</v>
      </c>
      <c r="AE22" s="25">
        <v>88.72</v>
      </c>
      <c r="AF22" s="25">
        <f>V22+Y22+Z22+AA22+AB22+AC22+AD22</f>
        <v>47599.083333333336</v>
      </c>
      <c r="AG22" s="25">
        <f>IFERROR(IFERROR((H22*W22*J22/15)-AE22,""),"")</f>
        <v>44275.131466666666</v>
      </c>
      <c r="AH22" s="26">
        <f>IFERROR(AG22-AF22,"")</f>
        <v>-3323.95186666667</v>
      </c>
      <c r="AJ22" s="14" t="s">
        <v>0</v>
      </c>
      <c r="AK22" s="57">
        <f>AK20*30%</f>
        <v>19276.146000000001</v>
      </c>
    </row>
    <row r="23" spans="1:38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-474.85026666666715</v>
      </c>
    </row>
    <row r="24" spans="1:38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-7.5074918053471329E-2</v>
      </c>
      <c r="AJ24" s="50" t="s">
        <v>312</v>
      </c>
      <c r="AK24" s="13">
        <f>AK17-AK22</f>
        <v>1003.483679999943</v>
      </c>
      <c r="AL24" t="s">
        <v>72</v>
      </c>
    </row>
    <row r="25" spans="1:38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8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8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8" x14ac:dyDescent="0.35">
      <c r="A28" s="20">
        <v>44865</v>
      </c>
      <c r="B28" s="21" t="s">
        <v>313</v>
      </c>
      <c r="C28" s="21" t="s">
        <v>314</v>
      </c>
      <c r="D28" s="44">
        <v>138901</v>
      </c>
      <c r="E28" s="44"/>
      <c r="F28" s="21">
        <v>26</v>
      </c>
      <c r="G28" s="21"/>
      <c r="H28" s="22">
        <v>11530</v>
      </c>
      <c r="I28" s="33">
        <v>0.52</v>
      </c>
      <c r="J28" s="24">
        <f>IFERROR(K28/H28,"")</f>
        <v>0.7259384215091067</v>
      </c>
      <c r="K28" s="22">
        <v>8370.07</v>
      </c>
      <c r="L28" s="21"/>
      <c r="M28" s="21">
        <v>12</v>
      </c>
      <c r="N28" s="21">
        <v>14</v>
      </c>
      <c r="O28" s="21"/>
      <c r="P28" s="21"/>
      <c r="Q28" s="21"/>
      <c r="R28" s="21"/>
      <c r="S28" s="21"/>
      <c r="T28" s="21"/>
      <c r="U28" s="25">
        <v>280</v>
      </c>
      <c r="V28" s="25">
        <f>H28*U28*I28/15</f>
        <v>111917.86666666667</v>
      </c>
      <c r="W28" s="25">
        <v>295.27999999999997</v>
      </c>
      <c r="X28" s="25">
        <v>164780.72</v>
      </c>
      <c r="Y28" s="25">
        <v>0</v>
      </c>
      <c r="Z28" s="25">
        <v>3970.36</v>
      </c>
      <c r="AA28" s="25">
        <v>0</v>
      </c>
      <c r="AB28" s="25">
        <v>728</v>
      </c>
      <c r="AC28" s="25">
        <f>F28*30</f>
        <v>780</v>
      </c>
      <c r="AD28" s="25">
        <f>IF(F28="",G28*3.83,F28*3.83)</f>
        <v>99.58</v>
      </c>
      <c r="AE28" s="25">
        <v>329.56</v>
      </c>
      <c r="AF28" s="25">
        <f>V28+Y28+Z28+AA28+AB28+AC28+AD28</f>
        <v>117495.80666666667</v>
      </c>
      <c r="AG28" s="25">
        <f>IFERROR(IFERROR((H28*W28*J28/15)-AE28,""),"")</f>
        <v>164438.05797333334</v>
      </c>
      <c r="AH28" s="26">
        <f>IFERROR(AG28-AF28,"")</f>
        <v>46942.251306666672</v>
      </c>
    </row>
    <row r="29" spans="1:38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1805.4712041025643</v>
      </c>
      <c r="AJ29" s="11"/>
      <c r="AK29" s="11"/>
    </row>
    <row r="30" spans="1:38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0.28547072305049492</v>
      </c>
      <c r="AJ30" s="11"/>
      <c r="AK30" s="11"/>
    </row>
    <row r="31" spans="1:38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8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59" x14ac:dyDescent="0.35">
      <c r="A33" s="93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59" x14ac:dyDescent="0.35">
      <c r="A34" s="94">
        <v>44865</v>
      </c>
      <c r="B34" s="21" t="s">
        <v>313</v>
      </c>
      <c r="C34" s="21" t="s">
        <v>314</v>
      </c>
      <c r="D34" s="44">
        <v>138899</v>
      </c>
      <c r="E34" s="44"/>
      <c r="F34" s="21">
        <v>100</v>
      </c>
      <c r="G34" s="21"/>
      <c r="H34" s="22">
        <v>57114.28</v>
      </c>
      <c r="I34" s="33">
        <v>0.55000000000000004</v>
      </c>
      <c r="J34" s="24">
        <f>IFERROR(K34/H34,"")</f>
        <v>0.56866093733476109</v>
      </c>
      <c r="K34" s="22">
        <v>32478.66</v>
      </c>
      <c r="L34" s="21">
        <v>5</v>
      </c>
      <c r="M34" s="21">
        <v>31</v>
      </c>
      <c r="N34" s="21">
        <v>54</v>
      </c>
      <c r="O34" s="21">
        <v>10</v>
      </c>
      <c r="P34" s="21"/>
      <c r="Q34" s="21"/>
      <c r="R34" s="21"/>
      <c r="S34" s="21"/>
      <c r="T34" s="21"/>
      <c r="U34" s="25">
        <v>280</v>
      </c>
      <c r="V34" s="25">
        <f>H34*U34*I34/15</f>
        <v>586373.27466666675</v>
      </c>
      <c r="W34" s="25">
        <v>293.44</v>
      </c>
      <c r="X34" s="25">
        <v>635368.54</v>
      </c>
      <c r="Y34" s="25">
        <v>0</v>
      </c>
      <c r="Z34" s="25">
        <v>15270.62</v>
      </c>
      <c r="AA34" s="25">
        <v>0</v>
      </c>
      <c r="AB34" s="25">
        <v>2800</v>
      </c>
      <c r="AC34" s="25">
        <f>F34*30</f>
        <v>3000</v>
      </c>
      <c r="AD34" s="25">
        <f>IF(F34="",G34*3.83,F34*3.83)</f>
        <v>383</v>
      </c>
      <c r="AE34" s="25">
        <v>1270.74</v>
      </c>
      <c r="AF34" s="25">
        <f>V34+Y34+Z34+AA34+AB34+AC34+AD34</f>
        <v>607826.89466666675</v>
      </c>
      <c r="AG34" s="25">
        <f>IFERROR(IFERROR((H34*W34*J34/15)-AE34,""),"")</f>
        <v>634098.45935999998</v>
      </c>
      <c r="AH34" s="26">
        <f>IFERROR(AG34-AF34,"")</f>
        <v>26271.564693333232</v>
      </c>
    </row>
    <row r="35" spans="1:59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262.71564693333232</v>
      </c>
    </row>
    <row r="36" spans="1:59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4.1431364964755323E-2</v>
      </c>
    </row>
    <row r="37" spans="1:59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59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59" x14ac:dyDescent="0.35">
      <c r="A39" s="93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47"/>
    </row>
    <row r="40" spans="1:59" x14ac:dyDescent="0.35">
      <c r="A40" s="94">
        <v>44865</v>
      </c>
      <c r="B40" s="21" t="s">
        <v>313</v>
      </c>
      <c r="C40" s="21" t="s">
        <v>314</v>
      </c>
      <c r="D40" s="44">
        <v>138902</v>
      </c>
      <c r="E40" s="44"/>
      <c r="F40" s="21">
        <v>100</v>
      </c>
      <c r="G40" s="21"/>
      <c r="H40" s="22">
        <v>57114.28</v>
      </c>
      <c r="I40" s="33">
        <v>0.55000000000000004</v>
      </c>
      <c r="J40" s="24">
        <f>IFERROR(K40/H40,"")</f>
        <v>0.5290183120578601</v>
      </c>
      <c r="K40" s="22">
        <v>30214.5</v>
      </c>
      <c r="L40" s="21">
        <v>15</v>
      </c>
      <c r="M40" s="21">
        <v>43</v>
      </c>
      <c r="N40" s="21">
        <v>31</v>
      </c>
      <c r="O40" s="21">
        <v>10</v>
      </c>
      <c r="P40" s="21">
        <v>1</v>
      </c>
      <c r="Q40" s="21"/>
      <c r="R40" s="21"/>
      <c r="S40" s="21"/>
      <c r="T40" s="21"/>
      <c r="U40" s="25">
        <v>280</v>
      </c>
      <c r="V40" s="25">
        <f>H40*U40*I40/15</f>
        <v>586373.27466666675</v>
      </c>
      <c r="W40" s="25">
        <v>296.16000000000003</v>
      </c>
      <c r="X40" s="25">
        <v>596562.19999999995</v>
      </c>
      <c r="Y40" s="25">
        <v>0</v>
      </c>
      <c r="Z40" s="25">
        <v>15270.62</v>
      </c>
      <c r="AA40" s="25">
        <v>0</v>
      </c>
      <c r="AB40" s="25">
        <v>2800</v>
      </c>
      <c r="AC40" s="25">
        <f>F40*30</f>
        <v>3000</v>
      </c>
      <c r="AD40" s="25">
        <f>IF(F40="",G40*3.83,F40*3.83)</f>
        <v>383</v>
      </c>
      <c r="AE40" s="25">
        <v>1193.1099999999999</v>
      </c>
      <c r="AF40" s="25">
        <f>V40+Y40+Z40+AA40+AB40+AC40+AD40</f>
        <v>607826.89466666675</v>
      </c>
      <c r="AG40" s="25">
        <f>IFERROR(IFERROR((H40*W40*J40/15)-AE40,""),"")</f>
        <v>595361.97799999989</v>
      </c>
      <c r="AH40" s="26">
        <f>IFERROR(AG40-AF40,"")</f>
        <v>-12464.916666666861</v>
      </c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47"/>
    </row>
    <row r="41" spans="1:59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-124.64916666666861</v>
      </c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4"/>
    </row>
    <row r="42" spans="1:59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-2.0936702589809762E-2</v>
      </c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4"/>
    </row>
    <row r="43" spans="1:59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4"/>
    </row>
    <row r="44" spans="1:59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4"/>
    </row>
    <row r="45" spans="1:59" x14ac:dyDescent="0.35">
      <c r="A45" s="96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11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4"/>
    </row>
    <row r="46" spans="1:59" x14ac:dyDescent="0.35">
      <c r="A46" s="97">
        <v>44865</v>
      </c>
      <c r="B46" s="21" t="s">
        <v>316</v>
      </c>
      <c r="C46" s="21" t="s">
        <v>314</v>
      </c>
      <c r="D46" s="44">
        <v>138901</v>
      </c>
      <c r="E46" s="44"/>
      <c r="F46" s="21">
        <v>17</v>
      </c>
      <c r="G46" s="21"/>
      <c r="H46" s="22">
        <v>9679.82</v>
      </c>
      <c r="I46" s="33">
        <v>0.55000000000000004</v>
      </c>
      <c r="J46" s="24">
        <f>IFERROR(K46/H46,"")</f>
        <v>0.5654185718329473</v>
      </c>
      <c r="K46" s="22">
        <v>5473.15</v>
      </c>
      <c r="L46" s="21"/>
      <c r="M46" s="21">
        <v>6</v>
      </c>
      <c r="N46" s="21">
        <v>6</v>
      </c>
      <c r="O46" s="21">
        <v>5</v>
      </c>
      <c r="P46" s="21"/>
      <c r="Q46" s="21"/>
      <c r="R46" s="21"/>
      <c r="S46" s="21"/>
      <c r="T46" s="21"/>
      <c r="U46" s="25">
        <v>280</v>
      </c>
      <c r="V46" s="25">
        <f>H46*U46*I46/15</f>
        <v>99379.485333333345</v>
      </c>
      <c r="W46" s="25">
        <v>295.27999999999997</v>
      </c>
      <c r="X46" s="25">
        <v>107741.24</v>
      </c>
      <c r="Y46" s="25">
        <v>0</v>
      </c>
      <c r="Z46" s="25">
        <v>2596</v>
      </c>
      <c r="AA46" s="25"/>
      <c r="AB46" s="25">
        <v>476</v>
      </c>
      <c r="AC46" s="25">
        <f>F46*30</f>
        <v>510</v>
      </c>
      <c r="AD46" s="25">
        <f>IF(F46="",G46*3.83,F46*3.83)</f>
        <v>65.11</v>
      </c>
      <c r="AE46" s="25">
        <v>215.48</v>
      </c>
      <c r="AF46" s="25">
        <f>V46+Y46+Z46+AA46+AB46+AC46+AD46</f>
        <v>103026.59533333335</v>
      </c>
      <c r="AG46" s="25">
        <f>IFERROR(IFERROR((H46*W46*J46/15)-AE46,""),"")</f>
        <v>107525.30213333333</v>
      </c>
      <c r="AH46" s="26">
        <f>IFERROR(AG46-AF46,"")</f>
        <v>4498.7067999999854</v>
      </c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4"/>
    </row>
    <row r="47" spans="1:59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264.62981176470504</v>
      </c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4"/>
    </row>
    <row r="48" spans="1:59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4.1838587855549635E-2</v>
      </c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4"/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4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4"/>
    </row>
    <row r="51" spans="1:59" ht="15" thickBot="1" x14ac:dyDescent="0.4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3"/>
      <c r="AA51" s="21"/>
      <c r="AB51" s="21"/>
      <c r="AC51" s="21"/>
      <c r="AD51" s="21"/>
      <c r="AE51" s="21"/>
      <c r="AF51" s="21"/>
      <c r="AG51" s="21"/>
      <c r="AH51" s="48"/>
    </row>
    <row r="52" spans="1:59" ht="16" thickBot="1" x14ac:dyDescent="0.4">
      <c r="A52" s="377" t="s">
        <v>315</v>
      </c>
      <c r="B52" s="378"/>
      <c r="C52" s="378"/>
      <c r="D52" s="378"/>
      <c r="E52" s="378"/>
      <c r="F52" s="378"/>
      <c r="G52" s="378"/>
      <c r="H52" s="378"/>
      <c r="I52" s="378"/>
      <c r="J52" s="378"/>
      <c r="K52" s="378"/>
      <c r="L52" s="46"/>
      <c r="M52" s="46"/>
      <c r="N52" s="46"/>
      <c r="O52" s="46"/>
      <c r="P52" s="46"/>
      <c r="Q52" s="46"/>
      <c r="R52" s="46"/>
      <c r="S52" s="46"/>
      <c r="T52" s="46"/>
      <c r="U52" s="30"/>
      <c r="V52" s="31">
        <f>V4+V10+V16+V22+V28+V34+V40+V46</f>
        <v>3113620.9493333339</v>
      </c>
      <c r="W52" s="30"/>
      <c r="X52" s="30"/>
      <c r="Y52" s="31">
        <f>Y4+Y10+Y16+Y22+Y28+Y34+Y40+Y46</f>
        <v>0</v>
      </c>
      <c r="Z52" s="31">
        <f>Z4+Z10+Z16+Z22+Z28+Z34+Z40+Z46</f>
        <v>85515.46</v>
      </c>
      <c r="AA52" s="31">
        <f>AA4+AA10+AA16+AA22+AA28+AA34+AA40+AA46</f>
        <v>840</v>
      </c>
      <c r="AB52" s="31">
        <f>AB4+AB10+AB16+AB16+AB22+AB28+AB34+AB40+AB46</f>
        <v>18420</v>
      </c>
      <c r="AC52" s="31">
        <f>AC4+AC10+AC16+AC22+AC28+AC34+AC40+AC46</f>
        <v>16770</v>
      </c>
      <c r="AD52" s="31">
        <f>AD4+AD10+AD16+AD22+AD28+AD34+AD40+AD46</f>
        <v>2140.9699999999998</v>
      </c>
      <c r="AE52" s="31">
        <f>AE4+AE10+AE16+AE22+AE28+AE34+AE40+AE46</f>
        <v>6617.4199999999992</v>
      </c>
      <c r="AF52" s="31">
        <f>AF4+AF10+AF16+AF22+AF28+AF34+AF40+AF46</f>
        <v>3234507.3793333331</v>
      </c>
      <c r="AG52" s="31">
        <f>AG4+AG10+AG16+AG22+AG28+AG34+AG40+AG46</f>
        <v>3302106.1449333341</v>
      </c>
      <c r="AH52" s="32"/>
    </row>
  </sheetData>
  <mergeCells count="2">
    <mergeCell ref="U2:AC2"/>
    <mergeCell ref="A52:K5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4"/>
  <dimension ref="A1:AL28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29.4531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44873</v>
      </c>
      <c r="B4" s="21" t="s">
        <v>26</v>
      </c>
      <c r="C4" s="21" t="s">
        <v>141</v>
      </c>
      <c r="D4" s="44">
        <v>138911</v>
      </c>
      <c r="E4" s="44"/>
      <c r="F4" s="21">
        <v>60</v>
      </c>
      <c r="G4" s="21"/>
      <c r="H4" s="22">
        <v>25900</v>
      </c>
      <c r="I4" s="33">
        <v>0.5</v>
      </c>
      <c r="J4" s="24">
        <f>IFERROR(K4/H4,"")</f>
        <v>0.51181467181467177</v>
      </c>
      <c r="K4" s="22">
        <v>13256</v>
      </c>
      <c r="L4" s="21">
        <v>19</v>
      </c>
      <c r="M4" s="21">
        <v>15</v>
      </c>
      <c r="N4" s="21">
        <v>18</v>
      </c>
      <c r="O4" s="21">
        <v>7</v>
      </c>
      <c r="P4" s="21">
        <v>1</v>
      </c>
      <c r="Q4" s="21"/>
      <c r="R4" s="21"/>
      <c r="S4" s="21"/>
      <c r="T4" s="21"/>
      <c r="U4" s="25">
        <v>250</v>
      </c>
      <c r="V4" s="25">
        <f>H4*U4*I4/15</f>
        <v>215833.33333333334</v>
      </c>
      <c r="W4" s="25">
        <v>294.45</v>
      </c>
      <c r="X4" s="25">
        <v>260215.53</v>
      </c>
      <c r="Y4" s="25">
        <v>4000</v>
      </c>
      <c r="Z4" s="25">
        <v>7198.3</v>
      </c>
      <c r="AA4" s="25">
        <v>0</v>
      </c>
      <c r="AB4" s="25">
        <v>1500</v>
      </c>
      <c r="AC4" s="25">
        <f>F4*30</f>
        <v>1800</v>
      </c>
      <c r="AD4" s="25">
        <f>F4*3.83</f>
        <v>229.8</v>
      </c>
      <c r="AE4" s="25">
        <v>520.42999999999995</v>
      </c>
      <c r="AF4" s="25">
        <f>V4+Y4+Z4+AA4+AB4+AC4+AD4</f>
        <v>230561.43333333332</v>
      </c>
      <c r="AG4" s="25">
        <f>IFERROR(IFERROR((H4*W4*J4/15)-AE4,""),"")</f>
        <v>259694.84999999998</v>
      </c>
      <c r="AH4" s="26">
        <f>IFERROR(AG4-AF4,"")</f>
        <v>29133.416666666657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485.5569444444443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0.11218326688675828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K9" s="63"/>
    </row>
    <row r="10" spans="1:38" x14ac:dyDescent="0.35">
      <c r="A10" s="20">
        <v>44874</v>
      </c>
      <c r="B10" s="21" t="s">
        <v>301</v>
      </c>
      <c r="C10" s="21" t="s">
        <v>302</v>
      </c>
      <c r="D10" s="44">
        <v>138277</v>
      </c>
      <c r="E10" s="44"/>
      <c r="F10" s="21">
        <v>150</v>
      </c>
      <c r="G10" s="21"/>
      <c r="H10" s="22">
        <v>85730</v>
      </c>
      <c r="I10" s="33">
        <v>0.55000000000000004</v>
      </c>
      <c r="J10" s="24">
        <f>IFERROR(K10/H10,"")</f>
        <v>0.55426921731015977</v>
      </c>
      <c r="K10" s="22">
        <v>47517.5</v>
      </c>
      <c r="L10" s="21">
        <v>8</v>
      </c>
      <c r="M10" s="21">
        <v>42</v>
      </c>
      <c r="N10" s="21">
        <v>78</v>
      </c>
      <c r="O10" s="21">
        <v>22</v>
      </c>
      <c r="P10" s="21"/>
      <c r="Q10" s="21"/>
      <c r="R10" s="21"/>
      <c r="S10" s="21"/>
      <c r="T10" s="21"/>
      <c r="U10" s="25">
        <v>275</v>
      </c>
      <c r="V10" s="25">
        <f>H10*U10*I10/15</f>
        <v>864444.16666666674</v>
      </c>
      <c r="W10" s="25">
        <v>294.39</v>
      </c>
      <c r="X10" s="25">
        <v>932565.4</v>
      </c>
      <c r="Y10" s="25">
        <v>8000</v>
      </c>
      <c r="Z10" s="25">
        <v>21681.9</v>
      </c>
      <c r="AA10" s="25">
        <v>0</v>
      </c>
      <c r="AB10" s="25">
        <v>4125</v>
      </c>
      <c r="AC10" s="25">
        <f>F10*30</f>
        <v>4500</v>
      </c>
      <c r="AD10" s="25">
        <f>IF(F10="",G10*3.83,F10*3.83)</f>
        <v>574.5</v>
      </c>
      <c r="AE10" s="25">
        <v>1865.13</v>
      </c>
      <c r="AF10" s="25">
        <f>V10+Y10+Z10+AA10+AB10+AC10+AD10</f>
        <v>903325.56666666677</v>
      </c>
      <c r="AG10" s="25">
        <f>IFERROR(IFERROR((H10*W10*J10/15)-AE10,""),"")</f>
        <v>930713.32499999995</v>
      </c>
      <c r="AH10" s="26">
        <f>IFERROR(AG10-AF10,"")</f>
        <v>27387.758333333186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182.58505555555456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2.9426631807740786E-2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20">
        <v>44874</v>
      </c>
      <c r="B16" s="21" t="s">
        <v>318</v>
      </c>
      <c r="C16" s="21" t="s">
        <v>319</v>
      </c>
      <c r="D16" s="44">
        <v>139209</v>
      </c>
      <c r="E16" s="44"/>
      <c r="F16" s="21">
        <v>55</v>
      </c>
      <c r="G16" s="21"/>
      <c r="H16" s="22">
        <v>22850</v>
      </c>
      <c r="I16" s="33">
        <v>0.5</v>
      </c>
      <c r="J16" s="24">
        <f>IFERROR(K16/H16,"")</f>
        <v>0.52045951859956241</v>
      </c>
      <c r="K16" s="22">
        <v>11892.5</v>
      </c>
      <c r="L16" s="21">
        <v>20</v>
      </c>
      <c r="M16" s="21">
        <v>19</v>
      </c>
      <c r="N16" s="21">
        <v>11</v>
      </c>
      <c r="O16" s="21">
        <v>5</v>
      </c>
      <c r="P16" s="21"/>
      <c r="Q16" s="21"/>
      <c r="R16" s="21"/>
      <c r="S16" s="21"/>
      <c r="T16" s="21"/>
      <c r="U16" s="25">
        <v>250</v>
      </c>
      <c r="V16" s="25">
        <f>H16*U16*I16/15</f>
        <v>190416.66666666666</v>
      </c>
      <c r="W16" s="25">
        <v>291.87</v>
      </c>
      <c r="X16" s="25">
        <v>231404.87</v>
      </c>
      <c r="Y16" s="25">
        <v>0</v>
      </c>
      <c r="Z16" s="25">
        <v>8017.2</v>
      </c>
      <c r="AA16" s="25">
        <v>0</v>
      </c>
      <c r="AB16" s="25">
        <v>1375</v>
      </c>
      <c r="AC16" s="25">
        <f>F16*30</f>
        <v>1650</v>
      </c>
      <c r="AD16" s="25">
        <f>IF(F16="",G16*3.83,F16*3.83)</f>
        <v>210.65</v>
      </c>
      <c r="AE16" s="25">
        <v>462.81</v>
      </c>
      <c r="AF16" s="25">
        <f>V16+Y16+Z16+AA16+AB16+AC16+AD16</f>
        <v>201669.51666666666</v>
      </c>
      <c r="AG16" s="25">
        <f>IFERROR(IFERROR((H16*W16*J16/15)-AE16,""),"")</f>
        <v>230941.45500000002</v>
      </c>
      <c r="AH16" s="26">
        <f>IFERROR(AG16-AF16,"")</f>
        <v>29271.938333333354</v>
      </c>
      <c r="AJ16">
        <f>F4+G4+F10+G10+F16+G16+F22+G22</f>
        <v>316</v>
      </c>
      <c r="AK16" s="50" t="s">
        <v>22</v>
      </c>
      <c r="AL16" t="s">
        <v>72</v>
      </c>
    </row>
    <row r="17" spans="1:37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532.21706060606095</v>
      </c>
      <c r="AJ17" s="11">
        <f>AH4+AH10+AH16+AH22</f>
        <v>96890.896666666522</v>
      </c>
      <c r="AK17" s="11">
        <f>AJ17*30%</f>
        <v>29067.268999999957</v>
      </c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0.12675047160040345</v>
      </c>
      <c r="AJ18" s="11"/>
      <c r="AK18" s="11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</row>
    <row r="21" spans="1:37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</row>
    <row r="22" spans="1:37" x14ac:dyDescent="0.35">
      <c r="A22" s="20">
        <v>44874</v>
      </c>
      <c r="B22" s="21" t="s">
        <v>320</v>
      </c>
      <c r="C22" s="21" t="s">
        <v>124</v>
      </c>
      <c r="D22" s="44">
        <v>139208</v>
      </c>
      <c r="E22" s="44"/>
      <c r="F22" s="21">
        <v>51</v>
      </c>
      <c r="G22" s="21"/>
      <c r="H22" s="22">
        <v>22720</v>
      </c>
      <c r="I22" s="33">
        <v>0.53</v>
      </c>
      <c r="J22" s="24">
        <f>IFERROR(K22/H22,"")</f>
        <v>0.53080985915492962</v>
      </c>
      <c r="K22" s="22">
        <v>12060</v>
      </c>
      <c r="L22" s="21">
        <v>28</v>
      </c>
      <c r="M22" s="21">
        <v>22</v>
      </c>
      <c r="N22" s="21">
        <v>1</v>
      </c>
      <c r="O22" s="21"/>
      <c r="P22" s="21"/>
      <c r="Q22" s="21"/>
      <c r="R22" s="21"/>
      <c r="S22" s="21"/>
      <c r="T22" s="21"/>
      <c r="U22" s="25">
        <v>263</v>
      </c>
      <c r="V22" s="25">
        <f>H22*U22*I22/15</f>
        <v>211129.38666666669</v>
      </c>
      <c r="W22" s="25">
        <v>295.07</v>
      </c>
      <c r="X22" s="25">
        <v>237237.9</v>
      </c>
      <c r="Y22" s="25">
        <f>G22*120</f>
        <v>0</v>
      </c>
      <c r="Z22" s="25">
        <v>11468.3</v>
      </c>
      <c r="AA22" s="25">
        <v>0</v>
      </c>
      <c r="AB22" s="25">
        <v>1341</v>
      </c>
      <c r="AC22" s="25">
        <f>F22*30</f>
        <v>1530</v>
      </c>
      <c r="AD22" s="25">
        <f>IF(F22="",G22*3.83,F22*3.83)</f>
        <v>195.33</v>
      </c>
      <c r="AE22" s="25">
        <v>474.48</v>
      </c>
      <c r="AF22" s="25">
        <f>V22+Y22+Z22+AA22+AB22+AC22+AD22</f>
        <v>225664.01666666666</v>
      </c>
      <c r="AG22" s="25">
        <f>IFERROR(IFERROR((H22*W22*J22/15)-AE22,""),"")</f>
        <v>236761.8</v>
      </c>
      <c r="AH22" s="26">
        <f>IFERROR(AG22-AF22,"")</f>
        <v>11097.783333333326</v>
      </c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217.60359477124169</v>
      </c>
    </row>
    <row r="24" spans="1:3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4.6873200547272939E-2</v>
      </c>
    </row>
    <row r="25" spans="1:3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7" ht="15" thickBot="1" x14ac:dyDescent="0.4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3"/>
      <c r="AA27" s="21"/>
      <c r="AB27" s="21"/>
      <c r="AC27" s="21"/>
      <c r="AD27" s="21"/>
      <c r="AE27" s="21"/>
      <c r="AF27" s="21"/>
      <c r="AG27" s="21"/>
      <c r="AH27" s="48"/>
    </row>
    <row r="28" spans="1:37" ht="16" thickBot="1" x14ac:dyDescent="0.4">
      <c r="A28" s="377" t="s">
        <v>317</v>
      </c>
      <c r="B28" s="378"/>
      <c r="C28" s="378"/>
      <c r="D28" s="378"/>
      <c r="E28" s="378"/>
      <c r="F28" s="378"/>
      <c r="G28" s="378"/>
      <c r="H28" s="378"/>
      <c r="I28" s="378"/>
      <c r="J28" s="378"/>
      <c r="K28" s="378"/>
      <c r="L28" s="46"/>
      <c r="M28" s="46"/>
      <c r="N28" s="46"/>
      <c r="O28" s="46"/>
      <c r="P28" s="46"/>
      <c r="Q28" s="46"/>
      <c r="R28" s="46"/>
      <c r="S28" s="46"/>
      <c r="T28" s="46"/>
      <c r="U28" s="30"/>
      <c r="V28" s="31">
        <f>V4+V10+V16+V22</f>
        <v>1481823.5533333335</v>
      </c>
      <c r="W28" s="30"/>
      <c r="X28" s="30"/>
      <c r="Y28" s="31">
        <f>Y4+Y10+Y16+Y22</f>
        <v>12000</v>
      </c>
      <c r="Z28" s="31">
        <f>Z4+Z10+Z16+Z22</f>
        <v>48365.7</v>
      </c>
      <c r="AA28" s="31">
        <f>AA4+AA10+AA16+AA22</f>
        <v>0</v>
      </c>
      <c r="AB28" s="31">
        <f>AB4+AB10+AB16+AB16+AB22</f>
        <v>9716</v>
      </c>
      <c r="AC28" s="31">
        <f>AC4+AC10+AC16+AC22</f>
        <v>9480</v>
      </c>
      <c r="AD28" s="31">
        <f>AD4+AD10+AD16+AD22</f>
        <v>1210.28</v>
      </c>
      <c r="AE28" s="31">
        <f>AE4+AE10+AE16+AE22</f>
        <v>3322.85</v>
      </c>
      <c r="AF28" s="31">
        <f>AF4+AF10+AF16+AF22</f>
        <v>1561220.5333333332</v>
      </c>
      <c r="AG28" s="31">
        <f>AG4+AG10+AG16+AG22</f>
        <v>1658111.43</v>
      </c>
      <c r="AH28" s="32"/>
    </row>
  </sheetData>
  <mergeCells count="2">
    <mergeCell ref="U2:AC2"/>
    <mergeCell ref="A28:K2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5"/>
  <dimension ref="A1:AL51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29.4531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37" t="s">
        <v>1</v>
      </c>
      <c r="B3" s="37" t="s">
        <v>2</v>
      </c>
      <c r="C3" s="37" t="s">
        <v>110</v>
      </c>
      <c r="D3" s="37" t="s">
        <v>66</v>
      </c>
      <c r="E3" s="37" t="s">
        <v>32</v>
      </c>
      <c r="F3" s="37" t="s">
        <v>137</v>
      </c>
      <c r="G3" s="37" t="s">
        <v>138</v>
      </c>
      <c r="H3" s="37" t="s">
        <v>4</v>
      </c>
      <c r="I3" s="37" t="s">
        <v>5</v>
      </c>
      <c r="J3" s="37" t="s">
        <v>6</v>
      </c>
      <c r="K3" s="37" t="s">
        <v>7</v>
      </c>
      <c r="L3" s="37" t="s">
        <v>279</v>
      </c>
      <c r="M3" s="37" t="s">
        <v>280</v>
      </c>
      <c r="N3" s="37" t="s">
        <v>281</v>
      </c>
      <c r="O3" s="37" t="s">
        <v>282</v>
      </c>
      <c r="P3" s="37" t="s">
        <v>283</v>
      </c>
      <c r="Q3" s="37" t="s">
        <v>284</v>
      </c>
      <c r="R3" s="37" t="s">
        <v>904</v>
      </c>
      <c r="S3" s="37" t="s">
        <v>285</v>
      </c>
      <c r="T3" s="37" t="s">
        <v>289</v>
      </c>
      <c r="U3" s="37" t="s">
        <v>8</v>
      </c>
      <c r="V3" s="37" t="s">
        <v>9</v>
      </c>
      <c r="W3" s="37" t="s">
        <v>10</v>
      </c>
      <c r="X3" s="37" t="s">
        <v>100</v>
      </c>
      <c r="Y3" s="37" t="s">
        <v>106</v>
      </c>
      <c r="Z3" s="37" t="s">
        <v>12</v>
      </c>
      <c r="AA3" s="37" t="s">
        <v>258</v>
      </c>
      <c r="AB3" s="37" t="s">
        <v>13</v>
      </c>
      <c r="AC3" s="37" t="s">
        <v>74</v>
      </c>
      <c r="AD3" s="37" t="s">
        <v>21</v>
      </c>
      <c r="AE3" s="37" t="s">
        <v>14</v>
      </c>
      <c r="AF3" s="37" t="s">
        <v>15</v>
      </c>
      <c r="AG3" s="37" t="s">
        <v>16</v>
      </c>
      <c r="AH3" s="15" t="s">
        <v>17</v>
      </c>
    </row>
    <row r="4" spans="1:38" x14ac:dyDescent="0.35">
      <c r="A4" s="38">
        <v>44878</v>
      </c>
      <c r="B4" s="39" t="s">
        <v>301</v>
      </c>
      <c r="C4" s="39" t="s">
        <v>302</v>
      </c>
      <c r="D4" s="45">
        <v>139212</v>
      </c>
      <c r="E4" s="45"/>
      <c r="F4" s="39">
        <v>197</v>
      </c>
      <c r="G4" s="39"/>
      <c r="H4" s="40">
        <v>106281.5</v>
      </c>
      <c r="I4" s="53">
        <v>0.55000000000000004</v>
      </c>
      <c r="J4" s="42">
        <f>IFERROR(K4/H4,"")</f>
        <v>0.55057455907189867</v>
      </c>
      <c r="K4" s="40">
        <v>58515.89</v>
      </c>
      <c r="L4" s="39">
        <v>18</v>
      </c>
      <c r="M4" s="39">
        <v>66</v>
      </c>
      <c r="N4" s="39">
        <v>94</v>
      </c>
      <c r="O4" s="39">
        <v>17</v>
      </c>
      <c r="P4" s="39">
        <v>1</v>
      </c>
      <c r="Q4" s="39"/>
      <c r="R4" s="39"/>
      <c r="S4" s="39"/>
      <c r="T4" s="39">
        <v>1</v>
      </c>
      <c r="U4" s="43">
        <v>275</v>
      </c>
      <c r="V4" s="43">
        <f>H4*U4*I4/15</f>
        <v>1071671.7916666667</v>
      </c>
      <c r="W4" s="43">
        <v>282.04000000000002</v>
      </c>
      <c r="X4" s="43">
        <v>1100234.8899999999</v>
      </c>
      <c r="Y4" s="43">
        <v>0</v>
      </c>
      <c r="Z4" s="43">
        <v>25046.77</v>
      </c>
      <c r="AA4" s="43">
        <v>0</v>
      </c>
      <c r="AB4" s="43">
        <v>5410.11</v>
      </c>
      <c r="AC4" s="43">
        <f>F4*30</f>
        <v>5910</v>
      </c>
      <c r="AD4" s="43">
        <f>F4*3.83</f>
        <v>754.51</v>
      </c>
      <c r="AE4" s="43">
        <v>2200.4699999999998</v>
      </c>
      <c r="AF4" s="43">
        <f>V4+Y4+Z4+AA4+AB4+AC4+AD4</f>
        <v>1108793.1816666669</v>
      </c>
      <c r="AG4" s="43">
        <f>IFERROR(IFERROR((H4*W4*J4/15)-AE4,""),"")</f>
        <v>1098054.3043733335</v>
      </c>
      <c r="AH4" s="26">
        <f>IFERROR(AG4-AF4,"")</f>
        <v>-10738.877293333411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-54.512067478849801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-9.7799145730430477E-3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37" t="s">
        <v>1</v>
      </c>
      <c r="B9" s="37" t="s">
        <v>2</v>
      </c>
      <c r="C9" s="37" t="s">
        <v>110</v>
      </c>
      <c r="D9" s="37" t="s">
        <v>66</v>
      </c>
      <c r="E9" s="37"/>
      <c r="F9" s="37" t="s">
        <v>137</v>
      </c>
      <c r="G9" s="37" t="s">
        <v>138</v>
      </c>
      <c r="H9" s="37" t="s">
        <v>4</v>
      </c>
      <c r="I9" s="37" t="s">
        <v>5</v>
      </c>
      <c r="J9" s="37" t="s">
        <v>6</v>
      </c>
      <c r="K9" s="37" t="s">
        <v>7</v>
      </c>
      <c r="L9" s="37" t="s">
        <v>279</v>
      </c>
      <c r="M9" s="37" t="s">
        <v>280</v>
      </c>
      <c r="N9" s="37" t="s">
        <v>281</v>
      </c>
      <c r="O9" s="37" t="s">
        <v>282</v>
      </c>
      <c r="P9" s="37" t="s">
        <v>283</v>
      </c>
      <c r="Q9" s="37" t="s">
        <v>284</v>
      </c>
      <c r="R9" s="37" t="s">
        <v>904</v>
      </c>
      <c r="S9" s="37" t="s">
        <v>285</v>
      </c>
      <c r="T9" s="37" t="s">
        <v>289</v>
      </c>
      <c r="U9" s="37" t="s">
        <v>8</v>
      </c>
      <c r="V9" s="37" t="s">
        <v>9</v>
      </c>
      <c r="W9" s="37" t="s">
        <v>10</v>
      </c>
      <c r="X9" s="37" t="s">
        <v>100</v>
      </c>
      <c r="Y9" s="37" t="s">
        <v>106</v>
      </c>
      <c r="Z9" s="37" t="s">
        <v>12</v>
      </c>
      <c r="AA9" s="37" t="s">
        <v>258</v>
      </c>
      <c r="AB9" s="37" t="s">
        <v>13</v>
      </c>
      <c r="AC9" s="37" t="s">
        <v>74</v>
      </c>
      <c r="AD9" s="37" t="s">
        <v>21</v>
      </c>
      <c r="AE9" s="37" t="s">
        <v>14</v>
      </c>
      <c r="AF9" s="37" t="s">
        <v>15</v>
      </c>
      <c r="AG9" s="37" t="s">
        <v>16</v>
      </c>
      <c r="AH9" s="15" t="s">
        <v>17</v>
      </c>
      <c r="AK9" s="63"/>
    </row>
    <row r="10" spans="1:38" x14ac:dyDescent="0.35">
      <c r="A10" s="38">
        <v>44878</v>
      </c>
      <c r="B10" s="39" t="s">
        <v>301</v>
      </c>
      <c r="C10" s="39" t="s">
        <v>302</v>
      </c>
      <c r="D10" s="45">
        <v>139212</v>
      </c>
      <c r="E10" s="45"/>
      <c r="F10" s="39">
        <v>3</v>
      </c>
      <c r="G10" s="39"/>
      <c r="H10" s="40">
        <v>1618.5</v>
      </c>
      <c r="I10" s="53">
        <v>0.55000000000000004</v>
      </c>
      <c r="J10" s="42">
        <f>IFERROR(K10/H10,"")</f>
        <v>0.55057151683657712</v>
      </c>
      <c r="K10" s="40">
        <v>891.1</v>
      </c>
      <c r="L10" s="39"/>
      <c r="M10" s="39"/>
      <c r="N10" s="39"/>
      <c r="O10" s="39"/>
      <c r="P10" s="39"/>
      <c r="Q10" s="39">
        <v>3</v>
      </c>
      <c r="R10" s="39"/>
      <c r="S10" s="39"/>
      <c r="T10" s="39"/>
      <c r="U10" s="43">
        <v>250</v>
      </c>
      <c r="V10" s="43">
        <f>H10*U10*I10/15</f>
        <v>14836.250000000002</v>
      </c>
      <c r="W10" s="43">
        <v>282.04000000000002</v>
      </c>
      <c r="X10" s="43">
        <v>16754.84</v>
      </c>
      <c r="Y10" s="43">
        <v>0</v>
      </c>
      <c r="Z10" s="43">
        <v>375.7</v>
      </c>
      <c r="AA10" s="43">
        <v>0</v>
      </c>
      <c r="AB10" s="43">
        <v>82.38</v>
      </c>
      <c r="AC10" s="43">
        <f>F10*30</f>
        <v>90</v>
      </c>
      <c r="AD10" s="43">
        <f>IF(F10="",G10*3.83,F10*3.83)</f>
        <v>11.49</v>
      </c>
      <c r="AE10" s="43">
        <v>33.5</v>
      </c>
      <c r="AF10" s="43">
        <f>V10+Y10+Z10+AA10+AB10+AC10+AD10</f>
        <v>15395.820000000002</v>
      </c>
      <c r="AG10" s="43">
        <f>IFERROR(IFERROR((H10*W10*J10/15)-AE10,""),"")</f>
        <v>16721.55626666667</v>
      </c>
      <c r="AH10" s="26">
        <f>IFERROR(AG10-AF10,"")</f>
        <v>1325.7362666666686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441.91208888888951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7.9283067049771991E-2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20">
        <v>44879</v>
      </c>
      <c r="B16" s="21" t="s">
        <v>322</v>
      </c>
      <c r="C16" s="21" t="s">
        <v>323</v>
      </c>
      <c r="D16" s="44">
        <v>139213</v>
      </c>
      <c r="E16" s="44"/>
      <c r="F16" s="21">
        <v>55</v>
      </c>
      <c r="G16" s="21"/>
      <c r="H16" s="22">
        <v>27440</v>
      </c>
      <c r="I16" s="33">
        <v>0.53</v>
      </c>
      <c r="J16" s="24">
        <f>IFERROR(K16/H16,"")</f>
        <v>0.58669059766763854</v>
      </c>
      <c r="K16" s="22">
        <v>16098.79</v>
      </c>
      <c r="L16" s="21">
        <v>16</v>
      </c>
      <c r="M16" s="21">
        <v>31</v>
      </c>
      <c r="N16" s="21">
        <v>5</v>
      </c>
      <c r="O16" s="21">
        <v>3</v>
      </c>
      <c r="P16" s="21"/>
      <c r="Q16" s="21"/>
      <c r="R16" s="21"/>
      <c r="S16" s="21"/>
      <c r="T16" s="21"/>
      <c r="U16" s="25">
        <v>270</v>
      </c>
      <c r="V16" s="25">
        <f>H16*U16*I16/15</f>
        <v>261777.6</v>
      </c>
      <c r="W16" s="25">
        <v>284.67</v>
      </c>
      <c r="X16" s="25">
        <v>305527.32</v>
      </c>
      <c r="Y16" s="25">
        <v>0</v>
      </c>
      <c r="Z16" s="25">
        <v>8532.9</v>
      </c>
      <c r="AA16" s="25">
        <v>0</v>
      </c>
      <c r="AB16" s="25">
        <v>1485</v>
      </c>
      <c r="AC16" s="25">
        <f>F16*30</f>
        <v>1650</v>
      </c>
      <c r="AD16" s="25">
        <f>IF(F16="",G16*3.83,F16*3.83)</f>
        <v>210.65</v>
      </c>
      <c r="AE16" s="25">
        <v>611.04999999999995</v>
      </c>
      <c r="AF16" s="25">
        <f>V16+Y16+Z16+AA16+AB16+AC16+AD16</f>
        <v>273656.15000000002</v>
      </c>
      <c r="AG16" s="25">
        <f>IFERROR(IFERROR((H16*W16*J16/15)-AE16,""),"")</f>
        <v>304911.78662000009</v>
      </c>
      <c r="AH16" s="26">
        <f>IFERROR(AG16-AF16,"")</f>
        <v>31255.636620000063</v>
      </c>
      <c r="AJ16">
        <f>F4+G4+F10+G10+F16+G16+F22+G22+F28+G28+F34+G34+F40+G40+F46+G46</f>
        <v>619</v>
      </c>
      <c r="AK16" s="50" t="s">
        <v>22</v>
      </c>
      <c r="AL16" t="s">
        <v>72</v>
      </c>
    </row>
    <row r="17" spans="1:37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568.28430218181927</v>
      </c>
      <c r="AJ17" s="11">
        <f>AH4+AH10+AH16+AH22+AH28+AH34+AH40+AH46</f>
        <v>34959.984059999966</v>
      </c>
      <c r="AK17" s="11">
        <f>AJ17*30%</f>
        <v>10487.995217999989</v>
      </c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0.10250714466132714</v>
      </c>
      <c r="AJ18" s="11"/>
      <c r="AK18" s="11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</row>
    <row r="21" spans="1:37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</row>
    <row r="22" spans="1:37" x14ac:dyDescent="0.35">
      <c r="A22" s="20">
        <v>44879</v>
      </c>
      <c r="B22" s="21" t="s">
        <v>324</v>
      </c>
      <c r="C22" s="21" t="s">
        <v>325</v>
      </c>
      <c r="D22" s="44">
        <v>139213</v>
      </c>
      <c r="E22" s="44"/>
      <c r="F22" s="21">
        <v>147</v>
      </c>
      <c r="G22" s="21"/>
      <c r="H22" s="22">
        <v>78340</v>
      </c>
      <c r="I22" s="33">
        <v>0.54</v>
      </c>
      <c r="J22" s="24">
        <f>IFERROR(K22/H22,"")</f>
        <v>0.54924304314526418</v>
      </c>
      <c r="K22" s="22">
        <v>43027.7</v>
      </c>
      <c r="L22" s="21">
        <v>25</v>
      </c>
      <c r="M22" s="21">
        <v>91</v>
      </c>
      <c r="N22" s="21">
        <v>30</v>
      </c>
      <c r="O22" s="21">
        <v>1</v>
      </c>
      <c r="P22" s="21"/>
      <c r="Q22" s="21"/>
      <c r="R22" s="21"/>
      <c r="S22" s="21"/>
      <c r="T22" s="21"/>
      <c r="U22" s="25">
        <v>273</v>
      </c>
      <c r="V22" s="25">
        <f>H22*U22*I22/15</f>
        <v>769925.52</v>
      </c>
      <c r="W22" s="25">
        <v>284.67</v>
      </c>
      <c r="X22" s="25">
        <v>816591.21</v>
      </c>
      <c r="Y22" s="25">
        <v>8000</v>
      </c>
      <c r="Z22" s="25">
        <v>16788.599999999999</v>
      </c>
      <c r="AA22" s="25">
        <v>0</v>
      </c>
      <c r="AB22" s="25">
        <v>4013.1</v>
      </c>
      <c r="AC22" s="25">
        <f>F22*30</f>
        <v>4410</v>
      </c>
      <c r="AD22" s="25">
        <f>IF(F22="",G22*3.83,F22*3.83)</f>
        <v>563.01</v>
      </c>
      <c r="AE22" s="25">
        <v>1633.17</v>
      </c>
      <c r="AF22" s="25">
        <f>V22+Y22+Z22+AA22+AB22+AC22+AD22</f>
        <v>803700.23</v>
      </c>
      <c r="AG22" s="25">
        <f>IFERROR(IFERROR((H22*W22*J22/15)-AE22,""),"")</f>
        <v>814946.52059999993</v>
      </c>
      <c r="AH22" s="26">
        <f>IFERROR(AG22-AF22,"")</f>
        <v>11246.290599999949</v>
      </c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76.50537823129217</v>
      </c>
    </row>
    <row r="24" spans="1:3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1.3800035113616939E-2</v>
      </c>
    </row>
    <row r="25" spans="1:3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7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7" x14ac:dyDescent="0.35">
      <c r="A28" s="20">
        <v>44881</v>
      </c>
      <c r="B28" s="21" t="s">
        <v>326</v>
      </c>
      <c r="C28" s="21" t="s">
        <v>113</v>
      </c>
      <c r="D28" s="44">
        <v>139211</v>
      </c>
      <c r="E28" s="44"/>
      <c r="F28" s="98">
        <v>49</v>
      </c>
      <c r="G28" s="21"/>
      <c r="H28" s="22">
        <v>32250.82</v>
      </c>
      <c r="I28" s="33">
        <v>0.53</v>
      </c>
      <c r="J28" s="24">
        <f>IFERROR(K28/H28,"")</f>
        <v>0.54009479448894637</v>
      </c>
      <c r="K28" s="22">
        <v>17418.5</v>
      </c>
      <c r="L28" s="21"/>
      <c r="M28" s="21">
        <v>8</v>
      </c>
      <c r="N28" s="21">
        <v>16</v>
      </c>
      <c r="O28" s="21">
        <v>23</v>
      </c>
      <c r="P28" s="21">
        <v>1</v>
      </c>
      <c r="Q28" s="21">
        <v>1</v>
      </c>
      <c r="R28" s="21"/>
      <c r="S28" s="21"/>
      <c r="T28" s="21"/>
      <c r="U28" s="25">
        <v>260</v>
      </c>
      <c r="V28" s="25">
        <f>H28*U28*I28/15</f>
        <v>296277.53306666669</v>
      </c>
      <c r="W28" s="25">
        <v>270.31</v>
      </c>
      <c r="X28" s="25">
        <v>313892.3</v>
      </c>
      <c r="Y28" s="25">
        <f>F28*120</f>
        <v>5880</v>
      </c>
      <c r="Z28" s="25">
        <v>5672.8</v>
      </c>
      <c r="AA28" s="25">
        <v>0</v>
      </c>
      <c r="AB28" s="25">
        <v>1274</v>
      </c>
      <c r="AC28" s="25">
        <v>0</v>
      </c>
      <c r="AD28" s="25">
        <f>IF(F28="",G28*3.83,F28*3.83)</f>
        <v>187.67000000000002</v>
      </c>
      <c r="AE28" s="25">
        <v>627.79</v>
      </c>
      <c r="AF28" s="25">
        <f>V28+Y28+Z28+AA28+AB28+AC28+AD28</f>
        <v>309292.00306666666</v>
      </c>
      <c r="AG28" s="25">
        <f>IFERROR(IFERROR((H28*W28*J28/15)-AE28,""),"")</f>
        <v>313265.19233333337</v>
      </c>
      <c r="AH28" s="26">
        <f>IFERROR(AG28-AF28,"")</f>
        <v>3973.1892666667118</v>
      </c>
    </row>
    <row r="29" spans="1:37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81.085495238096158</v>
      </c>
      <c r="AJ29" s="11"/>
      <c r="AK29" s="11"/>
    </row>
    <row r="30" spans="1:37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1.2683149497308321E-2</v>
      </c>
      <c r="AJ30" s="11"/>
      <c r="AK30" s="11"/>
    </row>
    <row r="31" spans="1:37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J31" s="11"/>
      <c r="AK31" s="11"/>
    </row>
    <row r="32" spans="1:37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J32" s="11"/>
      <c r="AK32" s="11"/>
    </row>
    <row r="33" spans="1:37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J33" s="11"/>
      <c r="AK33" s="11"/>
    </row>
    <row r="34" spans="1:37" x14ac:dyDescent="0.35">
      <c r="A34" s="20">
        <v>44883</v>
      </c>
      <c r="B34" s="21" t="s">
        <v>328</v>
      </c>
      <c r="C34" s="21" t="s">
        <v>116</v>
      </c>
      <c r="D34" s="44">
        <v>139646</v>
      </c>
      <c r="E34" s="44"/>
      <c r="F34" s="21"/>
      <c r="G34" s="21">
        <v>124</v>
      </c>
      <c r="H34" s="22">
        <v>48600</v>
      </c>
      <c r="I34" s="33">
        <v>0.5</v>
      </c>
      <c r="J34" s="24">
        <f>IFERROR(K34/H34,"")</f>
        <v>0.50972222222222219</v>
      </c>
      <c r="K34" s="22">
        <v>24772.5</v>
      </c>
      <c r="L34" s="21">
        <v>7</v>
      </c>
      <c r="M34" s="21">
        <v>50</v>
      </c>
      <c r="N34" s="21">
        <v>36</v>
      </c>
      <c r="O34" s="21">
        <v>22</v>
      </c>
      <c r="P34" s="21">
        <v>9</v>
      </c>
      <c r="Q34" s="21"/>
      <c r="R34" s="21"/>
      <c r="S34" s="21"/>
      <c r="T34" s="21"/>
      <c r="U34" s="25">
        <v>270</v>
      </c>
      <c r="V34" s="25">
        <f>H34*U34*I34/15</f>
        <v>437400</v>
      </c>
      <c r="W34" s="25">
        <v>278.08</v>
      </c>
      <c r="X34" s="25">
        <v>459245.92</v>
      </c>
      <c r="Y34" s="25">
        <v>0</v>
      </c>
      <c r="Z34" s="25">
        <v>25330</v>
      </c>
      <c r="AA34" s="25">
        <v>0</v>
      </c>
      <c r="AB34" s="25">
        <v>3348</v>
      </c>
      <c r="AC34" s="25">
        <f>G34*30</f>
        <v>3720</v>
      </c>
      <c r="AD34" s="25">
        <f>IF(F34="",G34*3.83,F34*3.83)</f>
        <v>474.92</v>
      </c>
      <c r="AE34" s="25">
        <v>918.51</v>
      </c>
      <c r="AF34" s="25">
        <f>V34+Y34+Z34+AA34+AB34+AC34+AD34</f>
        <v>470272.92</v>
      </c>
      <c r="AG34" s="25">
        <f>IFERROR(IFERROR((H34*W34*J34/15)-AE34,""),"")</f>
        <v>458330.61</v>
      </c>
      <c r="AH34" s="26">
        <f>IFERROR(AG34-AF34,"")</f>
        <v>-11942.309999999998</v>
      </c>
      <c r="AJ34" s="11"/>
      <c r="AK34" s="11"/>
    </row>
    <row r="35" spans="1:37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AH34/G34</f>
        <v>-96.308951612903201</v>
      </c>
      <c r="AJ35" s="11"/>
      <c r="AK35" s="11"/>
    </row>
    <row r="36" spans="1:37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-2.6056103911541055E-2</v>
      </c>
      <c r="AJ36" s="11"/>
      <c r="AK36" s="11"/>
    </row>
    <row r="37" spans="1:37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J37" s="11"/>
      <c r="AK37" s="11"/>
    </row>
    <row r="38" spans="1:37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J38" s="11"/>
      <c r="AK38" s="11"/>
    </row>
    <row r="39" spans="1:37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J39" s="11"/>
      <c r="AK39" s="11"/>
    </row>
    <row r="40" spans="1:37" x14ac:dyDescent="0.35">
      <c r="A40" s="20">
        <v>44883</v>
      </c>
      <c r="B40" s="21" t="s">
        <v>329</v>
      </c>
      <c r="C40" s="21" t="s">
        <v>174</v>
      </c>
      <c r="D40" s="44">
        <v>139460</v>
      </c>
      <c r="E40" s="44"/>
      <c r="F40" s="21">
        <v>30</v>
      </c>
      <c r="G40" s="21"/>
      <c r="H40" s="22">
        <v>17454.54</v>
      </c>
      <c r="I40" s="33">
        <v>0.52</v>
      </c>
      <c r="J40" s="24">
        <f>IFERROR(K40/H40,"")</f>
        <v>0.5414637108740763</v>
      </c>
      <c r="K40" s="22">
        <v>9451</v>
      </c>
      <c r="L40" s="21">
        <v>1</v>
      </c>
      <c r="M40" s="21">
        <v>10</v>
      </c>
      <c r="N40" s="21">
        <v>11</v>
      </c>
      <c r="O40" s="21">
        <v>8</v>
      </c>
      <c r="P40" s="21"/>
      <c r="Q40" s="21"/>
      <c r="R40" s="21"/>
      <c r="S40" s="21"/>
      <c r="T40" s="21"/>
      <c r="U40" s="25">
        <v>270</v>
      </c>
      <c r="V40" s="25">
        <f>H40*U40*I40/15</f>
        <v>163374.49440000003</v>
      </c>
      <c r="W40" s="25">
        <v>283.75</v>
      </c>
      <c r="X40" s="25">
        <v>178778.52</v>
      </c>
      <c r="Y40" s="25">
        <v>0</v>
      </c>
      <c r="Z40" s="25">
        <v>7321.97</v>
      </c>
      <c r="AA40" s="25">
        <v>0</v>
      </c>
      <c r="AB40" s="25">
        <v>1188</v>
      </c>
      <c r="AC40" s="25">
        <f>F40*30</f>
        <v>900</v>
      </c>
      <c r="AD40" s="25">
        <f>IF(F40="",G40*3.83,F40*3.83)</f>
        <v>114.9</v>
      </c>
      <c r="AE40" s="25">
        <v>357.56</v>
      </c>
      <c r="AF40" s="25">
        <f>V40+Y40+Z40+AA40+AB40+AC40+AD40</f>
        <v>172899.36440000002</v>
      </c>
      <c r="AG40" s="25">
        <f>IFERROR(IFERROR((H40*W40*J40/15)-AE40,""),"")</f>
        <v>178423.85666666666</v>
      </c>
      <c r="AH40" s="26">
        <f>IFERROR(AG40-AF40,"")</f>
        <v>5524.4922666666389</v>
      </c>
      <c r="AJ40" s="11"/>
      <c r="AK40" s="11"/>
    </row>
    <row r="41" spans="1:37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184.14974222222131</v>
      </c>
      <c r="AJ41" s="11"/>
      <c r="AK41" s="11"/>
    </row>
    <row r="42" spans="1:37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3.0962744387862628E-2</v>
      </c>
      <c r="AJ42" s="11"/>
      <c r="AK42" s="11"/>
    </row>
    <row r="43" spans="1:37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</row>
    <row r="44" spans="1:37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</row>
    <row r="45" spans="1:37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</row>
    <row r="46" spans="1:37" x14ac:dyDescent="0.35">
      <c r="A46" s="20">
        <v>44883</v>
      </c>
      <c r="B46" s="21" t="s">
        <v>329</v>
      </c>
      <c r="C46" s="21" t="s">
        <v>174</v>
      </c>
      <c r="D46" s="44">
        <v>139461</v>
      </c>
      <c r="E46" s="44"/>
      <c r="F46" s="21">
        <v>14</v>
      </c>
      <c r="G46" s="21"/>
      <c r="H46" s="22">
        <v>8145.45</v>
      </c>
      <c r="I46" s="33">
        <v>0.52</v>
      </c>
      <c r="J46" s="24">
        <f>IFERROR(K46/H46,"")</f>
        <v>0.53066435862966443</v>
      </c>
      <c r="K46" s="22">
        <v>4322.5</v>
      </c>
      <c r="L46" s="21">
        <v>4</v>
      </c>
      <c r="M46" s="21">
        <v>10</v>
      </c>
      <c r="N46" s="21"/>
      <c r="O46" s="21"/>
      <c r="P46" s="21"/>
      <c r="Q46" s="21"/>
      <c r="R46" s="21"/>
      <c r="S46" s="21"/>
      <c r="T46" s="21"/>
      <c r="U46" s="25">
        <v>270</v>
      </c>
      <c r="V46" s="25">
        <f>H46*U46*I46/15</f>
        <v>76241.411999999997</v>
      </c>
      <c r="W46" s="25">
        <v>297.77</v>
      </c>
      <c r="X46" s="25">
        <v>85807.39</v>
      </c>
      <c r="Y46" s="25">
        <v>0</v>
      </c>
      <c r="Z46" s="25">
        <v>3416.92</v>
      </c>
      <c r="AA46" s="25">
        <v>0</v>
      </c>
      <c r="AB46" s="25">
        <v>1188</v>
      </c>
      <c r="AC46" s="25">
        <f>F46*30</f>
        <v>420</v>
      </c>
      <c r="AD46" s="25">
        <f>IF(F46="",G46*3.83,F46*3.83)</f>
        <v>53.620000000000005</v>
      </c>
      <c r="AE46" s="25">
        <v>171.61</v>
      </c>
      <c r="AF46" s="25">
        <f>V46+Y46+Z46+AA46+AB46+AC46+AD46</f>
        <v>81319.95199999999</v>
      </c>
      <c r="AG46" s="25">
        <f>IFERROR(IFERROR((H46*W46*J46/15)-AE46,""),"")</f>
        <v>85635.778333333335</v>
      </c>
      <c r="AH46" s="26">
        <f>IFERROR(AG46-AF46,"")</f>
        <v>4315.8263333333452</v>
      </c>
    </row>
    <row r="47" spans="1:3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308.27330952381038</v>
      </c>
    </row>
    <row r="48" spans="1:3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5.0397467242420446E-2</v>
      </c>
    </row>
    <row r="49" spans="1:34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</row>
    <row r="50" spans="1:34" ht="15" thickBot="1" x14ac:dyDescent="0.4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</row>
    <row r="51" spans="1:34" ht="16" thickBot="1" x14ac:dyDescent="0.4">
      <c r="A51" s="377" t="s">
        <v>321</v>
      </c>
      <c r="B51" s="378"/>
      <c r="C51" s="378"/>
      <c r="D51" s="378"/>
      <c r="E51" s="378"/>
      <c r="F51" s="378"/>
      <c r="G51" s="378"/>
      <c r="H51" s="378"/>
      <c r="I51" s="378"/>
      <c r="J51" s="378"/>
      <c r="K51" s="378"/>
      <c r="L51" s="46"/>
      <c r="M51" s="46"/>
      <c r="N51" s="46"/>
      <c r="O51" s="46"/>
      <c r="P51" s="46"/>
      <c r="Q51" s="46"/>
      <c r="R51" s="46"/>
      <c r="S51" s="46"/>
      <c r="T51" s="46"/>
      <c r="U51" s="30"/>
      <c r="V51" s="31">
        <f>V4+V10+V16+V22+V28+V34+V40+V46</f>
        <v>3091504.601133334</v>
      </c>
      <c r="W51" s="30"/>
      <c r="X51" s="30"/>
      <c r="Y51" s="31">
        <f>Y4+Y10+Y16+Y22+Y28+Y34+Y40+Y46</f>
        <v>13880</v>
      </c>
      <c r="Z51" s="31">
        <f>Z4+Z10+Z16+Z22+Z28+Z34+Z40+Z46</f>
        <v>92485.66</v>
      </c>
      <c r="AA51" s="31">
        <f>AA4+AA10+AA16+AA22+AA28+AA34+AA40+AA46</f>
        <v>0</v>
      </c>
      <c r="AB51" s="31">
        <f>AB4+AB10+AB16+AB16+AB22+AB28+AB34+AB40+AB46</f>
        <v>19473.59</v>
      </c>
      <c r="AC51" s="31">
        <f>AC4+AC10+AC16+AC22+AC28+AC34+AC40+AC46</f>
        <v>17100</v>
      </c>
      <c r="AD51" s="31">
        <f>AD4+AD10+AD16+AD22+AD28+AD34+AD40+AD46</f>
        <v>2370.77</v>
      </c>
      <c r="AE51" s="31">
        <f>AE4+AE10+AE16+AE22+AE28+AE34+AE40+AE46</f>
        <v>6553.66</v>
      </c>
      <c r="AF51" s="31">
        <f>AF4+AF10+AF16+AF22+AF28+AF34+AF40+AF46</f>
        <v>3235329.6211333331</v>
      </c>
      <c r="AG51" s="31">
        <f>AG4+AG10+AG16+AG22+AG28+AG34+AG40+AG46</f>
        <v>3270289.6051933332</v>
      </c>
      <c r="AH51" s="32"/>
    </row>
  </sheetData>
  <mergeCells count="2">
    <mergeCell ref="U2:AC2"/>
    <mergeCell ref="A51:K5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6"/>
  <dimension ref="A1:BG112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29.4531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99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100">
        <v>44886</v>
      </c>
      <c r="B4" s="21" t="s">
        <v>330</v>
      </c>
      <c r="C4" s="21" t="s">
        <v>331</v>
      </c>
      <c r="D4" s="44">
        <v>139724</v>
      </c>
      <c r="E4" s="44"/>
      <c r="F4" s="21">
        <v>56</v>
      </c>
      <c r="G4" s="21"/>
      <c r="H4" s="22">
        <v>31222.45</v>
      </c>
      <c r="I4" s="33">
        <v>0.55000000000000004</v>
      </c>
      <c r="J4" s="24">
        <f>IFERROR(K4/H4,"")</f>
        <v>0.48132705793427483</v>
      </c>
      <c r="K4" s="22">
        <v>15028.21</v>
      </c>
      <c r="L4" s="21">
        <v>41</v>
      </c>
      <c r="M4" s="21">
        <v>11</v>
      </c>
      <c r="N4" s="21">
        <v>4</v>
      </c>
      <c r="O4" s="21"/>
      <c r="P4" s="21"/>
      <c r="Q4" s="21"/>
      <c r="R4" s="21"/>
      <c r="S4" s="21"/>
      <c r="T4" s="21"/>
      <c r="U4" s="25">
        <v>276</v>
      </c>
      <c r="V4" s="25">
        <f>H4*U4*I4/15</f>
        <v>315971.19400000008</v>
      </c>
      <c r="W4" s="25">
        <v>296.02</v>
      </c>
      <c r="X4" s="25">
        <v>273114.17</v>
      </c>
      <c r="Y4" s="25">
        <f>F4*68.41</f>
        <v>3830.96</v>
      </c>
      <c r="Z4" s="25">
        <v>6808.3</v>
      </c>
      <c r="AA4" s="25">
        <v>0</v>
      </c>
      <c r="AB4" s="25">
        <v>1573.2</v>
      </c>
      <c r="AC4" s="25">
        <f>F4*30</f>
        <v>1680</v>
      </c>
      <c r="AD4" s="25">
        <f>F4*3.83</f>
        <v>214.48000000000002</v>
      </c>
      <c r="AE4" s="25">
        <v>546.22</v>
      </c>
      <c r="AF4" s="25">
        <f>V4+Y4+Z4+AA4+AB4+AC4+AD4</f>
        <v>330078.13400000008</v>
      </c>
      <c r="AG4" s="25">
        <f>IFERROR(IFERROR((H4*W4*J4/15)-AE4,""),"")</f>
        <v>296030.4949466667</v>
      </c>
      <c r="AH4" s="26">
        <f>IFERROR(AG4-AF4,"")</f>
        <v>-34047.639053333376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-607.9935545238103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-0.11501395847568829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K9" s="63"/>
    </row>
    <row r="10" spans="1:38" x14ac:dyDescent="0.35">
      <c r="A10" s="20">
        <v>44886</v>
      </c>
      <c r="B10" s="21" t="s">
        <v>330</v>
      </c>
      <c r="C10" s="21" t="s">
        <v>331</v>
      </c>
      <c r="D10" s="44">
        <v>139717</v>
      </c>
      <c r="E10" s="44"/>
      <c r="F10" s="21">
        <v>112</v>
      </c>
      <c r="G10" s="21"/>
      <c r="H10" s="22">
        <v>50660</v>
      </c>
      <c r="I10" s="33">
        <v>0.54</v>
      </c>
      <c r="J10" s="24">
        <f>IFERROR(K10/H10,"")</f>
        <v>0.59329688116857482</v>
      </c>
      <c r="K10" s="22">
        <v>30056.42</v>
      </c>
      <c r="L10" s="21">
        <v>32</v>
      </c>
      <c r="M10" s="21">
        <v>57</v>
      </c>
      <c r="N10" s="21">
        <v>18</v>
      </c>
      <c r="O10" s="21">
        <v>5</v>
      </c>
      <c r="P10" s="21"/>
      <c r="Q10" s="21"/>
      <c r="R10" s="21"/>
      <c r="S10" s="21"/>
      <c r="T10" s="21"/>
      <c r="U10" s="25">
        <v>276</v>
      </c>
      <c r="V10" s="25">
        <f>H10*U10*I10/15</f>
        <v>503357.76</v>
      </c>
      <c r="W10" s="25">
        <v>296.02</v>
      </c>
      <c r="X10" s="25">
        <v>616397.44999999995</v>
      </c>
      <c r="Y10" s="25">
        <f>F10*68.41</f>
        <v>7661.92</v>
      </c>
      <c r="Z10" s="25">
        <v>13616.61</v>
      </c>
      <c r="AA10" s="25">
        <v>0</v>
      </c>
      <c r="AB10" s="25">
        <v>3091.2</v>
      </c>
      <c r="AC10" s="25">
        <f>F10*30</f>
        <v>3360</v>
      </c>
      <c r="AD10" s="25">
        <f>IF(F10="",G10*3.83,F10*3.83)</f>
        <v>428.96000000000004</v>
      </c>
      <c r="AE10" s="25">
        <v>1232.8</v>
      </c>
      <c r="AF10" s="25">
        <f>V10+Y10+Z10+AA10+AB10+AC10+AD10</f>
        <v>531516.44999999995</v>
      </c>
      <c r="AG10" s="25">
        <f>IFERROR(IFERROR((H10*W10*J10/15)-AE10,""),"")</f>
        <v>591920.6298933333</v>
      </c>
      <c r="AH10" s="26">
        <f>IFERROR(AG10-AF10,"")</f>
        <v>60404.179893333348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539.32303476190486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0.10204776931700868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20">
        <v>44886</v>
      </c>
      <c r="B16" s="21" t="s">
        <v>298</v>
      </c>
      <c r="C16" s="21" t="s">
        <v>331</v>
      </c>
      <c r="D16" s="44">
        <v>139462</v>
      </c>
      <c r="E16" s="44"/>
      <c r="F16" s="21">
        <v>250</v>
      </c>
      <c r="G16" s="21"/>
      <c r="H16" s="22">
        <v>132960</v>
      </c>
      <c r="I16" s="33">
        <v>0.55000000000000004</v>
      </c>
      <c r="J16" s="24">
        <f>IFERROR(K16/H16,"")</f>
        <v>0.56363567990373042</v>
      </c>
      <c r="K16" s="22">
        <v>74941</v>
      </c>
      <c r="L16" s="21">
        <v>45</v>
      </c>
      <c r="M16" s="21">
        <v>94</v>
      </c>
      <c r="N16" s="21">
        <v>82</v>
      </c>
      <c r="O16" s="21">
        <v>26</v>
      </c>
      <c r="P16" s="21">
        <v>3</v>
      </c>
      <c r="Q16" s="21"/>
      <c r="R16" s="21"/>
      <c r="S16" s="21"/>
      <c r="T16" s="21"/>
      <c r="U16" s="25">
        <v>280</v>
      </c>
      <c r="V16" s="25">
        <f>H16*U16*I16/15</f>
        <v>1365056</v>
      </c>
      <c r="W16" s="25">
        <v>293.08999999999997</v>
      </c>
      <c r="X16" s="25">
        <v>1464275.34</v>
      </c>
      <c r="Y16" s="25">
        <f>F16*68.41</f>
        <v>17102.5</v>
      </c>
      <c r="Z16" s="25">
        <v>33987.9</v>
      </c>
      <c r="AA16" s="25">
        <v>0</v>
      </c>
      <c r="AB16" s="25">
        <v>7000</v>
      </c>
      <c r="AC16" s="25">
        <f>F16*30</f>
        <v>7500</v>
      </c>
      <c r="AD16" s="25">
        <f>IF(F16="",G16*3.83,F16*3.83)</f>
        <v>957.5</v>
      </c>
      <c r="AE16" s="25">
        <v>2928.55</v>
      </c>
      <c r="AF16" s="25">
        <f>V16+Y16+Z16+AA16+AB16+AC16+AD16</f>
        <v>1431603.9</v>
      </c>
      <c r="AG16" s="25">
        <f>IFERROR(IFERROR((H16*W16*J16/15)-AE16,""),"")</f>
        <v>1461368.6293333331</v>
      </c>
      <c r="AH16" s="26">
        <f>IFERROR(AG16-AF16,"")</f>
        <v>29764.729333333205</v>
      </c>
      <c r="AJ16">
        <f>F4+G4+F10+G10+F16+G16+F22+G22+F28+G28+F34+G34+F40+G40+F46+G46+F52+G52+F58+G58+F64+G64+F70+G70+F76+G76+F82+G82+F88+G88+F94+G94+F100+G100+F106+G106</f>
        <v>1395</v>
      </c>
      <c r="AK16" s="50" t="s">
        <v>22</v>
      </c>
      <c r="AL16" t="s">
        <v>72</v>
      </c>
    </row>
    <row r="17" spans="1:37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119.05891733333281</v>
      </c>
      <c r="AJ17" s="11">
        <f>AH4+AH10+AH16+AH22+AH28+AH34+AH40+AH46+AH52+AH58+AH64+AH70+AH76+AH82+AH88+AH94+AH100+AH106</f>
        <v>250407.21542666614</v>
      </c>
      <c r="AK17" s="11">
        <f>AJ17*30%</f>
        <v>75122.164627999839</v>
      </c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2.036770787047186E-2</v>
      </c>
      <c r="AJ18" s="11"/>
      <c r="AK18" s="11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J19" s="101" t="s">
        <v>350</v>
      </c>
      <c r="AK19" s="101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J20" s="102">
        <v>10590.19</v>
      </c>
    </row>
    <row r="21" spans="1:37" x14ac:dyDescent="0.35">
      <c r="A21" s="99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</row>
    <row r="22" spans="1:37" x14ac:dyDescent="0.35">
      <c r="A22" s="100">
        <v>44886</v>
      </c>
      <c r="B22" s="21" t="s">
        <v>330</v>
      </c>
      <c r="C22" s="21" t="s">
        <v>331</v>
      </c>
      <c r="D22" s="44">
        <v>139717</v>
      </c>
      <c r="E22" s="44"/>
      <c r="F22" s="21">
        <v>1</v>
      </c>
      <c r="G22" s="21"/>
      <c r="H22" s="22">
        <v>557.54</v>
      </c>
      <c r="I22" s="33">
        <v>0.55000000000000004</v>
      </c>
      <c r="J22" s="24">
        <f>IFERROR(K22/H22,"")</f>
        <v>0.48132869390537009</v>
      </c>
      <c r="K22" s="22">
        <v>268.36</v>
      </c>
      <c r="L22" s="21"/>
      <c r="M22" s="21"/>
      <c r="N22" s="21"/>
      <c r="O22" s="21"/>
      <c r="P22" s="21">
        <v>1</v>
      </c>
      <c r="Q22" s="21"/>
      <c r="R22" s="21"/>
      <c r="S22" s="21"/>
      <c r="T22" s="21"/>
      <c r="U22" s="25">
        <v>276</v>
      </c>
      <c r="V22" s="25">
        <f>H22*U22*I22/15</f>
        <v>5642.3047999999999</v>
      </c>
      <c r="W22" s="25">
        <v>296.02</v>
      </c>
      <c r="X22" s="25">
        <v>5503.54</v>
      </c>
      <c r="Y22" s="25">
        <f>F22*68.41</f>
        <v>68.41</v>
      </c>
      <c r="Z22" s="25">
        <v>121.57</v>
      </c>
      <c r="AA22" s="25">
        <v>0</v>
      </c>
      <c r="AB22" s="25">
        <v>0</v>
      </c>
      <c r="AC22" s="25">
        <f>F22*30</f>
        <v>30</v>
      </c>
      <c r="AD22" s="25">
        <f>IF(F22="",G22*3.83,F22*3.83)</f>
        <v>3.83</v>
      </c>
      <c r="AE22" s="25">
        <v>11</v>
      </c>
      <c r="AF22" s="25">
        <f>V22+Y22+Z22+AA22+AB22+AC22+AD22</f>
        <v>5866.1147999999994</v>
      </c>
      <c r="AG22" s="25">
        <f>IFERROR(IFERROR((H22*W22*J22/15)-AE22,""),"")</f>
        <v>5284.9951466666662</v>
      </c>
      <c r="AH22" s="26">
        <f>IFERROR(AG22-AF22,"")</f>
        <v>-581.11965333333319</v>
      </c>
      <c r="AK22" t="s">
        <v>360</v>
      </c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-581.11965333333319</v>
      </c>
      <c r="AJ23" s="6">
        <f>AJ17+AJ20</f>
        <v>260997.40542666614</v>
      </c>
      <c r="AK23" s="13">
        <f>AJ23*30%</f>
        <v>78299.221627999839</v>
      </c>
    </row>
    <row r="24" spans="1:3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-0.10995651598655772</v>
      </c>
    </row>
    <row r="25" spans="1:3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7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7" x14ac:dyDescent="0.35">
      <c r="A28" s="20">
        <v>44887</v>
      </c>
      <c r="B28" s="21" t="s">
        <v>330</v>
      </c>
      <c r="C28" s="21" t="s">
        <v>332</v>
      </c>
      <c r="D28" s="44">
        <v>139463</v>
      </c>
      <c r="E28" s="44"/>
      <c r="F28" s="21">
        <v>200</v>
      </c>
      <c r="G28" s="21"/>
      <c r="H28" s="22">
        <v>106050</v>
      </c>
      <c r="I28" s="33">
        <v>0.55000000000000004</v>
      </c>
      <c r="J28" s="24">
        <f>IFERROR(K28/H28,"")</f>
        <v>0.55538896746817534</v>
      </c>
      <c r="K28" s="22">
        <v>58899</v>
      </c>
      <c r="L28" s="21">
        <v>8</v>
      </c>
      <c r="M28" s="21">
        <v>119</v>
      </c>
      <c r="N28" s="21">
        <v>73</v>
      </c>
      <c r="O28" s="21"/>
      <c r="P28" s="21"/>
      <c r="Q28" s="21"/>
      <c r="R28" s="21"/>
      <c r="S28" s="21"/>
      <c r="T28" s="21"/>
      <c r="U28" s="25">
        <v>280</v>
      </c>
      <c r="V28" s="25">
        <f>H28*U28*I28/15</f>
        <v>1088780.0000000002</v>
      </c>
      <c r="W28" s="25">
        <v>297.39</v>
      </c>
      <c r="X28" s="25">
        <v>1167744.23</v>
      </c>
      <c r="Y28" s="25">
        <f>F28*68.41</f>
        <v>13682</v>
      </c>
      <c r="Z28" s="25">
        <v>40138.400000000001</v>
      </c>
      <c r="AA28" s="25">
        <v>0</v>
      </c>
      <c r="AB28" s="25">
        <v>5600</v>
      </c>
      <c r="AC28" s="25">
        <f>F28*30</f>
        <v>6000</v>
      </c>
      <c r="AD28" s="25">
        <f>IF(F28="",G28*3.83,F28*3.83)</f>
        <v>766</v>
      </c>
      <c r="AE28" s="25">
        <v>2335.48</v>
      </c>
      <c r="AF28" s="25">
        <f>V28+Y28+Z28+AA28+AB28+AC28+AD28</f>
        <v>1154966.4000000001</v>
      </c>
      <c r="AG28" s="25">
        <f>IFERROR(IFERROR((H28*W28*J28/15)-AE28,""),"")</f>
        <v>1165396.094</v>
      </c>
      <c r="AH28" s="26">
        <f>IFERROR(AG28-AF28,"")</f>
        <v>10429.693999999901</v>
      </c>
    </row>
    <row r="29" spans="1:37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52.148469999999506</v>
      </c>
      <c r="AJ29" s="11"/>
      <c r="AK29" s="11"/>
    </row>
    <row r="30" spans="1:37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8.9494842600698656E-3</v>
      </c>
      <c r="AJ30" s="11"/>
      <c r="AK30" s="11"/>
    </row>
    <row r="31" spans="1:37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7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59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59" x14ac:dyDescent="0.35">
      <c r="A34" s="20">
        <v>44887</v>
      </c>
      <c r="B34" s="21" t="s">
        <v>333</v>
      </c>
      <c r="C34" s="21" t="s">
        <v>141</v>
      </c>
      <c r="D34" s="44">
        <v>139654</v>
      </c>
      <c r="E34" s="44"/>
      <c r="F34" s="21">
        <v>53</v>
      </c>
      <c r="G34" s="21"/>
      <c r="H34" s="22">
        <v>25450</v>
      </c>
      <c r="I34" s="33">
        <v>0.54</v>
      </c>
      <c r="J34" s="24">
        <f>IFERROR(K34/H34,"")</f>
        <v>0.53375245579567776</v>
      </c>
      <c r="K34" s="22">
        <v>13584</v>
      </c>
      <c r="L34" s="21">
        <v>20</v>
      </c>
      <c r="M34" s="21">
        <v>26</v>
      </c>
      <c r="N34" s="21">
        <v>7</v>
      </c>
      <c r="O34" s="21"/>
      <c r="P34" s="21"/>
      <c r="Q34" s="21"/>
      <c r="R34" s="21"/>
      <c r="S34" s="21"/>
      <c r="T34" s="21"/>
      <c r="U34" s="25">
        <v>275</v>
      </c>
      <c r="V34" s="25">
        <f>H34*U34*I34/15</f>
        <v>251955.00000000003</v>
      </c>
      <c r="W34" s="25">
        <v>297.49</v>
      </c>
      <c r="X34" s="25">
        <v>269406.95</v>
      </c>
      <c r="Y34" s="25">
        <v>0</v>
      </c>
      <c r="Z34" s="25">
        <v>9200.1</v>
      </c>
      <c r="AA34" s="25">
        <v>0</v>
      </c>
      <c r="AB34" s="25">
        <v>1457.5</v>
      </c>
      <c r="AC34" s="25">
        <f>F34*30</f>
        <v>1590</v>
      </c>
      <c r="AD34" s="25">
        <f>IF(F34="",G34*3.83,F34*3.83)</f>
        <v>202.99</v>
      </c>
      <c r="AE34" s="25">
        <v>538.80999999999995</v>
      </c>
      <c r="AF34" s="25">
        <f>V34+Y34+Z34+AA34+AB34+AC34+AD34</f>
        <v>264405.59000000003</v>
      </c>
      <c r="AG34" s="25">
        <f>IFERROR(IFERROR((H34*W34*J34/15)-AE34,""),"")</f>
        <v>268868.13399999996</v>
      </c>
      <c r="AH34" s="26">
        <f>IFERROR(AG34-AF34,"")</f>
        <v>4462.5439999999362</v>
      </c>
    </row>
    <row r="35" spans="1:59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84.198943396225218</v>
      </c>
    </row>
    <row r="36" spans="1:59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1.6597519139251872E-2</v>
      </c>
    </row>
    <row r="37" spans="1:59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59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59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47"/>
    </row>
    <row r="40" spans="1:59" x14ac:dyDescent="0.35">
      <c r="A40" s="20">
        <v>44888</v>
      </c>
      <c r="B40" s="21" t="s">
        <v>330</v>
      </c>
      <c r="C40" s="21" t="s">
        <v>331</v>
      </c>
      <c r="D40" s="44">
        <v>139464</v>
      </c>
      <c r="E40" s="44"/>
      <c r="F40" s="21">
        <v>136</v>
      </c>
      <c r="G40" s="21"/>
      <c r="H40" s="22">
        <v>78740</v>
      </c>
      <c r="I40" s="33">
        <v>0.55000000000000004</v>
      </c>
      <c r="J40" s="24">
        <f>IFERROR(K40/H40,"")</f>
        <v>0.53502540005080013</v>
      </c>
      <c r="K40" s="22">
        <v>42127.9</v>
      </c>
      <c r="L40" s="21">
        <v>10</v>
      </c>
      <c r="M40" s="21">
        <v>76</v>
      </c>
      <c r="N40" s="21">
        <v>45</v>
      </c>
      <c r="O40" s="21">
        <v>5</v>
      </c>
      <c r="P40" s="21"/>
      <c r="Q40" s="21"/>
      <c r="R40" s="21"/>
      <c r="S40" s="21"/>
      <c r="T40" s="21"/>
      <c r="U40" s="25">
        <v>280</v>
      </c>
      <c r="V40" s="25">
        <f>H40*U40*I40/15</f>
        <v>808397.33333333349</v>
      </c>
      <c r="W40" s="25">
        <v>297.8</v>
      </c>
      <c r="X40" s="25">
        <v>836374.33</v>
      </c>
      <c r="Y40" s="25">
        <f>F40*68.41</f>
        <v>9303.76</v>
      </c>
      <c r="Z40" s="25">
        <v>18881.419999999998</v>
      </c>
      <c r="AA40" s="25">
        <v>0</v>
      </c>
      <c r="AB40" s="25">
        <v>0</v>
      </c>
      <c r="AC40" s="25">
        <f>F40*30</f>
        <v>4080</v>
      </c>
      <c r="AD40" s="25">
        <f>IF(F40="",G40*3.83,F40*3.83)</f>
        <v>520.88</v>
      </c>
      <c r="AE40" s="25">
        <v>1672.75</v>
      </c>
      <c r="AF40" s="25">
        <f>V40+Y40+Z40+AA40+AB40+AC40+AD40</f>
        <v>841183.39333333354</v>
      </c>
      <c r="AG40" s="25">
        <f>IFERROR(IFERROR((H40*W40*J40/15)-AE40,""),"")</f>
        <v>834706.49133333343</v>
      </c>
      <c r="AH40" s="26">
        <f>IFERROR(AG40-AF40,"")</f>
        <v>-6476.9020000001183</v>
      </c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47"/>
    </row>
    <row r="41" spans="1:59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-47.624279411765578</v>
      </c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4"/>
    </row>
    <row r="42" spans="1:59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-7.7594963825597212E-3</v>
      </c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4"/>
    </row>
    <row r="43" spans="1:59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4"/>
    </row>
    <row r="44" spans="1:59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4"/>
    </row>
    <row r="45" spans="1:59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11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4"/>
    </row>
    <row r="46" spans="1:59" x14ac:dyDescent="0.35">
      <c r="A46" s="20">
        <v>44888</v>
      </c>
      <c r="B46" s="21" t="s">
        <v>334</v>
      </c>
      <c r="C46" s="21" t="s">
        <v>335</v>
      </c>
      <c r="D46" s="44">
        <v>139464</v>
      </c>
      <c r="E46" s="44"/>
      <c r="F46" s="21">
        <v>50</v>
      </c>
      <c r="G46" s="21"/>
      <c r="H46" s="22">
        <v>25640</v>
      </c>
      <c r="I46" s="33">
        <v>0.54</v>
      </c>
      <c r="J46" s="24">
        <f>IFERROR(K46/H46,"")</f>
        <v>0.6025039001560063</v>
      </c>
      <c r="K46" s="22">
        <v>15448.2</v>
      </c>
      <c r="L46" s="21">
        <v>10</v>
      </c>
      <c r="M46" s="21">
        <v>18</v>
      </c>
      <c r="N46" s="21">
        <v>22</v>
      </c>
      <c r="O46" s="21"/>
      <c r="P46" s="21"/>
      <c r="Q46" s="21"/>
      <c r="R46" s="21"/>
      <c r="S46" s="21"/>
      <c r="T46" s="21"/>
      <c r="U46" s="25">
        <v>275</v>
      </c>
      <c r="V46" s="25">
        <f>H46*U46*I46/15</f>
        <v>253836.00000000003</v>
      </c>
      <c r="W46" s="25">
        <v>297.8</v>
      </c>
      <c r="X46" s="25">
        <v>307490.56</v>
      </c>
      <c r="Y46" s="25">
        <v>0</v>
      </c>
      <c r="Z46" s="25">
        <v>7917.8</v>
      </c>
      <c r="AA46" s="25"/>
      <c r="AB46" s="25">
        <v>0</v>
      </c>
      <c r="AC46" s="25">
        <f>F46*30</f>
        <v>1500</v>
      </c>
      <c r="AD46" s="25">
        <f>IF(F46="",G46*3.83,F46*3.83)</f>
        <v>191.5</v>
      </c>
      <c r="AE46" s="25">
        <v>614.98</v>
      </c>
      <c r="AF46" s="25">
        <f>V46+Y46+Z46+AA46+AB46+AC46+AD46</f>
        <v>263445.30000000005</v>
      </c>
      <c r="AG46" s="25">
        <f>IFERROR(IFERROR((H46*W46*J46/15)-AE46,""),"")</f>
        <v>306083.2840000001</v>
      </c>
      <c r="AH46" s="26">
        <f>IFERROR(AG46-AF46,"")</f>
        <v>42637.984000000055</v>
      </c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4"/>
    </row>
    <row r="47" spans="1:59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852.75968000000114</v>
      </c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4"/>
    </row>
    <row r="48" spans="1:59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0.13930190320357397</v>
      </c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4"/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4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4"/>
    </row>
    <row r="51" spans="1:59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11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</row>
    <row r="52" spans="1:59" x14ac:dyDescent="0.35">
      <c r="A52" s="20">
        <v>44888</v>
      </c>
      <c r="B52" s="21" t="s">
        <v>336</v>
      </c>
      <c r="C52" s="21" t="s">
        <v>335</v>
      </c>
      <c r="D52" s="44">
        <v>139464</v>
      </c>
      <c r="E52" s="44"/>
      <c r="F52" s="21">
        <v>50</v>
      </c>
      <c r="G52" s="21"/>
      <c r="H52" s="22">
        <v>25600</v>
      </c>
      <c r="I52" s="33">
        <v>0.54</v>
      </c>
      <c r="J52" s="24">
        <f>IFERROR(K52/H52,"")</f>
        <v>0.60500781250000002</v>
      </c>
      <c r="K52" s="22">
        <v>15488.2</v>
      </c>
      <c r="L52" s="21">
        <v>10</v>
      </c>
      <c r="M52" s="21">
        <v>18</v>
      </c>
      <c r="N52" s="21">
        <v>21</v>
      </c>
      <c r="O52" s="21">
        <v>1</v>
      </c>
      <c r="P52" s="21"/>
      <c r="Q52" s="21"/>
      <c r="R52" s="21"/>
      <c r="S52" s="21"/>
      <c r="T52" s="21"/>
      <c r="U52" s="25">
        <v>275</v>
      </c>
      <c r="V52" s="25">
        <f>H52*U52*I52/15</f>
        <v>253440.00000000003</v>
      </c>
      <c r="W52" s="25">
        <v>297.8</v>
      </c>
      <c r="X52" s="25">
        <v>307490.56</v>
      </c>
      <c r="Y52" s="25">
        <v>0</v>
      </c>
      <c r="Z52" s="25">
        <v>7917.8</v>
      </c>
      <c r="AA52" s="25"/>
      <c r="AB52" s="25">
        <v>0</v>
      </c>
      <c r="AC52" s="25">
        <f>F52*30</f>
        <v>1500</v>
      </c>
      <c r="AD52" s="25">
        <f>IF(F52="",G52*3.83,F52*3.83)</f>
        <v>191.5</v>
      </c>
      <c r="AE52" s="25">
        <v>614.98</v>
      </c>
      <c r="AF52" s="25">
        <f>V52+Y52+Z52+AA52+AB52+AC52+AD52</f>
        <v>263049.30000000005</v>
      </c>
      <c r="AG52" s="25">
        <f>IFERROR(IFERROR((H52*W52*J52/15)-AE52,""),"")</f>
        <v>306877.41733333335</v>
      </c>
      <c r="AH52" s="26">
        <f>IFERROR(AG52-AF52,"")</f>
        <v>43828.117333333299</v>
      </c>
    </row>
    <row r="53" spans="1:5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876.56234666666603</v>
      </c>
    </row>
    <row r="54" spans="1:5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3"/>
      <c r="AA54" s="21"/>
      <c r="AB54" s="21"/>
      <c r="AC54" s="21"/>
      <c r="AD54" s="21"/>
      <c r="AE54" s="21"/>
      <c r="AF54" s="21"/>
      <c r="AG54" s="21"/>
      <c r="AH54" s="27">
        <f>IFERROR(AH52/AG52,"")</f>
        <v>0.14281962392080078</v>
      </c>
    </row>
    <row r="55" spans="1:5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4"/>
    </row>
    <row r="56" spans="1:5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3"/>
      <c r="AA56" s="21"/>
      <c r="AB56" s="21"/>
      <c r="AC56" s="21"/>
      <c r="AD56" s="21"/>
      <c r="AE56" s="21"/>
      <c r="AF56" s="21"/>
      <c r="AG56" s="21"/>
      <c r="AH56" s="24"/>
    </row>
    <row r="57" spans="1:59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11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</row>
    <row r="58" spans="1:59" x14ac:dyDescent="0.35">
      <c r="A58" s="20">
        <v>44888</v>
      </c>
      <c r="B58" s="21" t="s">
        <v>337</v>
      </c>
      <c r="C58" s="21" t="s">
        <v>331</v>
      </c>
      <c r="D58" s="44">
        <v>139464</v>
      </c>
      <c r="E58" s="44"/>
      <c r="F58" s="21">
        <v>14</v>
      </c>
      <c r="G58" s="21"/>
      <c r="H58" s="22">
        <v>8074</v>
      </c>
      <c r="I58" s="33">
        <v>0.55000000000000004</v>
      </c>
      <c r="J58" s="24">
        <f>IFERROR(K58/H58,"")</f>
        <v>0.53711790933861769</v>
      </c>
      <c r="K58" s="22">
        <v>4336.6899999999996</v>
      </c>
      <c r="L58" s="21">
        <v>4</v>
      </c>
      <c r="M58" s="21">
        <v>10</v>
      </c>
      <c r="N58" s="21"/>
      <c r="O58" s="21"/>
      <c r="P58" s="21"/>
      <c r="Q58" s="21"/>
      <c r="R58" s="21"/>
      <c r="S58" s="21"/>
      <c r="T58" s="21"/>
      <c r="U58" s="25">
        <v>280</v>
      </c>
      <c r="V58" s="25">
        <f>H58*U58*I58/15</f>
        <v>82893.066666666666</v>
      </c>
      <c r="W58" s="25">
        <v>297.8</v>
      </c>
      <c r="X58" s="25">
        <v>86097.35</v>
      </c>
      <c r="Y58" s="25">
        <v>0</v>
      </c>
      <c r="Z58" s="25">
        <v>1943.67</v>
      </c>
      <c r="AA58" s="25"/>
      <c r="AB58" s="25">
        <v>0</v>
      </c>
      <c r="AC58" s="25">
        <f>F58*30</f>
        <v>420</v>
      </c>
      <c r="AD58" s="25">
        <f>IF(F58="",G58*3.83,F58*3.83)</f>
        <v>53.620000000000005</v>
      </c>
      <c r="AE58" s="25">
        <v>172.19</v>
      </c>
      <c r="AF58" s="25">
        <f>V58+Y58+Z58+AA58+AB58+AC58+AD58</f>
        <v>85310.356666666659</v>
      </c>
      <c r="AG58" s="25">
        <f>IFERROR(IFERROR((H58*W58*J58/15)-AE58,""),"")</f>
        <v>85925.562133333326</v>
      </c>
      <c r="AH58" s="26">
        <f>IFERROR(AG58-AF58,"")</f>
        <v>615.20546666666633</v>
      </c>
    </row>
    <row r="59" spans="1:59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43.943247619047597</v>
      </c>
    </row>
    <row r="60" spans="1:5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7">
        <f>IFERROR(AH58/AG58,"")</f>
        <v>7.1597491059998321E-3</v>
      </c>
    </row>
    <row r="61" spans="1:5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3"/>
      <c r="AA61" s="21"/>
      <c r="AB61" s="21"/>
      <c r="AC61" s="21"/>
      <c r="AD61" s="21"/>
      <c r="AE61" s="21"/>
      <c r="AF61" s="21"/>
      <c r="AG61" s="21"/>
      <c r="AH61" s="24"/>
    </row>
    <row r="62" spans="1:5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3"/>
      <c r="AA62" s="21"/>
      <c r="AB62" s="21"/>
      <c r="AC62" s="21"/>
      <c r="AD62" s="21"/>
      <c r="AE62" s="21"/>
      <c r="AF62" s="21"/>
      <c r="AG62" s="21"/>
      <c r="AH62" s="24"/>
    </row>
    <row r="63" spans="1:59" x14ac:dyDescent="0.35">
      <c r="A63" s="99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</row>
    <row r="64" spans="1:59" x14ac:dyDescent="0.35">
      <c r="A64" s="100">
        <v>44890</v>
      </c>
      <c r="B64" s="21" t="s">
        <v>338</v>
      </c>
      <c r="C64" s="21" t="s">
        <v>339</v>
      </c>
      <c r="D64" s="44">
        <v>140435</v>
      </c>
      <c r="E64" s="44"/>
      <c r="F64" s="21"/>
      <c r="G64" s="21">
        <v>6</v>
      </c>
      <c r="H64" s="22">
        <v>2149.9899999999998</v>
      </c>
      <c r="I64" s="33">
        <v>0.5</v>
      </c>
      <c r="J64" s="24">
        <f>IFERROR(K64/H64,"")</f>
        <v>0.52665826352680711</v>
      </c>
      <c r="K64" s="22">
        <v>1132.31</v>
      </c>
      <c r="L64" s="21">
        <v>2</v>
      </c>
      <c r="M64" s="21">
        <v>2</v>
      </c>
      <c r="N64" s="21">
        <v>1</v>
      </c>
      <c r="O64" s="21">
        <v>1</v>
      </c>
      <c r="P64" s="21"/>
      <c r="Q64" s="21"/>
      <c r="R64" s="21"/>
      <c r="S64" s="21"/>
      <c r="T64" s="21"/>
      <c r="U64" s="25">
        <v>260</v>
      </c>
      <c r="V64" s="25">
        <f>H64*U64*I64/15</f>
        <v>18633.246666666662</v>
      </c>
      <c r="W64" s="25">
        <v>292.68</v>
      </c>
      <c r="X64" s="25">
        <v>22093.71</v>
      </c>
      <c r="Y64" s="25">
        <v>0</v>
      </c>
      <c r="Z64" s="25">
        <v>300</v>
      </c>
      <c r="AA64" s="25">
        <v>448.41</v>
      </c>
      <c r="AB64" s="25">
        <v>372.66</v>
      </c>
      <c r="AC64" s="25">
        <f>G64*30</f>
        <v>180</v>
      </c>
      <c r="AD64" s="25">
        <f>IF(F64="",G64*3.83,F64*3.83)</f>
        <v>22.98</v>
      </c>
      <c r="AE64" s="25">
        <v>44.18</v>
      </c>
      <c r="AF64" s="25">
        <f>V64+Y64+Z64+AA64+AB64+AC64+AD64</f>
        <v>19957.296666666662</v>
      </c>
      <c r="AG64" s="25">
        <f>IFERROR(IFERROR((H64*W64*J64/15)-AE64,""),"")</f>
        <v>22049.452719999997</v>
      </c>
      <c r="AH64" s="26">
        <f>IFERROR(AG64-AF64,"")</f>
        <v>2092.1560533333359</v>
      </c>
    </row>
    <row r="65" spans="1:34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AH64/G64</f>
        <v>348.69267555555598</v>
      </c>
    </row>
    <row r="66" spans="1:34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3"/>
      <c r="AA66" s="21"/>
      <c r="AB66" s="21"/>
      <c r="AC66" s="21"/>
      <c r="AD66" s="21"/>
      <c r="AE66" s="21"/>
      <c r="AF66" s="21"/>
      <c r="AG66" s="21"/>
      <c r="AH66" s="27">
        <f>IFERROR(AH64/AG64,"")</f>
        <v>9.4884715729730645E-2</v>
      </c>
    </row>
    <row r="67" spans="1:34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3"/>
      <c r="AA67" s="21"/>
      <c r="AB67" s="21"/>
      <c r="AC67" s="21"/>
      <c r="AD67" s="21"/>
      <c r="AE67" s="21"/>
      <c r="AF67" s="21"/>
      <c r="AG67" s="21"/>
      <c r="AH67" s="24"/>
    </row>
    <row r="68" spans="1:34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3"/>
      <c r="AA68" s="21"/>
      <c r="AB68" s="21"/>
      <c r="AC68" s="21"/>
      <c r="AD68" s="21"/>
      <c r="AE68" s="21"/>
      <c r="AF68" s="21"/>
      <c r="AG68" s="21"/>
      <c r="AH68" s="24"/>
    </row>
    <row r="69" spans="1:34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11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</row>
    <row r="70" spans="1:34" x14ac:dyDescent="0.35">
      <c r="A70" s="20">
        <v>44890</v>
      </c>
      <c r="B70" s="21" t="s">
        <v>340</v>
      </c>
      <c r="C70" s="21" t="s">
        <v>341</v>
      </c>
      <c r="D70" s="44">
        <v>139748</v>
      </c>
      <c r="E70" s="44"/>
      <c r="F70" s="21">
        <v>153</v>
      </c>
      <c r="G70" s="21"/>
      <c r="H70" s="22">
        <v>71925</v>
      </c>
      <c r="I70" s="33">
        <v>0.54</v>
      </c>
      <c r="J70" s="24">
        <f>IFERROR(K70/H70,"")</f>
        <v>0.56108446298227321</v>
      </c>
      <c r="K70" s="22">
        <v>40356</v>
      </c>
      <c r="L70" s="21">
        <v>75</v>
      </c>
      <c r="M70" s="21">
        <v>66</v>
      </c>
      <c r="N70" s="21">
        <v>9</v>
      </c>
      <c r="O70" s="21">
        <v>2</v>
      </c>
      <c r="P70" s="21">
        <v>1</v>
      </c>
      <c r="Q70" s="21"/>
      <c r="R70" s="21"/>
      <c r="S70" s="21"/>
      <c r="T70" s="21"/>
      <c r="U70" s="25">
        <v>280</v>
      </c>
      <c r="V70" s="25">
        <f>H70*U70*I70/15</f>
        <v>725004</v>
      </c>
      <c r="W70" s="25">
        <v>299.94</v>
      </c>
      <c r="X70" s="25">
        <v>806958.96</v>
      </c>
      <c r="Y70" s="25">
        <v>0</v>
      </c>
      <c r="Z70" s="25">
        <v>18570</v>
      </c>
      <c r="AA70" s="25"/>
      <c r="AB70" s="25">
        <v>4284</v>
      </c>
      <c r="AC70" s="25">
        <f>F70*30</f>
        <v>4590</v>
      </c>
      <c r="AD70" s="25">
        <f>IF(F70="",G70*3.83,F70*3.83)</f>
        <v>585.99</v>
      </c>
      <c r="AE70" s="25">
        <v>1613.91</v>
      </c>
      <c r="AF70" s="25">
        <f>V70+Y70+Z70+AA70+AB70+AC70+AD70</f>
        <v>753033.99</v>
      </c>
      <c r="AG70" s="25">
        <f>IFERROR(IFERROR((H70*W70*J70/15)-AE70,""),"")</f>
        <v>805344.66599999997</v>
      </c>
      <c r="AH70" s="26">
        <f>IFERROR(AG70-AF70,"")</f>
        <v>52310.675999999978</v>
      </c>
    </row>
    <row r="71" spans="1:34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AH70/F70</f>
        <v>341.89984313725478</v>
      </c>
    </row>
    <row r="72" spans="1:34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3"/>
      <c r="AA72" s="21"/>
      <c r="AB72" s="21"/>
      <c r="AC72" s="21"/>
      <c r="AD72" s="21"/>
      <c r="AE72" s="21"/>
      <c r="AF72" s="21"/>
      <c r="AG72" s="21"/>
      <c r="AH72" s="27">
        <f>IFERROR(AH70/AG70,"")</f>
        <v>6.4954395563104131E-2</v>
      </c>
    </row>
    <row r="73" spans="1:34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3"/>
      <c r="AA73" s="21"/>
      <c r="AB73" s="21"/>
      <c r="AC73" s="21"/>
      <c r="AD73" s="21"/>
      <c r="AE73" s="21"/>
      <c r="AF73" s="21"/>
      <c r="AG73" s="21"/>
      <c r="AH73" s="24"/>
    </row>
    <row r="74" spans="1:34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3"/>
      <c r="AA74" s="21"/>
      <c r="AB74" s="21"/>
      <c r="AC74" s="21"/>
      <c r="AD74" s="21"/>
      <c r="AE74" s="21"/>
      <c r="AF74" s="21"/>
      <c r="AG74" s="21"/>
      <c r="AH74" s="24"/>
    </row>
    <row r="75" spans="1:34" x14ac:dyDescent="0.35">
      <c r="A75" s="14" t="s">
        <v>1</v>
      </c>
      <c r="B75" s="14" t="s">
        <v>2</v>
      </c>
      <c r="C75" s="14" t="s">
        <v>110</v>
      </c>
      <c r="D75" s="14" t="s">
        <v>66</v>
      </c>
      <c r="E75" s="14"/>
      <c r="F75" s="14" t="s">
        <v>137</v>
      </c>
      <c r="G75" s="14" t="s">
        <v>138</v>
      </c>
      <c r="H75" s="14" t="s">
        <v>4</v>
      </c>
      <c r="I75" s="14" t="s">
        <v>5</v>
      </c>
      <c r="J75" s="14" t="s">
        <v>6</v>
      </c>
      <c r="K75" s="14" t="s">
        <v>7</v>
      </c>
      <c r="L75" s="14" t="s">
        <v>279</v>
      </c>
      <c r="M75" s="14" t="s">
        <v>280</v>
      </c>
      <c r="N75" s="14" t="s">
        <v>281</v>
      </c>
      <c r="O75" s="14" t="s">
        <v>282</v>
      </c>
      <c r="P75" s="14" t="s">
        <v>283</v>
      </c>
      <c r="Q75" s="14" t="s">
        <v>284</v>
      </c>
      <c r="R75" s="14" t="s">
        <v>904</v>
      </c>
      <c r="S75" s="14" t="s">
        <v>285</v>
      </c>
      <c r="T75" s="14" t="s">
        <v>289</v>
      </c>
      <c r="U75" s="14" t="s">
        <v>8</v>
      </c>
      <c r="V75" s="14" t="s">
        <v>9</v>
      </c>
      <c r="W75" s="14" t="s">
        <v>10</v>
      </c>
      <c r="X75" s="14" t="s">
        <v>100</v>
      </c>
      <c r="Y75" s="14" t="s">
        <v>106</v>
      </c>
      <c r="Z75" s="14" t="s">
        <v>12</v>
      </c>
      <c r="AA75" s="14" t="s">
        <v>11</v>
      </c>
      <c r="AB75" s="14" t="s">
        <v>13</v>
      </c>
      <c r="AC75" s="14" t="s">
        <v>74</v>
      </c>
      <c r="AD75" s="14" t="s">
        <v>21</v>
      </c>
      <c r="AE75" s="14" t="s">
        <v>14</v>
      </c>
      <c r="AF75" s="14" t="s">
        <v>15</v>
      </c>
      <c r="AG75" s="14" t="s">
        <v>16</v>
      </c>
      <c r="AH75" s="15" t="s">
        <v>17</v>
      </c>
    </row>
    <row r="76" spans="1:34" x14ac:dyDescent="0.35">
      <c r="A76" s="20">
        <v>44890</v>
      </c>
      <c r="B76" s="21" t="s">
        <v>342</v>
      </c>
      <c r="C76" s="21" t="s">
        <v>163</v>
      </c>
      <c r="D76" s="44">
        <v>140003</v>
      </c>
      <c r="E76" s="44"/>
      <c r="F76" s="21">
        <v>50</v>
      </c>
      <c r="G76" s="21"/>
      <c r="H76" s="22">
        <v>27100</v>
      </c>
      <c r="I76" s="33">
        <v>0.55000000000000004</v>
      </c>
      <c r="J76" s="24">
        <f>IFERROR(K76/H76,"")</f>
        <v>0.59457084870848709</v>
      </c>
      <c r="K76" s="22">
        <v>16112.87</v>
      </c>
      <c r="L76" s="21">
        <v>10</v>
      </c>
      <c r="M76" s="21">
        <v>20</v>
      </c>
      <c r="N76" s="21">
        <v>19</v>
      </c>
      <c r="O76" s="21">
        <v>1</v>
      </c>
      <c r="P76" s="21"/>
      <c r="Q76" s="21"/>
      <c r="R76" s="21"/>
      <c r="S76" s="21"/>
      <c r="T76" s="21"/>
      <c r="U76" s="25">
        <v>287</v>
      </c>
      <c r="V76" s="25">
        <f>H76*U76*I76/15</f>
        <v>285182.33333333331</v>
      </c>
      <c r="W76" s="25">
        <v>299.42</v>
      </c>
      <c r="X76" s="25">
        <v>321636.90000000002</v>
      </c>
      <c r="Y76" s="25">
        <v>0</v>
      </c>
      <c r="Z76" s="25">
        <v>8061.25</v>
      </c>
      <c r="AA76" s="25"/>
      <c r="AB76" s="25">
        <v>1435</v>
      </c>
      <c r="AC76" s="25">
        <f>F76*30</f>
        <v>1500</v>
      </c>
      <c r="AD76" s="25">
        <f>IF(F76="",G76*3.83,F76*3.83)</f>
        <v>191.5</v>
      </c>
      <c r="AE76" s="25">
        <v>643.27</v>
      </c>
      <c r="AF76" s="25">
        <f>V76+Y76+Z76+AA76+AB76+AC76+AD76</f>
        <v>296370.08333333331</v>
      </c>
      <c r="AG76" s="25">
        <f>IFERROR(IFERROR((H76*W76*J76/15)-AE76,""),"")</f>
        <v>320991.09902666666</v>
      </c>
      <c r="AH76" s="26">
        <f>IFERROR(AG76-AF76,"")</f>
        <v>24621.015693333349</v>
      </c>
    </row>
    <row r="77" spans="1:34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AH76/F76</f>
        <v>492.42031386666696</v>
      </c>
    </row>
    <row r="78" spans="1:34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3"/>
      <c r="AA78" s="21"/>
      <c r="AB78" s="21"/>
      <c r="AC78" s="21"/>
      <c r="AD78" s="21"/>
      <c r="AE78" s="21"/>
      <c r="AF78" s="21"/>
      <c r="AG78" s="21"/>
      <c r="AH78" s="27">
        <f>IFERROR(AH76/AG76,"")</f>
        <v>7.6703110360352808E-2</v>
      </c>
    </row>
    <row r="79" spans="1:34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3"/>
      <c r="AA79" s="21"/>
      <c r="AB79" s="21"/>
      <c r="AC79" s="21"/>
      <c r="AD79" s="21"/>
      <c r="AE79" s="21"/>
      <c r="AF79" s="21"/>
      <c r="AG79" s="21"/>
      <c r="AH79" s="24"/>
    </row>
    <row r="80" spans="1:34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4"/>
    </row>
    <row r="81" spans="1:34" x14ac:dyDescent="0.35">
      <c r="A81" s="14" t="s">
        <v>1</v>
      </c>
      <c r="B81" s="14" t="s">
        <v>2</v>
      </c>
      <c r="C81" s="14" t="s">
        <v>110</v>
      </c>
      <c r="D81" s="14" t="s">
        <v>66</v>
      </c>
      <c r="E81" s="14"/>
      <c r="F81" s="14" t="s">
        <v>137</v>
      </c>
      <c r="G81" s="14" t="s">
        <v>138</v>
      </c>
      <c r="H81" s="14" t="s">
        <v>4</v>
      </c>
      <c r="I81" s="14" t="s">
        <v>5</v>
      </c>
      <c r="J81" s="14" t="s">
        <v>6</v>
      </c>
      <c r="K81" s="14" t="s">
        <v>7</v>
      </c>
      <c r="L81" s="14" t="s">
        <v>279</v>
      </c>
      <c r="M81" s="14" t="s">
        <v>280</v>
      </c>
      <c r="N81" s="14" t="s">
        <v>281</v>
      </c>
      <c r="O81" s="14" t="s">
        <v>282</v>
      </c>
      <c r="P81" s="14" t="s">
        <v>283</v>
      </c>
      <c r="Q81" s="14" t="s">
        <v>284</v>
      </c>
      <c r="R81" s="14" t="s">
        <v>904</v>
      </c>
      <c r="S81" s="14" t="s">
        <v>285</v>
      </c>
      <c r="T81" s="14" t="s">
        <v>289</v>
      </c>
      <c r="U81" s="14" t="s">
        <v>8</v>
      </c>
      <c r="V81" s="14" t="s">
        <v>9</v>
      </c>
      <c r="W81" s="14" t="s">
        <v>10</v>
      </c>
      <c r="X81" s="14" t="s">
        <v>100</v>
      </c>
      <c r="Y81" s="14" t="s">
        <v>106</v>
      </c>
      <c r="Z81" s="14" t="s">
        <v>12</v>
      </c>
      <c r="AA81" s="14" t="s">
        <v>11</v>
      </c>
      <c r="AB81" s="14" t="s">
        <v>13</v>
      </c>
      <c r="AC81" s="14" t="s">
        <v>74</v>
      </c>
      <c r="AD81" s="14" t="s">
        <v>21</v>
      </c>
      <c r="AE81" s="14" t="s">
        <v>14</v>
      </c>
      <c r="AF81" s="14" t="s">
        <v>15</v>
      </c>
      <c r="AG81" s="14" t="s">
        <v>16</v>
      </c>
      <c r="AH81" s="15" t="s">
        <v>17</v>
      </c>
    </row>
    <row r="82" spans="1:34" x14ac:dyDescent="0.35">
      <c r="A82" s="20">
        <v>44890</v>
      </c>
      <c r="B82" s="21" t="s">
        <v>343</v>
      </c>
      <c r="C82" s="21" t="s">
        <v>163</v>
      </c>
      <c r="D82" s="44">
        <v>140003</v>
      </c>
      <c r="E82" s="44"/>
      <c r="F82" s="21">
        <v>50</v>
      </c>
      <c r="G82" s="21"/>
      <c r="H82" s="22">
        <v>27600</v>
      </c>
      <c r="I82" s="33">
        <v>0.55000000000000004</v>
      </c>
      <c r="J82" s="24">
        <f>IFERROR(K82/H82,"")</f>
        <v>0.5837996376811595</v>
      </c>
      <c r="K82" s="22">
        <v>16112.87</v>
      </c>
      <c r="L82" s="21">
        <v>10</v>
      </c>
      <c r="M82" s="21">
        <v>20</v>
      </c>
      <c r="N82" s="21">
        <v>19</v>
      </c>
      <c r="O82" s="21">
        <v>1</v>
      </c>
      <c r="P82" s="21"/>
      <c r="Q82" s="21"/>
      <c r="R82" s="21"/>
      <c r="S82" s="21"/>
      <c r="T82" s="21"/>
      <c r="U82" s="25">
        <v>287</v>
      </c>
      <c r="V82" s="25">
        <f>H82*U82*I82/15</f>
        <v>290444</v>
      </c>
      <c r="W82" s="25">
        <v>299.42</v>
      </c>
      <c r="X82" s="25">
        <v>321636.90000000002</v>
      </c>
      <c r="Y82" s="25">
        <v>0</v>
      </c>
      <c r="Z82" s="25">
        <v>8061.25</v>
      </c>
      <c r="AA82" s="25"/>
      <c r="AB82" s="25">
        <v>1435</v>
      </c>
      <c r="AC82" s="25">
        <f>F82*30</f>
        <v>1500</v>
      </c>
      <c r="AD82" s="25">
        <f>IF(F82="",G82*3.83,F82*3.83)</f>
        <v>191.5</v>
      </c>
      <c r="AE82" s="25">
        <v>643.27</v>
      </c>
      <c r="AF82" s="25">
        <f>V82+Y82+Z82+AA82+AB82+AC82+AD82</f>
        <v>301631.75</v>
      </c>
      <c r="AG82" s="25">
        <f>IFERROR(IFERROR((H82*W82*J82/15)-AE82,""),"")</f>
        <v>320991.09902666666</v>
      </c>
      <c r="AH82" s="26">
        <f>IFERROR(AG82-AF82,"")</f>
        <v>19359.349026666663</v>
      </c>
    </row>
    <row r="83" spans="1:34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3"/>
      <c r="AA83" s="21"/>
      <c r="AB83" s="21"/>
      <c r="AC83" s="21"/>
      <c r="AD83" s="21"/>
      <c r="AE83" s="21"/>
      <c r="AF83" s="21"/>
      <c r="AG83" s="21"/>
      <c r="AH83" s="26">
        <f>AH82/F82</f>
        <v>387.18698053333327</v>
      </c>
    </row>
    <row r="84" spans="1:34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3"/>
      <c r="AA84" s="21"/>
      <c r="AB84" s="21"/>
      <c r="AC84" s="21"/>
      <c r="AD84" s="21"/>
      <c r="AE84" s="21"/>
      <c r="AF84" s="21"/>
      <c r="AG84" s="21"/>
      <c r="AH84" s="27">
        <f>IFERROR(AH82/AG82,"")</f>
        <v>6.0311170887197611E-2</v>
      </c>
    </row>
    <row r="85" spans="1:34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4"/>
    </row>
    <row r="86" spans="1:34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3"/>
      <c r="AA86" s="21"/>
      <c r="AB86" s="21"/>
      <c r="AC86" s="21"/>
      <c r="AD86" s="21"/>
      <c r="AE86" s="21"/>
      <c r="AF86" s="21"/>
      <c r="AG86" s="21"/>
      <c r="AH86" s="24"/>
    </row>
    <row r="87" spans="1:34" x14ac:dyDescent="0.35">
      <c r="A87" s="14" t="s">
        <v>1</v>
      </c>
      <c r="B87" s="14" t="s">
        <v>2</v>
      </c>
      <c r="C87" s="14" t="s">
        <v>110</v>
      </c>
      <c r="D87" s="14" t="s">
        <v>66</v>
      </c>
      <c r="E87" s="14"/>
      <c r="F87" s="14" t="s">
        <v>137</v>
      </c>
      <c r="G87" s="14" t="s">
        <v>138</v>
      </c>
      <c r="H87" s="14" t="s">
        <v>4</v>
      </c>
      <c r="I87" s="14" t="s">
        <v>5</v>
      </c>
      <c r="J87" s="14" t="s">
        <v>6</v>
      </c>
      <c r="K87" s="14" t="s">
        <v>7</v>
      </c>
      <c r="L87" s="14" t="s">
        <v>279</v>
      </c>
      <c r="M87" s="14" t="s">
        <v>280</v>
      </c>
      <c r="N87" s="14" t="s">
        <v>281</v>
      </c>
      <c r="O87" s="14" t="s">
        <v>282</v>
      </c>
      <c r="P87" s="14" t="s">
        <v>283</v>
      </c>
      <c r="Q87" s="14" t="s">
        <v>284</v>
      </c>
      <c r="R87" s="14" t="s">
        <v>904</v>
      </c>
      <c r="S87" s="14" t="s">
        <v>285</v>
      </c>
      <c r="T87" s="14" t="s">
        <v>289</v>
      </c>
      <c r="U87" s="14" t="s">
        <v>8</v>
      </c>
      <c r="V87" s="14" t="s">
        <v>9</v>
      </c>
      <c r="W87" s="14" t="s">
        <v>10</v>
      </c>
      <c r="X87" s="14" t="s">
        <v>100</v>
      </c>
      <c r="Y87" s="14" t="s">
        <v>106</v>
      </c>
      <c r="Z87" s="14" t="s">
        <v>12</v>
      </c>
      <c r="AA87" s="14" t="s">
        <v>11</v>
      </c>
      <c r="AB87" s="14" t="s">
        <v>13</v>
      </c>
      <c r="AC87" s="14" t="s">
        <v>74</v>
      </c>
      <c r="AD87" s="14" t="s">
        <v>21</v>
      </c>
      <c r="AE87" s="14" t="s">
        <v>14</v>
      </c>
      <c r="AF87" s="14" t="s">
        <v>15</v>
      </c>
      <c r="AG87" s="14" t="s">
        <v>16</v>
      </c>
      <c r="AH87" s="15" t="s">
        <v>17</v>
      </c>
    </row>
    <row r="88" spans="1:34" x14ac:dyDescent="0.35">
      <c r="A88" s="20">
        <v>44890</v>
      </c>
      <c r="B88" s="21" t="s">
        <v>330</v>
      </c>
      <c r="C88" s="21" t="s">
        <v>163</v>
      </c>
      <c r="D88" s="44">
        <v>140003</v>
      </c>
      <c r="E88" s="44"/>
      <c r="F88" s="21">
        <v>100</v>
      </c>
      <c r="G88" s="21"/>
      <c r="H88" s="22">
        <v>58740</v>
      </c>
      <c r="I88" s="33">
        <v>0.55000000000000004</v>
      </c>
      <c r="J88" s="24">
        <f>IFERROR(K88/H88,"")</f>
        <v>0.54861678583588691</v>
      </c>
      <c r="K88" s="22">
        <v>32225.75</v>
      </c>
      <c r="L88" s="21">
        <v>10</v>
      </c>
      <c r="M88" s="21">
        <v>60</v>
      </c>
      <c r="N88" s="21">
        <v>20</v>
      </c>
      <c r="O88" s="21">
        <v>9</v>
      </c>
      <c r="P88" s="21">
        <v>1</v>
      </c>
      <c r="Q88" s="21"/>
      <c r="R88" s="21"/>
      <c r="S88" s="21"/>
      <c r="T88" s="21"/>
      <c r="U88" s="25">
        <v>287</v>
      </c>
      <c r="V88" s="25">
        <f>H88*U88*I88/15</f>
        <v>618140.6</v>
      </c>
      <c r="W88" s="25">
        <v>299.42</v>
      </c>
      <c r="X88" s="25">
        <v>643273.81000000006</v>
      </c>
      <c r="Y88" s="25">
        <f>F88*68.41</f>
        <v>6841</v>
      </c>
      <c r="Z88" s="25">
        <v>16122.5</v>
      </c>
      <c r="AA88" s="25"/>
      <c r="AB88" s="25">
        <v>2870</v>
      </c>
      <c r="AC88" s="25">
        <f>F88*30</f>
        <v>3000</v>
      </c>
      <c r="AD88" s="25">
        <f>IF(F88="",G88*3.83,F88*3.83)</f>
        <v>383</v>
      </c>
      <c r="AE88" s="25">
        <v>1286.55</v>
      </c>
      <c r="AF88" s="25">
        <f>V88+Y88+Z88+AA88+AB88+AC88+AD88</f>
        <v>647357.1</v>
      </c>
      <c r="AG88" s="25">
        <f>IFERROR(IFERROR((H88*W88*J88/15)-AE88,""),"")</f>
        <v>641982.38766666653</v>
      </c>
      <c r="AH88" s="26">
        <f>IFERROR(AG88-AF88,"")</f>
        <v>-5374.7123333334457</v>
      </c>
    </row>
    <row r="89" spans="1:34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3"/>
      <c r="AA89" s="21"/>
      <c r="AB89" s="21"/>
      <c r="AC89" s="21"/>
      <c r="AD89" s="21"/>
      <c r="AE89" s="21"/>
      <c r="AF89" s="21"/>
      <c r="AG89" s="21"/>
      <c r="AH89" s="26">
        <f>AH88/F88</f>
        <v>-53.747123333334457</v>
      </c>
    </row>
    <row r="90" spans="1:34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7">
        <f>IFERROR(AH88/AG88,"")</f>
        <v>-8.3720557395168486E-3</v>
      </c>
    </row>
    <row r="91" spans="1:34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3"/>
      <c r="AA91" s="21"/>
      <c r="AB91" s="21"/>
      <c r="AC91" s="21"/>
      <c r="AD91" s="21"/>
      <c r="AE91" s="21"/>
      <c r="AF91" s="21"/>
      <c r="AG91" s="21"/>
      <c r="AH91" s="24"/>
    </row>
    <row r="92" spans="1:34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3"/>
      <c r="AA92" s="21"/>
      <c r="AB92" s="21"/>
      <c r="AC92" s="21"/>
      <c r="AD92" s="21"/>
      <c r="AE92" s="21"/>
      <c r="AF92" s="21"/>
      <c r="AG92" s="21"/>
      <c r="AH92" s="24"/>
    </row>
    <row r="93" spans="1:34" x14ac:dyDescent="0.35">
      <c r="A93" s="99" t="s">
        <v>1</v>
      </c>
      <c r="B93" s="14" t="s">
        <v>2</v>
      </c>
      <c r="C93" s="14" t="s">
        <v>110</v>
      </c>
      <c r="D93" s="14" t="s">
        <v>66</v>
      </c>
      <c r="E93" s="14"/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</row>
    <row r="94" spans="1:34" x14ac:dyDescent="0.35">
      <c r="A94" s="100">
        <v>44890</v>
      </c>
      <c r="B94" s="21" t="s">
        <v>338</v>
      </c>
      <c r="C94" s="21" t="s">
        <v>339</v>
      </c>
      <c r="D94" s="44">
        <v>140148</v>
      </c>
      <c r="E94" s="44"/>
      <c r="F94" s="21"/>
      <c r="G94" s="21">
        <v>30</v>
      </c>
      <c r="H94" s="22">
        <v>10749.99</v>
      </c>
      <c r="I94" s="33">
        <v>0.5</v>
      </c>
      <c r="J94" s="24">
        <f>IFERROR(K94/H94,"")</f>
        <v>0.53860515219083926</v>
      </c>
      <c r="K94" s="22">
        <v>5790</v>
      </c>
      <c r="L94" s="21">
        <v>13</v>
      </c>
      <c r="M94" s="21">
        <v>8</v>
      </c>
      <c r="N94" s="21">
        <v>4</v>
      </c>
      <c r="O94" s="21">
        <v>4</v>
      </c>
      <c r="P94" s="21">
        <v>1</v>
      </c>
      <c r="Q94" s="21"/>
      <c r="R94" s="21"/>
      <c r="S94" s="21"/>
      <c r="T94" s="21"/>
      <c r="U94" s="25">
        <v>260</v>
      </c>
      <c r="V94" s="25">
        <f>H94*U94*I94/15</f>
        <v>93166.58</v>
      </c>
      <c r="W94" s="25">
        <v>288.13</v>
      </c>
      <c r="X94" s="25">
        <v>111219.44</v>
      </c>
      <c r="Y94" s="25">
        <v>0</v>
      </c>
      <c r="Z94" s="25">
        <v>750</v>
      </c>
      <c r="AA94" s="25">
        <v>1167.6199999999999</v>
      </c>
      <c r="AB94" s="25">
        <v>1863.33</v>
      </c>
      <c r="AC94" s="25">
        <f>G94*30</f>
        <v>900</v>
      </c>
      <c r="AD94" s="25">
        <f>IF(F94="",G94*3.83,F94*3.83)</f>
        <v>114.9</v>
      </c>
      <c r="AE94" s="25">
        <v>222.44</v>
      </c>
      <c r="AF94" s="25">
        <f>V94+Y94+Z94+AA94+AB94+AC94+AD94</f>
        <v>97962.43</v>
      </c>
      <c r="AG94" s="25">
        <f>IFERROR(IFERROR((H94*W94*J94/15)-AE94,""),"")</f>
        <v>110995.73999999999</v>
      </c>
      <c r="AH94" s="26">
        <f>IFERROR(AG94-AF94,"")</f>
        <v>13033.309999999998</v>
      </c>
    </row>
    <row r="95" spans="1:34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AH94/G94</f>
        <v>434.44366666666662</v>
      </c>
    </row>
    <row r="96" spans="1:34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3"/>
      <c r="AA96" s="21"/>
      <c r="AB96" s="21"/>
      <c r="AC96" s="21"/>
      <c r="AD96" s="21"/>
      <c r="AE96" s="21"/>
      <c r="AF96" s="21"/>
      <c r="AG96" s="21"/>
      <c r="AH96" s="27">
        <f>IFERROR(AH94/AG94,"")</f>
        <v>0.11742171366216396</v>
      </c>
    </row>
    <row r="97" spans="1:34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3"/>
      <c r="AA97" s="21"/>
      <c r="AB97" s="21"/>
      <c r="AC97" s="21"/>
      <c r="AD97" s="21"/>
      <c r="AE97" s="21"/>
      <c r="AF97" s="21"/>
      <c r="AG97" s="21"/>
      <c r="AH97" s="24"/>
    </row>
    <row r="98" spans="1:34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3"/>
      <c r="AA98" s="21"/>
      <c r="AB98" s="21"/>
      <c r="AC98" s="21"/>
      <c r="AD98" s="21"/>
      <c r="AE98" s="21"/>
      <c r="AF98" s="21"/>
      <c r="AG98" s="21"/>
      <c r="AH98" s="24"/>
    </row>
    <row r="99" spans="1:34" x14ac:dyDescent="0.35">
      <c r="A99" s="99" t="s">
        <v>1</v>
      </c>
      <c r="B99" s="14" t="s">
        <v>2</v>
      </c>
      <c r="C99" s="14" t="s">
        <v>110</v>
      </c>
      <c r="D99" s="14" t="s">
        <v>66</v>
      </c>
      <c r="E99" s="14"/>
      <c r="F99" s="14" t="s">
        <v>137</v>
      </c>
      <c r="G99" s="14" t="s">
        <v>138</v>
      </c>
      <c r="H99" s="14" t="s">
        <v>4</v>
      </c>
      <c r="I99" s="14" t="s">
        <v>5</v>
      </c>
      <c r="J99" s="14" t="s">
        <v>6</v>
      </c>
      <c r="K99" s="14" t="s">
        <v>7</v>
      </c>
      <c r="L99" s="14" t="s">
        <v>279</v>
      </c>
      <c r="M99" s="14" t="s">
        <v>280</v>
      </c>
      <c r="N99" s="14" t="s">
        <v>281</v>
      </c>
      <c r="O99" s="14" t="s">
        <v>282</v>
      </c>
      <c r="P99" s="14" t="s">
        <v>283</v>
      </c>
      <c r="Q99" s="14" t="s">
        <v>284</v>
      </c>
      <c r="R99" s="14" t="s">
        <v>904</v>
      </c>
      <c r="S99" s="14" t="s">
        <v>285</v>
      </c>
      <c r="T99" s="14" t="s">
        <v>289</v>
      </c>
      <c r="U99" s="14" t="s">
        <v>8</v>
      </c>
      <c r="V99" s="14" t="s">
        <v>9</v>
      </c>
      <c r="W99" s="14" t="s">
        <v>10</v>
      </c>
      <c r="X99" s="14" t="s">
        <v>100</v>
      </c>
      <c r="Y99" s="14" t="s">
        <v>106</v>
      </c>
      <c r="Z99" s="14" t="s">
        <v>12</v>
      </c>
      <c r="AA99" s="14" t="s">
        <v>258</v>
      </c>
      <c r="AB99" s="14" t="s">
        <v>13</v>
      </c>
      <c r="AC99" s="14" t="s">
        <v>74</v>
      </c>
      <c r="AD99" s="14" t="s">
        <v>21</v>
      </c>
      <c r="AE99" s="14" t="s">
        <v>14</v>
      </c>
      <c r="AF99" s="14" t="s">
        <v>15</v>
      </c>
      <c r="AG99" s="14" t="s">
        <v>16</v>
      </c>
      <c r="AH99" s="15" t="s">
        <v>17</v>
      </c>
    </row>
    <row r="100" spans="1:34" x14ac:dyDescent="0.35">
      <c r="A100" s="100">
        <v>44890</v>
      </c>
      <c r="B100" s="21" t="s">
        <v>338</v>
      </c>
      <c r="C100" s="21" t="s">
        <v>339</v>
      </c>
      <c r="D100" s="44">
        <v>140195</v>
      </c>
      <c r="E100" s="44"/>
      <c r="F100" s="21"/>
      <c r="G100" s="21">
        <v>20</v>
      </c>
      <c r="H100" s="22">
        <v>7166.66</v>
      </c>
      <c r="I100" s="33">
        <v>0.5</v>
      </c>
      <c r="J100" s="24">
        <f>IFERROR(K100/H100,"")</f>
        <v>0.52204234608590339</v>
      </c>
      <c r="K100" s="22">
        <v>3741.3</v>
      </c>
      <c r="L100" s="21">
        <v>5</v>
      </c>
      <c r="M100" s="21">
        <v>2</v>
      </c>
      <c r="N100" s="21">
        <v>6</v>
      </c>
      <c r="O100" s="21">
        <v>6</v>
      </c>
      <c r="P100" s="21">
        <v>1</v>
      </c>
      <c r="Q100" s="21"/>
      <c r="R100" s="21"/>
      <c r="S100" s="21"/>
      <c r="T100" s="21"/>
      <c r="U100" s="25">
        <v>260</v>
      </c>
      <c r="V100" s="25">
        <f>H100*U100*I100/15</f>
        <v>62111.05333333333</v>
      </c>
      <c r="W100" s="25">
        <v>280.89999999999998</v>
      </c>
      <c r="X100" s="25">
        <v>70061.27</v>
      </c>
      <c r="Y100" s="25">
        <v>0</v>
      </c>
      <c r="Z100" s="25">
        <v>450</v>
      </c>
      <c r="AA100" s="25">
        <v>1106.6099999999999</v>
      </c>
      <c r="AB100" s="25">
        <v>1242.22</v>
      </c>
      <c r="AC100" s="25">
        <f>G100*30</f>
        <v>600</v>
      </c>
      <c r="AD100" s="25">
        <f>IF(F100="",G100*3.83,F100*3.83)</f>
        <v>76.599999999999994</v>
      </c>
      <c r="AE100" s="25">
        <v>140.13</v>
      </c>
      <c r="AF100" s="25">
        <f>V100+Y100+Z100+AA100+AB100+AC100+AD100</f>
        <v>65586.483333333337</v>
      </c>
      <c r="AG100" s="25">
        <f>IFERROR(IFERROR((H100*W100*J100/15)-AE100,""),"")</f>
        <v>69921.947999999989</v>
      </c>
      <c r="AH100" s="26">
        <f>IFERROR(AG100-AF100,"")</f>
        <v>4335.4646666666522</v>
      </c>
    </row>
    <row r="101" spans="1:34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3"/>
      <c r="AA101" s="21"/>
      <c r="AB101" s="21"/>
      <c r="AC101" s="21"/>
      <c r="AD101" s="21"/>
      <c r="AE101" s="21"/>
      <c r="AF101" s="21"/>
      <c r="AG101" s="21"/>
      <c r="AH101" s="26">
        <f>AH100/G100</f>
        <v>216.7732333333326</v>
      </c>
    </row>
    <row r="102" spans="1:34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3"/>
      <c r="AA102" s="21"/>
      <c r="AB102" s="21"/>
      <c r="AC102" s="21"/>
      <c r="AD102" s="21"/>
      <c r="AE102" s="21"/>
      <c r="AF102" s="21"/>
      <c r="AG102" s="21"/>
      <c r="AH102" s="27">
        <f>IFERROR(AH100/AG100,"")</f>
        <v>6.2004346141309633E-2</v>
      </c>
    </row>
    <row r="103" spans="1:34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3"/>
      <c r="AA103" s="21"/>
      <c r="AB103" s="21"/>
      <c r="AC103" s="21"/>
      <c r="AD103" s="21"/>
      <c r="AE103" s="21"/>
      <c r="AF103" s="21"/>
      <c r="AG103" s="21"/>
      <c r="AH103" s="24"/>
    </row>
    <row r="104" spans="1:34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3"/>
      <c r="AA104" s="21"/>
      <c r="AB104" s="21"/>
      <c r="AC104" s="21"/>
      <c r="AD104" s="21"/>
      <c r="AE104" s="21"/>
      <c r="AF104" s="21"/>
      <c r="AG104" s="21"/>
      <c r="AH104" s="24"/>
    </row>
    <row r="105" spans="1:34" x14ac:dyDescent="0.35">
      <c r="A105" s="99" t="s">
        <v>1</v>
      </c>
      <c r="B105" s="14" t="s">
        <v>2</v>
      </c>
      <c r="C105" s="14" t="s">
        <v>110</v>
      </c>
      <c r="D105" s="14" t="s">
        <v>66</v>
      </c>
      <c r="E105" s="14"/>
      <c r="F105" s="14" t="s">
        <v>137</v>
      </c>
      <c r="G105" s="14" t="s">
        <v>138</v>
      </c>
      <c r="H105" s="14" t="s">
        <v>4</v>
      </c>
      <c r="I105" s="14" t="s">
        <v>5</v>
      </c>
      <c r="J105" s="14" t="s">
        <v>6</v>
      </c>
      <c r="K105" s="14" t="s">
        <v>7</v>
      </c>
      <c r="L105" s="14" t="s">
        <v>279</v>
      </c>
      <c r="M105" s="14" t="s">
        <v>280</v>
      </c>
      <c r="N105" s="14" t="s">
        <v>281</v>
      </c>
      <c r="O105" s="14" t="s">
        <v>282</v>
      </c>
      <c r="P105" s="14" t="s">
        <v>283</v>
      </c>
      <c r="Q105" s="14" t="s">
        <v>284</v>
      </c>
      <c r="R105" s="14" t="s">
        <v>904</v>
      </c>
      <c r="S105" s="14" t="s">
        <v>285</v>
      </c>
      <c r="T105" s="14" t="s">
        <v>289</v>
      </c>
      <c r="U105" s="14" t="s">
        <v>8</v>
      </c>
      <c r="V105" s="14" t="s">
        <v>9</v>
      </c>
      <c r="W105" s="14" t="s">
        <v>10</v>
      </c>
      <c r="X105" s="14" t="s">
        <v>100</v>
      </c>
      <c r="Y105" s="14" t="s">
        <v>106</v>
      </c>
      <c r="Z105" s="14" t="s">
        <v>12</v>
      </c>
      <c r="AA105" s="14" t="s">
        <v>258</v>
      </c>
      <c r="AB105" s="14" t="s">
        <v>13</v>
      </c>
      <c r="AC105" s="14" t="s">
        <v>74</v>
      </c>
      <c r="AD105" s="14" t="s">
        <v>21</v>
      </c>
      <c r="AE105" s="14" t="s">
        <v>14</v>
      </c>
      <c r="AF105" s="14" t="s">
        <v>15</v>
      </c>
      <c r="AG105" s="14" t="s">
        <v>16</v>
      </c>
      <c r="AH105" s="15" t="s">
        <v>17</v>
      </c>
    </row>
    <row r="106" spans="1:34" x14ac:dyDescent="0.35">
      <c r="A106" s="100">
        <v>44890</v>
      </c>
      <c r="B106" s="21" t="s">
        <v>338</v>
      </c>
      <c r="C106" s="21" t="s">
        <v>339</v>
      </c>
      <c r="D106" s="44">
        <v>140392</v>
      </c>
      <c r="E106" s="44"/>
      <c r="F106" s="21"/>
      <c r="G106" s="21">
        <v>64</v>
      </c>
      <c r="H106" s="22">
        <v>22933.32</v>
      </c>
      <c r="I106" s="33">
        <v>0.5</v>
      </c>
      <c r="J106" s="24">
        <f>IFERROR(K106/H106,"")</f>
        <v>0.48774010915122623</v>
      </c>
      <c r="K106" s="22">
        <v>11185.5</v>
      </c>
      <c r="L106" s="21">
        <v>25</v>
      </c>
      <c r="M106" s="21">
        <v>6</v>
      </c>
      <c r="N106" s="21">
        <v>17</v>
      </c>
      <c r="O106" s="21">
        <v>14</v>
      </c>
      <c r="P106" s="21">
        <v>2</v>
      </c>
      <c r="Q106" s="21"/>
      <c r="R106" s="21"/>
      <c r="S106" s="21"/>
      <c r="T106" s="21"/>
      <c r="U106" s="25">
        <v>260</v>
      </c>
      <c r="V106" s="25">
        <f>H106*U106*I106/15</f>
        <v>198755.44</v>
      </c>
      <c r="W106" s="25">
        <v>292.99</v>
      </c>
      <c r="X106" s="25">
        <v>218479.84</v>
      </c>
      <c r="Y106" s="25">
        <v>0</v>
      </c>
      <c r="Z106" s="25">
        <v>17535.2</v>
      </c>
      <c r="AA106" s="25">
        <v>6621.66</v>
      </c>
      <c r="AB106" s="25">
        <v>3975.1</v>
      </c>
      <c r="AC106" s="25">
        <f>G106*30</f>
        <v>1920</v>
      </c>
      <c r="AD106" s="25">
        <f>IF(F106="",G106*3.83,F106*3.83)</f>
        <v>245.12</v>
      </c>
      <c r="AE106" s="25">
        <v>436.96</v>
      </c>
      <c r="AF106" s="25">
        <f>V106+Y106+Z106+AA106+AB106+AC106+AD106</f>
        <v>229052.52000000002</v>
      </c>
      <c r="AG106" s="25">
        <f>IFERROR(IFERROR((H106*W106*J106/15)-AE106,""),"")</f>
        <v>218045.68300000002</v>
      </c>
      <c r="AH106" s="26">
        <f>IFERROR(AG106-AF106,"")</f>
        <v>-11006.837</v>
      </c>
    </row>
    <row r="107" spans="1:34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3"/>
      <c r="AA107" s="21"/>
      <c r="AB107" s="21"/>
      <c r="AC107" s="21"/>
      <c r="AD107" s="21"/>
      <c r="AE107" s="21"/>
      <c r="AF107" s="21"/>
      <c r="AG107" s="21"/>
      <c r="AH107" s="26">
        <f>AH106/G106</f>
        <v>-171.98182812499999</v>
      </c>
    </row>
    <row r="108" spans="1:34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3"/>
      <c r="AA108" s="21"/>
      <c r="AB108" s="21"/>
      <c r="AC108" s="21"/>
      <c r="AD108" s="21"/>
      <c r="AE108" s="21"/>
      <c r="AF108" s="21"/>
      <c r="AG108" s="21"/>
      <c r="AH108" s="27">
        <f>IFERROR(AH106/AG106,"")</f>
        <v>-5.0479499747766152E-2</v>
      </c>
    </row>
    <row r="109" spans="1:34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3"/>
      <c r="AA109" s="21"/>
      <c r="AB109" s="21"/>
      <c r="AC109" s="21"/>
      <c r="AD109" s="21"/>
      <c r="AE109" s="21"/>
      <c r="AF109" s="21"/>
      <c r="AG109" s="21"/>
      <c r="AH109" s="24"/>
    </row>
    <row r="110" spans="1:34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4"/>
    </row>
    <row r="111" spans="1:34" ht="15" thickBot="1" x14ac:dyDescent="0.4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3"/>
      <c r="AA111" s="21"/>
      <c r="AB111" s="21"/>
      <c r="AC111" s="21"/>
      <c r="AD111" s="21"/>
      <c r="AE111" s="21"/>
      <c r="AF111" s="21"/>
      <c r="AG111" s="21"/>
      <c r="AH111" s="24"/>
    </row>
    <row r="112" spans="1:34" ht="16" thickBot="1" x14ac:dyDescent="0.4">
      <c r="A112" s="377" t="s">
        <v>327</v>
      </c>
      <c r="B112" s="378"/>
      <c r="C112" s="378"/>
      <c r="D112" s="378"/>
      <c r="E112" s="378"/>
      <c r="F112" s="378"/>
      <c r="G112" s="378"/>
      <c r="H112" s="378"/>
      <c r="I112" s="378"/>
      <c r="J112" s="378"/>
      <c r="K112" s="378"/>
      <c r="L112" s="46"/>
      <c r="M112" s="46"/>
      <c r="N112" s="46"/>
      <c r="O112" s="46"/>
      <c r="P112" s="46"/>
      <c r="Q112" s="46"/>
      <c r="R112" s="46"/>
      <c r="S112" s="46"/>
      <c r="T112" s="46"/>
      <c r="U112" s="30"/>
      <c r="V112" s="31">
        <f>V4+V10+V16+V22+V28+V34+V40+V46+V52+V58+V64+V70+V76+V82+V88+V94+V100+V106</f>
        <v>7220765.9121333342</v>
      </c>
      <c r="W112" s="30"/>
      <c r="X112" s="30"/>
      <c r="Y112" s="31">
        <f>Y4+Y10+Y16+Y22+Y28+Y34+Y40+Y46+Y52+Y58+Y64+Y70+Y76+Y82+Y88+Y94+Y100+Y106</f>
        <v>58490.55</v>
      </c>
      <c r="Z112" s="31">
        <f>Z4+Z10+Z16+Z22+Z28+Z34+Z40+Z46+Z52+Z58+Z64+Z70+Z76+Z82+Z88+Z94+Z100+Z106</f>
        <v>210383.77000000002</v>
      </c>
      <c r="AA112" s="31">
        <f>AA4+AA10+AA16+AA22+AA28+AA34+AA40+AA46+AA52+AA58+AA64+AA70+AA76+AA82+AA88+AA94+AA100+AA106</f>
        <v>9344.2999999999993</v>
      </c>
      <c r="AB112" s="31">
        <f>AB4+AB10+AB16+AB16+AB22+AB28+AB34+AB40+AB46+AB52+AB58+AB64+AB70+AB76+AB82+AB88+AB94+AB100+AB106</f>
        <v>43199.21</v>
      </c>
      <c r="AC112" s="31">
        <f>AC4+AC10+AC16+AC22+AC28+AC34+AC40+AC46+AC52+AC58+AC64+AC70+AC76+AC82+AC88+AC94+AC100+AC106</f>
        <v>41850</v>
      </c>
      <c r="AD112" s="31">
        <f>AD4+AD10+AD16+AD22+AD28+AD34+AD40+AD46+AD52+AD58+AD64+AD70+AD76+AD82+AD88+AD94+AD100+AD106</f>
        <v>5342.85</v>
      </c>
      <c r="AE112" s="31">
        <f>AE4+AE10+AE16+AE22+AE28+AE34+AE40+AE46+AE52+AE58+AE64+AE70+AE76+AE82+AE88+AE94+AE100+AE106</f>
        <v>15698.469999999998</v>
      </c>
      <c r="AF112" s="31">
        <f>AF4+AF10+AF16+AF22+AF28+AF34+AF40+AF46+AF52+AF58+AF64+AF70+AF76+AF82+AF88+AF94+AF100+AF106</f>
        <v>7582376.592133332</v>
      </c>
      <c r="AG112" s="31">
        <f>AG4+AG10+AG16+AG22+AG28+AG34+AG40+AG46+AG52+AG58+AG64+AG70+AG76+AG82+AG88+AG94+AG100+AG106</f>
        <v>7832783.8075600024</v>
      </c>
      <c r="AH112" s="32"/>
    </row>
  </sheetData>
  <mergeCells count="2">
    <mergeCell ref="U2:AC2"/>
    <mergeCell ref="A112:K11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7"/>
  <dimension ref="A1:BG53"/>
  <sheetViews>
    <sheetView zoomScale="70" zoomScaleNormal="70" workbookViewId="0"/>
  </sheetViews>
  <sheetFormatPr defaultRowHeight="14.5" x14ac:dyDescent="0.35"/>
  <cols>
    <col min="1" max="1" width="12.1796875" customWidth="1"/>
    <col min="2" max="2" width="21.453125" customWidth="1"/>
    <col min="3" max="3" width="29.4531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44893</v>
      </c>
      <c r="B4" s="21" t="s">
        <v>342</v>
      </c>
      <c r="C4" s="21" t="s">
        <v>163</v>
      </c>
      <c r="D4" s="44">
        <v>139749</v>
      </c>
      <c r="E4" s="44"/>
      <c r="F4" s="21">
        <v>50</v>
      </c>
      <c r="G4" s="21"/>
      <c r="H4" s="22">
        <v>28140</v>
      </c>
      <c r="I4" s="33">
        <v>0.55000000000000004</v>
      </c>
      <c r="J4" s="24">
        <f>IFERROR(K4/H4,"")</f>
        <v>0.57309879175550815</v>
      </c>
      <c r="K4" s="22">
        <v>16127</v>
      </c>
      <c r="L4" s="21">
        <v>10</v>
      </c>
      <c r="M4" s="21">
        <v>35</v>
      </c>
      <c r="N4" s="21">
        <v>5</v>
      </c>
      <c r="O4" s="21"/>
      <c r="P4" s="21"/>
      <c r="Q4" s="21"/>
      <c r="R4" s="21"/>
      <c r="S4" s="21"/>
      <c r="T4" s="21"/>
      <c r="U4" s="25">
        <v>287</v>
      </c>
      <c r="V4" s="25">
        <f>H4*U4*I4/15</f>
        <v>296126.59999999998</v>
      </c>
      <c r="W4" s="25">
        <v>297.20999999999998</v>
      </c>
      <c r="X4" s="25">
        <v>319540.08</v>
      </c>
      <c r="Y4" s="25">
        <v>0</v>
      </c>
      <c r="Z4" s="25">
        <v>8226.7000000000007</v>
      </c>
      <c r="AA4" s="25">
        <v>1050</v>
      </c>
      <c r="AB4" s="25">
        <v>1435</v>
      </c>
      <c r="AC4" s="25">
        <f>F4*30</f>
        <v>1500</v>
      </c>
      <c r="AD4" s="25">
        <f>F4*3.83</f>
        <v>191.5</v>
      </c>
      <c r="AE4" s="25">
        <v>639.07000000000005</v>
      </c>
      <c r="AF4" s="25">
        <f>V4+Y4+Z4+AA4+AB4+AC4+AD4</f>
        <v>308529.8</v>
      </c>
      <c r="AG4" s="25">
        <f>IFERROR(IFERROR((H4*W4*J4/15)-AE4,""),"")</f>
        <v>318901.30799999996</v>
      </c>
      <c r="AH4" s="26">
        <f>IFERROR(AG4-AF4,"")</f>
        <v>10371.507999999973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207.43015999999946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3.2522626090953424E-2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K9" s="63"/>
    </row>
    <row r="10" spans="1:38" x14ac:dyDescent="0.35">
      <c r="A10" s="20">
        <v>44893</v>
      </c>
      <c r="B10" s="21" t="s">
        <v>343</v>
      </c>
      <c r="C10" s="21" t="s">
        <v>163</v>
      </c>
      <c r="D10" s="44">
        <v>139749</v>
      </c>
      <c r="E10" s="44"/>
      <c r="F10" s="21">
        <v>28</v>
      </c>
      <c r="G10" s="21"/>
      <c r="H10" s="22">
        <v>15360</v>
      </c>
      <c r="I10" s="33">
        <v>0.55000000000000004</v>
      </c>
      <c r="J10" s="24">
        <f>IFERROR(K10/H10,"")</f>
        <v>0.58796354166666676</v>
      </c>
      <c r="K10" s="22">
        <v>9031.1200000000008</v>
      </c>
      <c r="L10" s="21">
        <v>10</v>
      </c>
      <c r="M10" s="21">
        <v>15</v>
      </c>
      <c r="N10" s="21">
        <v>3</v>
      </c>
      <c r="O10" s="21"/>
      <c r="P10" s="21"/>
      <c r="Q10" s="21"/>
      <c r="R10" s="21"/>
      <c r="S10" s="21"/>
      <c r="T10" s="21"/>
      <c r="U10" s="25">
        <v>287</v>
      </c>
      <c r="V10" s="25">
        <f>H10*U10*I10/15</f>
        <v>161638.39999999999</v>
      </c>
      <c r="W10" s="25">
        <v>297.20999999999998</v>
      </c>
      <c r="X10" s="25">
        <v>178942.44</v>
      </c>
      <c r="Y10" s="25">
        <v>0</v>
      </c>
      <c r="Z10" s="25">
        <v>4606.95</v>
      </c>
      <c r="AA10" s="25">
        <v>0</v>
      </c>
      <c r="AB10" s="25">
        <v>803.6</v>
      </c>
      <c r="AC10" s="25">
        <f>F10*30</f>
        <v>840</v>
      </c>
      <c r="AD10" s="25">
        <f>IF(F10="",G10*3.83,F10*3.83)</f>
        <v>107.24000000000001</v>
      </c>
      <c r="AE10" s="25">
        <v>357.88</v>
      </c>
      <c r="AF10" s="25">
        <f>V10+Y10+Z10+AA10+AB10+AC10+AD10</f>
        <v>167996.19</v>
      </c>
      <c r="AG10" s="25">
        <f>IFERROR(IFERROR((H10*W10*J10/15)-AE10,""),"")</f>
        <v>178584.73168000003</v>
      </c>
      <c r="AH10" s="26">
        <f>IFERROR(AG10-AF10,"")</f>
        <v>10588.541680000024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378.16220285714371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5.9291416351165312E-2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20">
        <v>44893</v>
      </c>
      <c r="B16" s="21" t="s">
        <v>330</v>
      </c>
      <c r="C16" s="21" t="s">
        <v>163</v>
      </c>
      <c r="D16" s="44">
        <v>139749</v>
      </c>
      <c r="E16" s="44"/>
      <c r="F16" s="21">
        <v>22</v>
      </c>
      <c r="G16" s="21"/>
      <c r="H16" s="22">
        <v>13850</v>
      </c>
      <c r="I16" s="33">
        <v>0.55000000000000004</v>
      </c>
      <c r="J16" s="24">
        <f>IFERROR(K16/H16,"")</f>
        <v>0.51233790613718411</v>
      </c>
      <c r="K16" s="22">
        <v>7095.88</v>
      </c>
      <c r="L16" s="21">
        <v>10</v>
      </c>
      <c r="M16" s="21">
        <v>6</v>
      </c>
      <c r="N16" s="21">
        <v>5</v>
      </c>
      <c r="O16" s="21">
        <v>1</v>
      </c>
      <c r="P16" s="21"/>
      <c r="Q16" s="21"/>
      <c r="R16" s="21"/>
      <c r="S16" s="21"/>
      <c r="T16" s="21"/>
      <c r="U16" s="25">
        <v>287</v>
      </c>
      <c r="V16" s="25">
        <f>H16*U16*I16/15</f>
        <v>145748.16666666666</v>
      </c>
      <c r="W16" s="25">
        <v>297.20999999999998</v>
      </c>
      <c r="X16" s="25">
        <v>140597.63</v>
      </c>
      <c r="Y16" s="25">
        <f>F16*68.41</f>
        <v>1505.02</v>
      </c>
      <c r="Z16" s="25">
        <v>3619.74</v>
      </c>
      <c r="AA16" s="25">
        <v>0</v>
      </c>
      <c r="AB16" s="25">
        <v>631.4</v>
      </c>
      <c r="AC16" s="25">
        <f>F16*30</f>
        <v>660</v>
      </c>
      <c r="AD16" s="25">
        <f>IF(F16="",G16*3.83,F16*3.83)</f>
        <v>84.26</v>
      </c>
      <c r="AE16" s="25">
        <v>281.19</v>
      </c>
      <c r="AF16" s="25">
        <f>V16+Y16+Z16+AA16+AB16+AC16+AD16</f>
        <v>152248.58666666664</v>
      </c>
      <c r="AG16" s="25">
        <f>IFERROR(IFERROR((H16*W16*J16/15)-AE16,""),"")</f>
        <v>140316.57631999996</v>
      </c>
      <c r="AH16" s="26">
        <f>IFERROR(AG16-AF16,"")</f>
        <v>-11932.010346666677</v>
      </c>
      <c r="AJ16">
        <f>F4+G4+F10+G10+F16+G16+F22+G22+F28+G28+F34+G34+F40+G40+F46+G46</f>
        <v>897</v>
      </c>
      <c r="AK16" s="50" t="s">
        <v>22</v>
      </c>
      <c r="AL16" t="s">
        <v>72</v>
      </c>
    </row>
    <row r="17" spans="1:37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-542.36410666666711</v>
      </c>
      <c r="AJ17" s="11">
        <f>AH4+AH10+AH16+AH22+AH28+AH34+AH40+AH46</f>
        <v>6444.7753333338187</v>
      </c>
      <c r="AK17" s="11">
        <f>AJ17*30%</f>
        <v>1933.4326000001456</v>
      </c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-8.5036356071395633E-2</v>
      </c>
      <c r="AJ18" s="11"/>
      <c r="AK18" s="11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J20" t="s">
        <v>360</v>
      </c>
    </row>
    <row r="21" spans="1:37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</row>
    <row r="22" spans="1:37" x14ac:dyDescent="0.35">
      <c r="A22" s="20">
        <v>44893</v>
      </c>
      <c r="B22" s="21" t="s">
        <v>345</v>
      </c>
      <c r="C22" s="21" t="s">
        <v>346</v>
      </c>
      <c r="D22" s="44">
        <v>140147</v>
      </c>
      <c r="E22" s="44"/>
      <c r="F22" s="21">
        <v>120</v>
      </c>
      <c r="G22" s="21"/>
      <c r="H22" s="22">
        <v>51000</v>
      </c>
      <c r="I22" s="33">
        <v>0.5</v>
      </c>
      <c r="J22" s="24">
        <f>IFERROR(K22/H22,"")</f>
        <v>0.52958823529411769</v>
      </c>
      <c r="K22" s="22">
        <v>27009</v>
      </c>
      <c r="L22" s="21">
        <v>66</v>
      </c>
      <c r="M22" s="21">
        <v>45</v>
      </c>
      <c r="N22" s="21">
        <v>7</v>
      </c>
      <c r="O22" s="21">
        <v>1</v>
      </c>
      <c r="P22" s="21"/>
      <c r="Q22" s="21">
        <v>1</v>
      </c>
      <c r="R22" s="21"/>
      <c r="S22" s="21"/>
      <c r="T22" s="21"/>
      <c r="U22" s="25">
        <v>275</v>
      </c>
      <c r="V22" s="25">
        <f>H22*U22*I22/15</f>
        <v>467500</v>
      </c>
      <c r="W22" s="25">
        <v>293.91000000000003</v>
      </c>
      <c r="X22" s="25">
        <v>529216.18999999994</v>
      </c>
      <c r="Y22" s="25">
        <v>0</v>
      </c>
      <c r="Z22" s="25">
        <v>23855.4</v>
      </c>
      <c r="AA22" s="25">
        <v>0</v>
      </c>
      <c r="AB22" s="25">
        <v>3300</v>
      </c>
      <c r="AC22" s="25">
        <f>F22*30</f>
        <v>3600</v>
      </c>
      <c r="AD22" s="25">
        <f>IF(F22="",G22*3.83,F22*3.83)</f>
        <v>459.6</v>
      </c>
      <c r="AE22" s="25">
        <v>1058.44</v>
      </c>
      <c r="AF22" s="25">
        <f>V22+Y22+Z22+AA22+AB22+AC22+AD22</f>
        <v>498715</v>
      </c>
      <c r="AG22" s="25">
        <f>IFERROR(IFERROR((H22*W22*J22/15)-AE22,""),"")</f>
        <v>528155.90600000019</v>
      </c>
      <c r="AH22" s="26">
        <f>IFERROR(AG22-AF22,"")</f>
        <v>29440.906000000192</v>
      </c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245.34088333333494</v>
      </c>
    </row>
    <row r="24" spans="1:3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5.5742832117454691E-2</v>
      </c>
    </row>
    <row r="25" spans="1:3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7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7" x14ac:dyDescent="0.35">
      <c r="A28" s="20">
        <v>44894</v>
      </c>
      <c r="B28" s="21" t="s">
        <v>330</v>
      </c>
      <c r="C28" s="21" t="s">
        <v>124</v>
      </c>
      <c r="D28" s="44">
        <v>139751</v>
      </c>
      <c r="E28" s="44"/>
      <c r="F28" s="21">
        <v>227</v>
      </c>
      <c r="G28" s="21"/>
      <c r="H28" s="22">
        <v>111800</v>
      </c>
      <c r="I28" s="33">
        <v>0.54500000000000004</v>
      </c>
      <c r="J28" s="24">
        <f>IFERROR(K28/H28,"")</f>
        <v>0.54516994633273708</v>
      </c>
      <c r="K28" s="22">
        <v>60950</v>
      </c>
      <c r="L28" s="21">
        <v>119</v>
      </c>
      <c r="M28" s="21">
        <v>94</v>
      </c>
      <c r="N28" s="21">
        <v>12</v>
      </c>
      <c r="O28" s="21">
        <v>1</v>
      </c>
      <c r="P28" s="21">
        <v>1</v>
      </c>
      <c r="Q28" s="21"/>
      <c r="R28" s="21"/>
      <c r="S28" s="21"/>
      <c r="T28" s="21"/>
      <c r="U28" s="25">
        <v>285</v>
      </c>
      <c r="V28" s="25">
        <f>H28*U28*I28/15</f>
        <v>1157689</v>
      </c>
      <c r="W28" s="25">
        <v>295.94</v>
      </c>
      <c r="X28" s="25">
        <v>1202519.56</v>
      </c>
      <c r="Y28" s="25">
        <f>F28*60</f>
        <v>13620</v>
      </c>
      <c r="Z28" s="25">
        <v>51630</v>
      </c>
      <c r="AA28" s="25">
        <v>0</v>
      </c>
      <c r="AB28" s="25">
        <v>6469.5</v>
      </c>
      <c r="AC28" s="25">
        <f>F28*30</f>
        <v>6810</v>
      </c>
      <c r="AD28" s="25">
        <f>IF(F28="",G28*3.83,F28*3.83)</f>
        <v>869.41</v>
      </c>
      <c r="AE28" s="25">
        <v>2405.0300000000002</v>
      </c>
      <c r="AF28" s="25">
        <f>V28+Y28+Z28+AA28+AB28+AC28+AD28</f>
        <v>1237087.9099999999</v>
      </c>
      <c r="AG28" s="25">
        <f>IFERROR(IFERROR((H28*W28*J28/15)-AE28,""),"")</f>
        <v>1200097.8366666667</v>
      </c>
      <c r="AH28" s="26">
        <f>IFERROR(AG28-AF28,"")</f>
        <v>-36990.073333333246</v>
      </c>
    </row>
    <row r="29" spans="1:37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-162.95186490455174</v>
      </c>
      <c r="AJ29" s="11"/>
      <c r="AK29" s="11"/>
    </row>
    <row r="30" spans="1:37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-3.082254813163823E-2</v>
      </c>
      <c r="AJ30" s="11"/>
      <c r="AK30" s="11"/>
    </row>
    <row r="31" spans="1:37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7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59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59" x14ac:dyDescent="0.35">
      <c r="A34" s="20">
        <v>44895</v>
      </c>
      <c r="B34" s="21" t="s">
        <v>347</v>
      </c>
      <c r="C34" s="21" t="s">
        <v>348</v>
      </c>
      <c r="D34" s="44">
        <v>139752</v>
      </c>
      <c r="E34" s="44"/>
      <c r="F34" s="21">
        <v>50</v>
      </c>
      <c r="G34" s="21"/>
      <c r="H34" s="22">
        <v>26020</v>
      </c>
      <c r="I34" s="33">
        <v>0.55000000000000004</v>
      </c>
      <c r="J34" s="24">
        <f>IFERROR(K34/H34,"")</f>
        <v>0.61235588009223674</v>
      </c>
      <c r="K34" s="22">
        <v>15933.5</v>
      </c>
      <c r="L34" s="21">
        <v>14</v>
      </c>
      <c r="M34" s="21">
        <v>10</v>
      </c>
      <c r="N34" s="21">
        <v>16</v>
      </c>
      <c r="O34" s="21">
        <v>10</v>
      </c>
      <c r="P34" s="21"/>
      <c r="Q34" s="21"/>
      <c r="R34" s="21"/>
      <c r="S34" s="21"/>
      <c r="T34" s="21"/>
      <c r="U34" s="25">
        <v>275</v>
      </c>
      <c r="V34" s="25">
        <f>H34*U34*I34/15</f>
        <v>262368.33333333337</v>
      </c>
      <c r="W34" s="25">
        <v>289.24</v>
      </c>
      <c r="X34" s="25">
        <v>307243.39</v>
      </c>
      <c r="Y34" s="25">
        <v>0</v>
      </c>
      <c r="Z34" s="25">
        <v>11780.6</v>
      </c>
      <c r="AA34" s="25">
        <v>0</v>
      </c>
      <c r="AB34" s="25">
        <v>1375</v>
      </c>
      <c r="AC34" s="25">
        <f>F34*30</f>
        <v>1500</v>
      </c>
      <c r="AD34" s="25">
        <f>IF(F34="",G34*3.83,F34*3.83)</f>
        <v>191.5</v>
      </c>
      <c r="AE34" s="25">
        <v>614.48</v>
      </c>
      <c r="AF34" s="25">
        <f>V34+Y34+Z34+AA34+AB34+AC34+AD34</f>
        <v>277215.43333333335</v>
      </c>
      <c r="AG34" s="25">
        <f>IFERROR(IFERROR((H34*W34*J34/15)-AE34,""),"")</f>
        <v>306625.88933333335</v>
      </c>
      <c r="AH34" s="26">
        <f>IFERROR(AG34-AF34,"")</f>
        <v>29410.456000000006</v>
      </c>
    </row>
    <row r="35" spans="1:59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588.2091200000001</v>
      </c>
    </row>
    <row r="36" spans="1:59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9.5916414833542851E-2</v>
      </c>
    </row>
    <row r="37" spans="1:59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59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59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47"/>
    </row>
    <row r="40" spans="1:59" x14ac:dyDescent="0.35">
      <c r="A40" s="20">
        <v>44895</v>
      </c>
      <c r="B40" s="21" t="s">
        <v>349</v>
      </c>
      <c r="C40" s="21" t="s">
        <v>341</v>
      </c>
      <c r="D40" s="44">
        <v>139752</v>
      </c>
      <c r="E40" s="44"/>
      <c r="F40" s="21">
        <v>200</v>
      </c>
      <c r="G40" s="21"/>
      <c r="H40" s="22">
        <v>117915</v>
      </c>
      <c r="I40" s="33">
        <v>0.55000000000000004</v>
      </c>
      <c r="J40" s="24">
        <f>IFERROR(K40/H40,"")</f>
        <v>0.54050799304583808</v>
      </c>
      <c r="K40" s="22">
        <v>63734</v>
      </c>
      <c r="L40" s="21">
        <v>20</v>
      </c>
      <c r="M40" s="21">
        <v>16</v>
      </c>
      <c r="N40" s="21">
        <v>75</v>
      </c>
      <c r="O40" s="21">
        <v>77</v>
      </c>
      <c r="P40" s="21">
        <v>12</v>
      </c>
      <c r="Q40" s="21"/>
      <c r="R40" s="21"/>
      <c r="S40" s="21"/>
      <c r="T40" s="21"/>
      <c r="U40" s="25">
        <v>280</v>
      </c>
      <c r="V40" s="25">
        <f>H40*U40*I40/15</f>
        <v>1210594</v>
      </c>
      <c r="W40" s="25">
        <v>289.24</v>
      </c>
      <c r="X40" s="25">
        <v>1228973.57</v>
      </c>
      <c r="Y40" s="25">
        <v>0</v>
      </c>
      <c r="Z40" s="25">
        <v>21714</v>
      </c>
      <c r="AA40" s="25">
        <v>2000</v>
      </c>
      <c r="AB40" s="25">
        <v>5600</v>
      </c>
      <c r="AC40" s="25">
        <f>F40*30</f>
        <v>6000</v>
      </c>
      <c r="AD40" s="25">
        <f>IF(F40="",G40*3.83,F40*3.83)</f>
        <v>766</v>
      </c>
      <c r="AE40" s="25">
        <v>2457.9299999999998</v>
      </c>
      <c r="AF40" s="25">
        <f>V40+Y40+Z40+AA40+AB40+AC40+AD40</f>
        <v>1246674</v>
      </c>
      <c r="AG40" s="25">
        <f>IFERROR(IFERROR((H40*W40*J40/15)-AE40,""),"")</f>
        <v>1226503.5473333334</v>
      </c>
      <c r="AH40" s="26">
        <f>IFERROR(AG40-AF40,"")</f>
        <v>-20170.452666666592</v>
      </c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47"/>
    </row>
    <row r="41" spans="1:59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-100.85226333333296</v>
      </c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4"/>
    </row>
    <row r="42" spans="1:59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-1.6445490688160855E-2</v>
      </c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4"/>
    </row>
    <row r="43" spans="1:59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4"/>
    </row>
    <row r="44" spans="1:59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4"/>
    </row>
    <row r="45" spans="1:59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11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4"/>
    </row>
    <row r="46" spans="1:59" x14ac:dyDescent="0.35">
      <c r="A46" s="20">
        <v>44897</v>
      </c>
      <c r="B46" s="21" t="s">
        <v>330</v>
      </c>
      <c r="C46" s="21" t="s">
        <v>332</v>
      </c>
      <c r="D46" s="44">
        <v>140088</v>
      </c>
      <c r="E46" s="44"/>
      <c r="F46" s="21">
        <v>200</v>
      </c>
      <c r="G46" s="21"/>
      <c r="H46" s="22">
        <v>97247</v>
      </c>
      <c r="I46" s="33">
        <v>0.55000000000000004</v>
      </c>
      <c r="J46" s="24">
        <f>IFERROR(K46/H46,"")</f>
        <v>0.5537960039898403</v>
      </c>
      <c r="K46" s="22">
        <v>53855</v>
      </c>
      <c r="L46" s="21">
        <v>62</v>
      </c>
      <c r="M46" s="21">
        <v>108</v>
      </c>
      <c r="N46" s="21">
        <v>25</v>
      </c>
      <c r="O46" s="21">
        <v>3</v>
      </c>
      <c r="P46" s="21">
        <v>1</v>
      </c>
      <c r="Q46" s="21"/>
      <c r="R46" s="21"/>
      <c r="S46" s="21"/>
      <c r="T46" s="21">
        <v>1</v>
      </c>
      <c r="U46" s="25">
        <v>285</v>
      </c>
      <c r="V46" s="25">
        <f>H46*U46*I46/15</f>
        <v>1016231.1500000001</v>
      </c>
      <c r="W46" s="25">
        <v>299.85000000000002</v>
      </c>
      <c r="X46" s="25">
        <v>1076542.8700000001</v>
      </c>
      <c r="Y46" s="25">
        <f>F46*60</f>
        <v>12000</v>
      </c>
      <c r="Z46" s="25">
        <v>40138.400000000001</v>
      </c>
      <c r="AA46" s="25"/>
      <c r="AB46" s="25">
        <v>5700</v>
      </c>
      <c r="AC46" s="25">
        <f>F46*30</f>
        <v>6000</v>
      </c>
      <c r="AD46" s="25">
        <f>IF(F46="",G46*3.83,F46*3.83)</f>
        <v>766</v>
      </c>
      <c r="AE46" s="25">
        <v>0</v>
      </c>
      <c r="AF46" s="25">
        <f>V46+Y46+Z46+AA46+AB46+AC46+AD46</f>
        <v>1080835.55</v>
      </c>
      <c r="AG46" s="25">
        <f>IFERROR(IFERROR((H46*W46*J46/15)-AE46,""),"")</f>
        <v>1076561.4500000002</v>
      </c>
      <c r="AH46" s="26">
        <f>IFERROR(AG46-AF46,"")</f>
        <v>-4274.0999999998603</v>
      </c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4"/>
    </row>
    <row r="47" spans="1:59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-21.3704999999993</v>
      </c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4"/>
    </row>
    <row r="48" spans="1:59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-3.9701403017912817E-3</v>
      </c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4"/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4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4"/>
    </row>
    <row r="51" spans="1:5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3"/>
      <c r="AA51" s="21"/>
      <c r="AB51" s="21"/>
      <c r="AC51" s="21"/>
      <c r="AD51" s="21"/>
      <c r="AE51" s="21"/>
      <c r="AF51" s="21"/>
      <c r="AG51" s="21"/>
      <c r="AH51" s="24"/>
    </row>
    <row r="52" spans="1:59" ht="15" thickBot="1" x14ac:dyDescent="0.4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3"/>
      <c r="AA52" s="21"/>
      <c r="AB52" s="21"/>
      <c r="AC52" s="21"/>
      <c r="AD52" s="21"/>
      <c r="AE52" s="21"/>
      <c r="AF52" s="21"/>
      <c r="AG52" s="21"/>
      <c r="AH52" s="48"/>
    </row>
    <row r="53" spans="1:59" ht="16" thickBot="1" x14ac:dyDescent="0.4">
      <c r="A53" s="377" t="s">
        <v>344</v>
      </c>
      <c r="B53" s="378"/>
      <c r="C53" s="378"/>
      <c r="D53" s="378"/>
      <c r="E53" s="378"/>
      <c r="F53" s="378"/>
      <c r="G53" s="378"/>
      <c r="H53" s="378"/>
      <c r="I53" s="378"/>
      <c r="J53" s="378"/>
      <c r="K53" s="378"/>
      <c r="L53" s="46"/>
      <c r="M53" s="46"/>
      <c r="N53" s="46"/>
      <c r="O53" s="46"/>
      <c r="P53" s="46"/>
      <c r="Q53" s="46"/>
      <c r="R53" s="46"/>
      <c r="S53" s="46"/>
      <c r="T53" s="46"/>
      <c r="U53" s="30"/>
      <c r="V53" s="31">
        <f>V4+V10+V16+V22+V28+V34+V40+V46</f>
        <v>4717895.6500000004</v>
      </c>
      <c r="W53" s="30"/>
      <c r="X53" s="30"/>
      <c r="Y53" s="31">
        <f>Y4+Y10+Y16+Y22+Y28+Y34+Y40+Y46</f>
        <v>27125.02</v>
      </c>
      <c r="Z53" s="31">
        <f>Z4+Z10+Z16+Z22+Z28+Z34+Z40+Z46</f>
        <v>165571.79</v>
      </c>
      <c r="AA53" s="31">
        <f>AA4+AA10+AA16+AA22+AA28+AA34+AA40+AA46</f>
        <v>3050</v>
      </c>
      <c r="AB53" s="31">
        <f>AB4+AB10+AB16+AB16+AB22+AB28+AB34+AB40+AB46</f>
        <v>25945.9</v>
      </c>
      <c r="AC53" s="31">
        <f>AC4+AC10+AC16+AC22+AC28+AC34+AC40+AC46</f>
        <v>26910</v>
      </c>
      <c r="AD53" s="31">
        <f>AD4+AD10+AD16+AD22+AD28+AD34+AD40+AD46</f>
        <v>3435.51</v>
      </c>
      <c r="AE53" s="31">
        <f>AE4+AE10+AE16+AE22+AE28+AE34+AE40+AE46</f>
        <v>7814.02</v>
      </c>
      <c r="AF53" s="31">
        <f>AF4+AF10+AF16+AF22+AF28+AF34+AF40+AF46</f>
        <v>4969302.47</v>
      </c>
      <c r="AG53" s="31">
        <f>AG4+AG10+AG16+AG22+AG28+AG34+AG40+AG46</f>
        <v>4975747.2453333335</v>
      </c>
      <c r="AH53" s="32"/>
    </row>
  </sheetData>
  <mergeCells count="2">
    <mergeCell ref="U2:AC2"/>
    <mergeCell ref="A53:K5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8"/>
  <dimension ref="A1:BG69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29.4531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44899</v>
      </c>
      <c r="B4" s="21" t="s">
        <v>351</v>
      </c>
      <c r="C4" s="21" t="s">
        <v>116</v>
      </c>
      <c r="D4" s="44">
        <v>140086</v>
      </c>
      <c r="E4" s="44"/>
      <c r="F4" s="21"/>
      <c r="G4" s="21">
        <v>62</v>
      </c>
      <c r="H4" s="22">
        <v>23760</v>
      </c>
      <c r="I4" s="33">
        <v>0.5</v>
      </c>
      <c r="J4" s="24">
        <f>IFERROR(K4/H4,"")</f>
        <v>0.51390993265993268</v>
      </c>
      <c r="K4" s="22">
        <v>12210.5</v>
      </c>
      <c r="L4" s="21">
        <v>9</v>
      </c>
      <c r="M4" s="21">
        <v>30</v>
      </c>
      <c r="N4" s="21">
        <v>18</v>
      </c>
      <c r="O4" s="21">
        <v>5</v>
      </c>
      <c r="P4" s="21"/>
      <c r="Q4" s="21"/>
      <c r="R4" s="21"/>
      <c r="S4" s="21"/>
      <c r="T4" s="21"/>
      <c r="U4" s="25">
        <v>275</v>
      </c>
      <c r="V4" s="25">
        <f>H4*U4*I4/15</f>
        <v>217800</v>
      </c>
      <c r="W4" s="25">
        <v>300.85000000000002</v>
      </c>
      <c r="X4" s="25">
        <v>244898.84</v>
      </c>
      <c r="Y4" s="25">
        <v>0</v>
      </c>
      <c r="Z4" s="25">
        <v>12768.6</v>
      </c>
      <c r="AA4" s="25">
        <v>580</v>
      </c>
      <c r="AB4" s="25">
        <v>1705</v>
      </c>
      <c r="AC4" s="25">
        <f>G4*30</f>
        <v>1860</v>
      </c>
      <c r="AD4" s="25">
        <f>G4*3.83</f>
        <v>237.46</v>
      </c>
      <c r="AE4" s="25">
        <v>489.8</v>
      </c>
      <c r="AF4" s="25">
        <f>V4+Y4+Z4+AA4+AB4+AC4+AD4</f>
        <v>234951.06</v>
      </c>
      <c r="AG4" s="25">
        <f>IFERROR(IFERROR((H4*W4*J4/15)-AE4,""),"")</f>
        <v>244412.12833333338</v>
      </c>
      <c r="AH4" s="26">
        <f>IFERROR(AG4-AF4,"")</f>
        <v>9461.0683333333873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IFERROR(AH4/G4,"")</f>
        <v>152.5978763440869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3.8709487936827026E-2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K9" s="63"/>
    </row>
    <row r="10" spans="1:38" x14ac:dyDescent="0.35">
      <c r="A10" s="20">
        <v>44899</v>
      </c>
      <c r="B10" s="21" t="s">
        <v>255</v>
      </c>
      <c r="C10" s="21" t="s">
        <v>195</v>
      </c>
      <c r="D10" s="44">
        <v>140087</v>
      </c>
      <c r="E10" s="44"/>
      <c r="F10" s="21"/>
      <c r="G10" s="21">
        <v>65</v>
      </c>
      <c r="H10" s="22">
        <v>24904</v>
      </c>
      <c r="I10" s="33">
        <v>0.5</v>
      </c>
      <c r="J10" s="24">
        <f>IFERROR(K10/H10,"")</f>
        <v>0.49544249919691613</v>
      </c>
      <c r="K10" s="22">
        <v>12338.5</v>
      </c>
      <c r="L10" s="21">
        <v>3</v>
      </c>
      <c r="M10" s="21">
        <v>31</v>
      </c>
      <c r="N10" s="21">
        <v>20</v>
      </c>
      <c r="O10" s="21">
        <v>8</v>
      </c>
      <c r="P10" s="21">
        <v>3</v>
      </c>
      <c r="Q10" s="21"/>
      <c r="R10" s="21"/>
      <c r="S10" s="21"/>
      <c r="T10" s="21"/>
      <c r="U10" s="25">
        <v>275</v>
      </c>
      <c r="V10" s="25">
        <f>H10*U10*I10/15</f>
        <v>228286.66666666666</v>
      </c>
      <c r="W10" s="25">
        <v>297.58</v>
      </c>
      <c r="X10" s="25">
        <v>244782.53</v>
      </c>
      <c r="Y10" s="25">
        <v>0</v>
      </c>
      <c r="Z10" s="25">
        <v>8195.2999999999993</v>
      </c>
      <c r="AA10" s="25">
        <v>0</v>
      </c>
      <c r="AB10" s="25">
        <v>1787.5</v>
      </c>
      <c r="AC10" s="25">
        <f>G10*30</f>
        <v>1950</v>
      </c>
      <c r="AD10" s="25">
        <f>IF(F10="",G10*3.83,F10*3.83)</f>
        <v>248.95000000000002</v>
      </c>
      <c r="AE10" s="25">
        <v>489.57</v>
      </c>
      <c r="AF10" s="25">
        <f>V10+Y10+Z10+AA10+AB10+AC10+AD10</f>
        <v>240468.41666666666</v>
      </c>
      <c r="AG10" s="25">
        <f>IFERROR(IFERROR((H10*W10*J10/15)-AE10,""),"")</f>
        <v>244289.81866666663</v>
      </c>
      <c r="AH10" s="26">
        <f>IFERROR(AG10-AF10,"")</f>
        <v>3821.4019999999728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AH10/G10</f>
        <v>58.790799999999578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1.5642903256702131E-2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x14ac:dyDescent="0.35">
      <c r="A15" s="99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100">
        <v>44900</v>
      </c>
      <c r="B16" s="21" t="s">
        <v>351</v>
      </c>
      <c r="C16" s="21" t="s">
        <v>116</v>
      </c>
      <c r="D16" s="44">
        <v>140461</v>
      </c>
      <c r="E16" s="44"/>
      <c r="F16" s="21"/>
      <c r="G16" s="21">
        <v>52</v>
      </c>
      <c r="H16" s="22">
        <v>20036.77</v>
      </c>
      <c r="I16" s="33">
        <v>0.5</v>
      </c>
      <c r="J16" s="24">
        <f>IFERROR(K16/H16,"")</f>
        <v>0.50559546274174927</v>
      </c>
      <c r="K16" s="22">
        <v>10130.5</v>
      </c>
      <c r="L16" s="21">
        <v>10</v>
      </c>
      <c r="M16" s="21">
        <v>23</v>
      </c>
      <c r="N16" s="21">
        <v>15</v>
      </c>
      <c r="O16" s="21">
        <v>4</v>
      </c>
      <c r="P16" s="21"/>
      <c r="Q16" s="21"/>
      <c r="R16" s="21"/>
      <c r="S16" s="21"/>
      <c r="T16" s="21"/>
      <c r="U16" s="25">
        <v>275</v>
      </c>
      <c r="V16" s="25">
        <f>H16*U16*I16/15</f>
        <v>183670.39166666666</v>
      </c>
      <c r="W16" s="25">
        <v>300.2</v>
      </c>
      <c r="X16" s="25">
        <v>202746.02</v>
      </c>
      <c r="Y16" s="25">
        <f>F16*68.41</f>
        <v>0</v>
      </c>
      <c r="Z16" s="25">
        <v>11011.75</v>
      </c>
      <c r="AA16" s="25">
        <v>0</v>
      </c>
      <c r="AB16" s="25">
        <v>1430</v>
      </c>
      <c r="AC16" s="25">
        <f>G16*30</f>
        <v>1560</v>
      </c>
      <c r="AD16" s="25">
        <f>IF(F16="",G16*3.83,F16*3.83)</f>
        <v>199.16</v>
      </c>
      <c r="AE16" s="25">
        <v>405.49</v>
      </c>
      <c r="AF16" s="25">
        <f>V16+Y16+Z16+AA16+AB16+AC16+AD16</f>
        <v>197871.30166666667</v>
      </c>
      <c r="AG16" s="25">
        <f>IFERROR(IFERROR((H16*W16*J16/15)-AE16,""),"")</f>
        <v>202339.58333333334</v>
      </c>
      <c r="AH16" s="26">
        <f>IFERROR(AG16-AF16,"")</f>
        <v>4468.2816666666768</v>
      </c>
      <c r="AJ16">
        <f>F4+G4+F10+G10+F16+G16+F22+G22+F28+G28+F34+G34+F40+G40+F46+G46+F52+G52+F58+G58+F64+G64</f>
        <v>1188</v>
      </c>
      <c r="AK16" s="50" t="s">
        <v>22</v>
      </c>
      <c r="AL16" t="s">
        <v>72</v>
      </c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85.92849358974378</v>
      </c>
      <c r="AJ17" s="11">
        <f>AH4+AH10+AH16+AH22+AH28+AH34+AH40+AH46+AH52+AH58+AH64</f>
        <v>119022.93251000001</v>
      </c>
      <c r="AK17" s="11">
        <f>AJ17*30%</f>
        <v>35706.879753000001</v>
      </c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2.2083082277112576E-2</v>
      </c>
      <c r="AJ18" s="11"/>
      <c r="AK18" s="11"/>
    </row>
    <row r="19" spans="1:40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</row>
    <row r="21" spans="1:40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J21" s="103">
        <v>3716.4</v>
      </c>
      <c r="AK21" s="104" t="s">
        <v>361</v>
      </c>
      <c r="AL21" s="104"/>
      <c r="AM21" s="104"/>
    </row>
    <row r="22" spans="1:40" x14ac:dyDescent="0.35">
      <c r="A22" s="20">
        <v>44900</v>
      </c>
      <c r="B22" s="21" t="s">
        <v>352</v>
      </c>
      <c r="C22" s="21" t="s">
        <v>353</v>
      </c>
      <c r="D22" s="44">
        <v>140085</v>
      </c>
      <c r="E22" s="44"/>
      <c r="F22" s="21">
        <v>50</v>
      </c>
      <c r="G22" s="21"/>
      <c r="H22" s="22">
        <v>23730</v>
      </c>
      <c r="I22" s="33">
        <v>0.53</v>
      </c>
      <c r="J22" s="24">
        <f>IFERROR(K22/H22,"")</f>
        <v>0.54656552886641385</v>
      </c>
      <c r="K22" s="22">
        <v>12970</v>
      </c>
      <c r="L22" s="21">
        <v>20</v>
      </c>
      <c r="M22" s="21">
        <v>22</v>
      </c>
      <c r="N22" s="21">
        <v>6</v>
      </c>
      <c r="O22" s="21">
        <v>1</v>
      </c>
      <c r="P22" s="21"/>
      <c r="Q22" s="21"/>
      <c r="R22" s="21"/>
      <c r="S22" s="21"/>
      <c r="T22" s="21">
        <v>1</v>
      </c>
      <c r="U22" s="25">
        <v>280</v>
      </c>
      <c r="V22" s="25">
        <f>H22*U22*I22/15</f>
        <v>234768.8</v>
      </c>
      <c r="W22" s="25">
        <v>304.72000000000003</v>
      </c>
      <c r="X22" s="25">
        <v>263483.5</v>
      </c>
      <c r="Y22" s="25">
        <v>0</v>
      </c>
      <c r="Z22" s="25">
        <v>4086.1</v>
      </c>
      <c r="AA22" s="25">
        <v>0</v>
      </c>
      <c r="AB22" s="25">
        <v>1400</v>
      </c>
      <c r="AC22" s="25">
        <f>F22*30</f>
        <v>1500</v>
      </c>
      <c r="AD22" s="25">
        <f>IF(F22="",G22*3.83,F22*3.83)</f>
        <v>191.5</v>
      </c>
      <c r="AE22" s="25">
        <v>526.97</v>
      </c>
      <c r="AF22" s="25">
        <f>V22+Y22+Z22+AA22+AB22+AC22+AD22</f>
        <v>241946.4</v>
      </c>
      <c r="AG22" s="25">
        <f>IFERROR(IFERROR((H22*W22*J22/15)-AE22,""),"")</f>
        <v>262954.25666666671</v>
      </c>
      <c r="AH22" s="26">
        <f>IFERROR(AG22-AF22,"")</f>
        <v>21007.856666666718</v>
      </c>
      <c r="AJ22" s="104" t="s">
        <v>362</v>
      </c>
      <c r="AK22" s="104"/>
      <c r="AL22" s="104"/>
      <c r="AM22" s="104"/>
    </row>
    <row r="23" spans="1:4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420.15713333333434</v>
      </c>
    </row>
    <row r="24" spans="1:40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7.9891677484032031E-2</v>
      </c>
      <c r="AJ24" s="103">
        <v>19168.400000000001</v>
      </c>
      <c r="AK24" s="105" t="s">
        <v>363</v>
      </c>
      <c r="AL24" s="104"/>
      <c r="AM24" s="104"/>
      <c r="AN24" s="10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  <c r="AJ25" s="104" t="s">
        <v>364</v>
      </c>
      <c r="AK25" s="104"/>
      <c r="AL25" s="104"/>
      <c r="AM25" s="104"/>
      <c r="AN25" s="10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40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J27" s="57">
        <v>5000</v>
      </c>
    </row>
    <row r="28" spans="1:40" x14ac:dyDescent="0.35">
      <c r="A28" s="20">
        <v>44900</v>
      </c>
      <c r="B28" s="21" t="s">
        <v>246</v>
      </c>
      <c r="C28" s="21" t="s">
        <v>124</v>
      </c>
      <c r="D28" s="44">
        <v>140083</v>
      </c>
      <c r="E28" s="44"/>
      <c r="F28" s="21">
        <v>150</v>
      </c>
      <c r="G28" s="21"/>
      <c r="H28" s="22">
        <v>79420</v>
      </c>
      <c r="I28" s="33">
        <v>0.54</v>
      </c>
      <c r="J28" s="24">
        <f>IFERROR(K28/H28,"")</f>
        <v>0.53089272223621253</v>
      </c>
      <c r="K28" s="22">
        <v>42163.5</v>
      </c>
      <c r="L28" s="21"/>
      <c r="M28" s="21">
        <v>10</v>
      </c>
      <c r="N28" s="21">
        <v>60</v>
      </c>
      <c r="O28" s="21">
        <v>74</v>
      </c>
      <c r="P28" s="21">
        <v>6</v>
      </c>
      <c r="Q28" s="21"/>
      <c r="R28" s="21"/>
      <c r="S28" s="21"/>
      <c r="T28" s="21"/>
      <c r="U28" s="25">
        <v>285</v>
      </c>
      <c r="V28" s="25">
        <f>H28*U28*I28/15</f>
        <v>814849.2</v>
      </c>
      <c r="W28" s="25">
        <v>295.52</v>
      </c>
      <c r="X28" s="25">
        <v>830666.04</v>
      </c>
      <c r="Y28" s="25">
        <v>0</v>
      </c>
      <c r="Z28" s="25">
        <v>30010.5</v>
      </c>
      <c r="AA28" s="25">
        <v>0</v>
      </c>
      <c r="AB28" s="25">
        <v>0</v>
      </c>
      <c r="AC28" s="25">
        <f>F28*30</f>
        <v>4500</v>
      </c>
      <c r="AD28" s="25">
        <f>IF(F28="",G28*3.83,F28*3.83)</f>
        <v>574.5</v>
      </c>
      <c r="AE28" s="25">
        <v>1661.32</v>
      </c>
      <c r="AF28" s="25">
        <f>V28+Y28+Z28+AA28+AB28+AC28+AD28</f>
        <v>849934.2</v>
      </c>
      <c r="AG28" s="25">
        <f>IFERROR(IFERROR((H28*W28*J28/15)-AE28,""),"")</f>
        <v>829015.848</v>
      </c>
      <c r="AH28" s="26">
        <f>IFERROR(AG28-AF28,"")</f>
        <v>-20918.351999999955</v>
      </c>
      <c r="AJ28" s="57">
        <v>1320</v>
      </c>
    </row>
    <row r="29" spans="1:40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-139.45567999999969</v>
      </c>
      <c r="AJ29" s="95">
        <f>SUM(AJ27:AJ28)</f>
        <v>6320</v>
      </c>
      <c r="AK29" s="11" t="s">
        <v>367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-2.5232752848411113E-2</v>
      </c>
      <c r="AJ30" s="11"/>
      <c r="AK30" s="11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K32" t="s">
        <v>360</v>
      </c>
    </row>
    <row r="33" spans="1:59" x14ac:dyDescent="0.35">
      <c r="A33" s="37" t="s">
        <v>1</v>
      </c>
      <c r="B33" s="37" t="s">
        <v>2</v>
      </c>
      <c r="C33" s="37" t="s">
        <v>110</v>
      </c>
      <c r="D33" s="37" t="s">
        <v>66</v>
      </c>
      <c r="E33" s="37"/>
      <c r="F33" s="37" t="s">
        <v>137</v>
      </c>
      <c r="G33" s="37" t="s">
        <v>138</v>
      </c>
      <c r="H33" s="37" t="s">
        <v>4</v>
      </c>
      <c r="I33" s="37" t="s">
        <v>5</v>
      </c>
      <c r="J33" s="37" t="s">
        <v>6</v>
      </c>
      <c r="K33" s="37" t="s">
        <v>7</v>
      </c>
      <c r="L33" s="37" t="s">
        <v>279</v>
      </c>
      <c r="M33" s="37" t="s">
        <v>280</v>
      </c>
      <c r="N33" s="37" t="s">
        <v>281</v>
      </c>
      <c r="O33" s="37" t="s">
        <v>282</v>
      </c>
      <c r="P33" s="37" t="s">
        <v>283</v>
      </c>
      <c r="Q33" s="37" t="s">
        <v>284</v>
      </c>
      <c r="R33" s="37" t="s">
        <v>904</v>
      </c>
      <c r="S33" s="37" t="s">
        <v>285</v>
      </c>
      <c r="T33" s="37" t="s">
        <v>289</v>
      </c>
      <c r="U33" s="37" t="s">
        <v>8</v>
      </c>
      <c r="V33" s="37" t="s">
        <v>9</v>
      </c>
      <c r="W33" s="37" t="s">
        <v>10</v>
      </c>
      <c r="X33" s="37" t="s">
        <v>100</v>
      </c>
      <c r="Y33" s="37" t="s">
        <v>106</v>
      </c>
      <c r="Z33" s="37" t="s">
        <v>12</v>
      </c>
      <c r="AA33" s="37" t="s">
        <v>258</v>
      </c>
      <c r="AB33" s="37" t="s">
        <v>13</v>
      </c>
      <c r="AC33" s="37" t="s">
        <v>74</v>
      </c>
      <c r="AD33" s="37" t="s">
        <v>21</v>
      </c>
      <c r="AE33" s="37" t="s">
        <v>14</v>
      </c>
      <c r="AF33" s="37" t="s">
        <v>15</v>
      </c>
      <c r="AG33" s="37" t="s">
        <v>16</v>
      </c>
      <c r="AH33" s="15" t="s">
        <v>17</v>
      </c>
      <c r="AJ33" s="6">
        <f>AJ17+AJ21+AJ29</f>
        <v>129059.33251000001</v>
      </c>
      <c r="AK33" s="13">
        <f>AJ33*30%</f>
        <v>38717.799752999999</v>
      </c>
    </row>
    <row r="34" spans="1:59" x14ac:dyDescent="0.35">
      <c r="A34" s="38">
        <v>44901</v>
      </c>
      <c r="B34" s="39" t="s">
        <v>354</v>
      </c>
      <c r="C34" s="39" t="s">
        <v>323</v>
      </c>
      <c r="D34" s="45">
        <v>140082</v>
      </c>
      <c r="E34" s="45"/>
      <c r="F34" s="39">
        <v>200</v>
      </c>
      <c r="G34" s="39"/>
      <c r="H34" s="40">
        <v>116780</v>
      </c>
      <c r="I34" s="53">
        <v>0.55000000000000004</v>
      </c>
      <c r="J34" s="42">
        <f>IFERROR(K34/H34,"")</f>
        <v>0.56912142490152429</v>
      </c>
      <c r="K34" s="40">
        <v>66462</v>
      </c>
      <c r="L34" s="39">
        <v>2</v>
      </c>
      <c r="M34" s="39">
        <v>75</v>
      </c>
      <c r="N34" s="39">
        <v>96</v>
      </c>
      <c r="O34" s="39">
        <v>26</v>
      </c>
      <c r="P34" s="39">
        <v>1</v>
      </c>
      <c r="Q34" s="39"/>
      <c r="R34" s="39"/>
      <c r="S34" s="39"/>
      <c r="T34" s="39"/>
      <c r="U34" s="43">
        <v>288</v>
      </c>
      <c r="V34" s="43">
        <f>H34*U34*I34/15</f>
        <v>1233196.8</v>
      </c>
      <c r="W34" s="43">
        <v>299.04000000000002</v>
      </c>
      <c r="X34" s="43">
        <v>1325003.03</v>
      </c>
      <c r="Y34" s="43">
        <v>0</v>
      </c>
      <c r="Z34" s="43">
        <v>37192.400000000001</v>
      </c>
      <c r="AA34" s="43">
        <v>2000</v>
      </c>
      <c r="AB34" s="43">
        <v>5760</v>
      </c>
      <c r="AC34" s="43">
        <f>F34*30</f>
        <v>6000</v>
      </c>
      <c r="AD34" s="43">
        <f>IF(F34="",G34*3.83,F34*3.83)</f>
        <v>766</v>
      </c>
      <c r="AE34" s="43">
        <v>2650.01</v>
      </c>
      <c r="AF34" s="43">
        <f>V34+Y34+Z34+AA34+AB34+AC34+AD34</f>
        <v>1284915.2</v>
      </c>
      <c r="AG34" s="43">
        <f>IFERROR(IFERROR((H34*W34*J34/15)-AE34,""),"")</f>
        <v>1322336.4220000003</v>
      </c>
      <c r="AH34" s="26">
        <f>IFERROR(AG34-AF34,"")</f>
        <v>37421.2220000003</v>
      </c>
    </row>
    <row r="35" spans="1:59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187.10611000000151</v>
      </c>
    </row>
    <row r="36" spans="1:59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2.8299320337408278E-2</v>
      </c>
    </row>
    <row r="37" spans="1:59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59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59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47"/>
    </row>
    <row r="40" spans="1:59" x14ac:dyDescent="0.35">
      <c r="A40" s="20">
        <v>44902</v>
      </c>
      <c r="B40" s="21" t="s">
        <v>354</v>
      </c>
      <c r="C40" s="21" t="s">
        <v>323</v>
      </c>
      <c r="D40" s="44">
        <v>140081</v>
      </c>
      <c r="E40" s="44"/>
      <c r="F40" s="21">
        <v>200</v>
      </c>
      <c r="G40" s="21"/>
      <c r="H40" s="22">
        <v>117580</v>
      </c>
      <c r="I40" s="33">
        <v>0.55000000000000004</v>
      </c>
      <c r="J40" s="24">
        <f>IFERROR(K40/H40,"")</f>
        <v>0.56711600612349033</v>
      </c>
      <c r="K40" s="22">
        <v>66681.5</v>
      </c>
      <c r="L40" s="21">
        <v>5</v>
      </c>
      <c r="M40" s="21">
        <v>79</v>
      </c>
      <c r="N40" s="21">
        <v>99</v>
      </c>
      <c r="O40" s="21">
        <v>16</v>
      </c>
      <c r="P40" s="21">
        <v>1</v>
      </c>
      <c r="Q40" s="21"/>
      <c r="R40" s="21"/>
      <c r="S40" s="21"/>
      <c r="T40" s="21"/>
      <c r="U40" s="25">
        <v>288</v>
      </c>
      <c r="V40" s="25">
        <f>H40*U40*I40/15</f>
        <v>1241644.8</v>
      </c>
      <c r="W40" s="25">
        <v>295.33</v>
      </c>
      <c r="X40" s="25">
        <v>1316390.1000000001</v>
      </c>
      <c r="Y40" s="25">
        <v>0</v>
      </c>
      <c r="Z40" s="25">
        <v>37197.599999999999</v>
      </c>
      <c r="AA40" s="25">
        <v>2000</v>
      </c>
      <c r="AB40" s="25">
        <v>5760</v>
      </c>
      <c r="AC40" s="25">
        <f>F40*30</f>
        <v>6000</v>
      </c>
      <c r="AD40" s="25">
        <f>IF(F40="",G40*3.83,F40*3.83)</f>
        <v>766</v>
      </c>
      <c r="AE40" s="25">
        <v>2632.78</v>
      </c>
      <c r="AF40" s="25">
        <f>V40+Y40+Z40+AA40+AB40+AC40+AD40</f>
        <v>1293368.4000000001</v>
      </c>
      <c r="AG40" s="25">
        <f>IFERROR(IFERROR((H40*W40*J40/15)-AE40,""),"")</f>
        <v>1310237.046333333</v>
      </c>
      <c r="AH40" s="26">
        <f>IFERROR(AG40-AF40,"")</f>
        <v>16868.646333332872</v>
      </c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47"/>
    </row>
    <row r="41" spans="1:59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84.343231666664366</v>
      </c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4"/>
    </row>
    <row r="42" spans="1:59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1.2874499603365189E-2</v>
      </c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4"/>
    </row>
    <row r="43" spans="1:59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4"/>
    </row>
    <row r="44" spans="1:59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4"/>
    </row>
    <row r="45" spans="1:59" x14ac:dyDescent="0.35">
      <c r="A45" s="99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4"/>
    </row>
    <row r="46" spans="1:59" x14ac:dyDescent="0.35">
      <c r="A46" s="100">
        <v>44900</v>
      </c>
      <c r="B46" s="21" t="s">
        <v>351</v>
      </c>
      <c r="C46" s="21" t="s">
        <v>116</v>
      </c>
      <c r="D46" s="44">
        <v>140435</v>
      </c>
      <c r="E46" s="44"/>
      <c r="F46" s="21"/>
      <c r="G46" s="21">
        <v>10</v>
      </c>
      <c r="H46" s="22">
        <v>3853.22</v>
      </c>
      <c r="I46" s="33">
        <v>0.5</v>
      </c>
      <c r="J46" s="24">
        <f>IFERROR(K46/H46,"")</f>
        <v>0.48976700006747609</v>
      </c>
      <c r="K46" s="22">
        <v>1887.18</v>
      </c>
      <c r="L46" s="21">
        <v>2</v>
      </c>
      <c r="M46" s="21">
        <v>2</v>
      </c>
      <c r="N46" s="21">
        <v>6</v>
      </c>
      <c r="O46" s="21"/>
      <c r="P46" s="21"/>
      <c r="Q46" s="21"/>
      <c r="R46" s="21"/>
      <c r="S46" s="21"/>
      <c r="T46" s="21"/>
      <c r="U46" s="25">
        <v>275</v>
      </c>
      <c r="V46" s="25">
        <f>H46*U46*I46/15</f>
        <v>35321.183333333334</v>
      </c>
      <c r="W46" s="25">
        <v>292.68</v>
      </c>
      <c r="X46" s="25">
        <v>36822.85</v>
      </c>
      <c r="Y46" s="25">
        <v>0</v>
      </c>
      <c r="Z46" s="25">
        <v>2617.64</v>
      </c>
      <c r="AA46" s="25">
        <v>747.35</v>
      </c>
      <c r="AB46" s="25">
        <v>275</v>
      </c>
      <c r="AC46" s="25">
        <f>G46*30</f>
        <v>300</v>
      </c>
      <c r="AD46" s="25">
        <f>IF(F46="",G46*3.83,F46*3.83)</f>
        <v>38.299999999999997</v>
      </c>
      <c r="AE46" s="25">
        <v>73.63</v>
      </c>
      <c r="AF46" s="25">
        <f>V46+Y46+Z46+AA46+AB46+AC46+AD46</f>
        <v>39299.473333333335</v>
      </c>
      <c r="AG46" s="25">
        <f>IFERROR(IFERROR((H46*W46*J46/15)-AE46,""),"")</f>
        <v>36749.026160000001</v>
      </c>
      <c r="AH46" s="26">
        <f>IFERROR(AG46-AF46,"")</f>
        <v>-2550.4471733333339</v>
      </c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4"/>
    </row>
    <row r="47" spans="1:59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AH46/G46</f>
        <v>-255.04471733333338</v>
      </c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4"/>
    </row>
    <row r="48" spans="1:59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-6.9401762164500683E-2</v>
      </c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4"/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4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4"/>
    </row>
    <row r="51" spans="1:59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4"/>
    </row>
    <row r="52" spans="1:59" x14ac:dyDescent="0.35">
      <c r="A52" s="20">
        <v>44903</v>
      </c>
      <c r="B52" s="21" t="s">
        <v>349</v>
      </c>
      <c r="C52" s="21" t="s">
        <v>341</v>
      </c>
      <c r="D52" s="44">
        <v>140080</v>
      </c>
      <c r="E52" s="44"/>
      <c r="F52" s="21">
        <v>50</v>
      </c>
      <c r="G52" s="21"/>
      <c r="H52" s="22">
        <v>26674</v>
      </c>
      <c r="I52" s="33">
        <v>0.55000000000000004</v>
      </c>
      <c r="J52" s="24">
        <f>IFERROR(K52/H52,"")</f>
        <v>0.52641148684111871</v>
      </c>
      <c r="K52" s="22">
        <v>14041.5</v>
      </c>
      <c r="L52" s="21">
        <v>2</v>
      </c>
      <c r="M52" s="21">
        <v>7</v>
      </c>
      <c r="N52" s="21">
        <v>23</v>
      </c>
      <c r="O52" s="21">
        <v>16</v>
      </c>
      <c r="P52" s="21">
        <v>2</v>
      </c>
      <c r="Q52" s="21"/>
      <c r="R52" s="21"/>
      <c r="S52" s="21"/>
      <c r="T52" s="21"/>
      <c r="U52" s="25">
        <v>280</v>
      </c>
      <c r="V52" s="25">
        <f>H52*U52*I52/15</f>
        <v>273853.06666666671</v>
      </c>
      <c r="W52" s="25">
        <v>291.68</v>
      </c>
      <c r="X52" s="25">
        <v>273043.40000000002</v>
      </c>
      <c r="Y52" s="25">
        <v>0</v>
      </c>
      <c r="Z52" s="25">
        <v>5428.5</v>
      </c>
      <c r="AA52" s="25">
        <v>500</v>
      </c>
      <c r="AB52" s="25">
        <v>1400</v>
      </c>
      <c r="AC52" s="25">
        <f>F52*30</f>
        <v>1500</v>
      </c>
      <c r="AD52" s="25">
        <f>IF(F52="",G52*3.83,F52*3.83)</f>
        <v>191.5</v>
      </c>
      <c r="AE52" s="25">
        <v>546.09</v>
      </c>
      <c r="AF52" s="25">
        <f>V52+Y52+Z52+AA52+AB52+AC52+AD52</f>
        <v>282873.06666666671</v>
      </c>
      <c r="AG52" s="25">
        <f>IFERROR(IFERROR((H52*W52*J52/15)-AE52,""),"")</f>
        <v>272495.55799999996</v>
      </c>
      <c r="AH52" s="26">
        <f>IFERROR(AG52-AF52,"")</f>
        <v>-10377.508666666748</v>
      </c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4"/>
    </row>
    <row r="53" spans="1:5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-207.55017333333498</v>
      </c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4"/>
    </row>
    <row r="54" spans="1:5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-3.8083221403068704E-2</v>
      </c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4"/>
    </row>
    <row r="55" spans="1:5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4"/>
    </row>
    <row r="56" spans="1:5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4"/>
    </row>
    <row r="57" spans="1:59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269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4"/>
    </row>
    <row r="58" spans="1:59" x14ac:dyDescent="0.35">
      <c r="A58" s="20">
        <v>44903</v>
      </c>
      <c r="B58" s="21" t="s">
        <v>355</v>
      </c>
      <c r="C58" s="21" t="s">
        <v>356</v>
      </c>
      <c r="D58" s="44">
        <v>140748</v>
      </c>
      <c r="E58" s="44"/>
      <c r="F58" s="98">
        <v>149</v>
      </c>
      <c r="G58" s="21"/>
      <c r="H58" s="22">
        <v>96919.53</v>
      </c>
      <c r="I58" s="33">
        <v>0.55500000000000005</v>
      </c>
      <c r="J58" s="24">
        <f>IFERROR(K58/H58,"")</f>
        <v>0.5808478435667197</v>
      </c>
      <c r="K58" s="22">
        <v>56295.5</v>
      </c>
      <c r="L58" s="21"/>
      <c r="M58" s="21">
        <v>17</v>
      </c>
      <c r="N58" s="21">
        <v>77</v>
      </c>
      <c r="O58" s="21">
        <v>53</v>
      </c>
      <c r="P58" s="21">
        <v>2</v>
      </c>
      <c r="Q58" s="21"/>
      <c r="R58" s="21"/>
      <c r="S58" s="21"/>
      <c r="T58" s="21"/>
      <c r="U58" s="25">
        <v>265</v>
      </c>
      <c r="V58" s="25">
        <f>H58*U58*I58/15</f>
        <v>950295.9916500001</v>
      </c>
      <c r="W58" s="25">
        <v>291.95</v>
      </c>
      <c r="X58" s="25">
        <v>1095708.8799999999</v>
      </c>
      <c r="Y58" s="25">
        <f>F58*120</f>
        <v>17880</v>
      </c>
      <c r="Z58" s="25">
        <v>43471.199999999997</v>
      </c>
      <c r="AA58" s="25">
        <v>3947.76</v>
      </c>
      <c r="AB58" s="25">
        <f>F58*26.5</f>
        <v>3948.5</v>
      </c>
      <c r="AC58" s="25">
        <v>0</v>
      </c>
      <c r="AD58" s="25">
        <f>IF(F58="",G58*3.83,F58*3.83)</f>
        <v>570.66999999999996</v>
      </c>
      <c r="AE58" s="25">
        <v>2191.42</v>
      </c>
      <c r="AF58" s="25">
        <f>V58+Y58+Z58+AA58+AB58+AC58+AD58</f>
        <v>1020114.1216500001</v>
      </c>
      <c r="AG58" s="25">
        <f>IFERROR(IFERROR((H58*W58*J58/15)-AE58,""),"")</f>
        <v>1093506.6616666666</v>
      </c>
      <c r="AH58" s="26">
        <f>IFERROR(AG58-AF58,"")</f>
        <v>73392.54001666652</v>
      </c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4"/>
    </row>
    <row r="59" spans="1:59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492.56738266219139</v>
      </c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4"/>
    </row>
    <row r="60" spans="1:5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6.7116683043160791E-2</v>
      </c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4"/>
    </row>
    <row r="61" spans="1:5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4"/>
    </row>
    <row r="62" spans="1:5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5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</row>
    <row r="64" spans="1:59" x14ac:dyDescent="0.35">
      <c r="A64" s="20">
        <v>44904</v>
      </c>
      <c r="B64" s="21" t="s">
        <v>349</v>
      </c>
      <c r="C64" s="21" t="s">
        <v>341</v>
      </c>
      <c r="D64" s="44">
        <v>140425</v>
      </c>
      <c r="E64" s="44"/>
      <c r="F64" s="21">
        <v>200</v>
      </c>
      <c r="G64" s="21"/>
      <c r="H64" s="22">
        <v>110608</v>
      </c>
      <c r="I64" s="33">
        <v>0.55000000000000004</v>
      </c>
      <c r="J64" s="24">
        <f>IFERROR(K64/H64,"")</f>
        <v>0.54367676840734847</v>
      </c>
      <c r="K64" s="22">
        <v>60135</v>
      </c>
      <c r="L64" s="21">
        <v>2</v>
      </c>
      <c r="M64" s="21">
        <v>29</v>
      </c>
      <c r="N64" s="21">
        <v>76</v>
      </c>
      <c r="O64" s="21">
        <v>76</v>
      </c>
      <c r="P64" s="21">
        <v>16</v>
      </c>
      <c r="Q64" s="21">
        <v>1</v>
      </c>
      <c r="R64" s="21"/>
      <c r="S64" s="21"/>
      <c r="T64" s="21"/>
      <c r="U64" s="25">
        <v>280</v>
      </c>
      <c r="V64" s="25">
        <f>H64*U64*I64/15</f>
        <v>1135575.4666666666</v>
      </c>
      <c r="W64" s="25">
        <v>289.89999999999998</v>
      </c>
      <c r="X64" s="25">
        <v>1162202.67</v>
      </c>
      <c r="Y64" s="25">
        <v>0</v>
      </c>
      <c r="Z64" s="25">
        <v>23515</v>
      </c>
      <c r="AA64" s="25">
        <v>2000</v>
      </c>
      <c r="AB64" s="25">
        <v>5600</v>
      </c>
      <c r="AC64" s="25">
        <f>F64*30</f>
        <v>6000</v>
      </c>
      <c r="AD64" s="25">
        <f>IF(F64="",G64*3.83,F64*3.83)</f>
        <v>766</v>
      </c>
      <c r="AE64" s="25">
        <v>2324.41</v>
      </c>
      <c r="AF64" s="25">
        <f>V64+Y64+Z64+AA64+AB64+AC64+AD64</f>
        <v>1173456.4666666666</v>
      </c>
      <c r="AG64" s="25">
        <f>IFERROR(IFERROR((H64*W64*J64/15)-AE64,""),"")</f>
        <v>1159884.6900000002</v>
      </c>
      <c r="AH64" s="26">
        <f>IFERROR(AG64-AF64,"")</f>
        <v>-13571.776666666381</v>
      </c>
    </row>
    <row r="65" spans="1:34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-67.858883333331903</v>
      </c>
    </row>
    <row r="66" spans="1:34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-1.1700970608264843E-2</v>
      </c>
    </row>
    <row r="67" spans="1:34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4" ht="15" thickBot="1" x14ac:dyDescent="0.4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47"/>
    </row>
    <row r="69" spans="1:34" ht="16" thickBot="1" x14ac:dyDescent="0.4">
      <c r="A69" s="377" t="s">
        <v>344</v>
      </c>
      <c r="B69" s="378"/>
      <c r="C69" s="378"/>
      <c r="D69" s="378"/>
      <c r="E69" s="378"/>
      <c r="F69" s="378"/>
      <c r="G69" s="378"/>
      <c r="H69" s="378"/>
      <c r="I69" s="378"/>
      <c r="J69" s="378"/>
      <c r="K69" s="378"/>
      <c r="L69" s="46"/>
      <c r="M69" s="46"/>
      <c r="N69" s="46"/>
      <c r="O69" s="46"/>
      <c r="P69" s="46"/>
      <c r="Q69" s="46"/>
      <c r="R69" s="46"/>
      <c r="S69" s="46"/>
      <c r="T69" s="46"/>
      <c r="U69" s="30"/>
      <c r="V69" s="31">
        <f>V4+V10+V16+V22+V28+V34+V40+V46+V52+V58+V64</f>
        <v>6549262.3666500002</v>
      </c>
      <c r="W69" s="30"/>
      <c r="X69" s="30"/>
      <c r="Y69" s="31">
        <f>Y4+Y10+Y16+Y22+Y28+Y34+Y40+Y46+Y52+Y58+Y64</f>
        <v>17880</v>
      </c>
      <c r="Z69" s="31">
        <f>Z4+Z10+Z16+Z22+Z28+Z34+Z40+Z46+Z52+Z58+Z64</f>
        <v>215494.59000000003</v>
      </c>
      <c r="AA69" s="31">
        <f>AA4+AA10+AA16+AA22+AA28+AA34+AA40+AA46+AA52+AA58+AA64</f>
        <v>11775.11</v>
      </c>
      <c r="AB69" s="31">
        <f>AB4+AB10+AB16+AB16+AB22+AB28+AB34+AB40+AB46+AB52+AB58+AB64</f>
        <v>30496</v>
      </c>
      <c r="AC69" s="31">
        <f>AC4+AC10+AC16+AC22+AC28+AC34+AC40+AC46+AC52+AC58+AC64</f>
        <v>31170</v>
      </c>
      <c r="AD69" s="31">
        <f>AD4+AD10+AD16+AD22+AD28+AD34+AD40+AD46+AD52+AD58+AD64</f>
        <v>4550.0400000000009</v>
      </c>
      <c r="AE69" s="31">
        <f>AE4+AE10+AE16+AE22+AE28+AE34+AE40+AE46+AE52+AE58+AE64</f>
        <v>13991.49</v>
      </c>
      <c r="AF69" s="31">
        <f>AF4+AF10+AF16+AF22+AF28+AF34+AF40+AF46+AF52+AF58+AF64</f>
        <v>6859198.1066500004</v>
      </c>
      <c r="AG69" s="31">
        <f>AG4+AG10+AG16+AG22+AG28+AG34+AG40+AG46+AG52+AG58+AG64</f>
        <v>6978221.0391600011</v>
      </c>
      <c r="AH69" s="32"/>
    </row>
  </sheetData>
  <mergeCells count="2">
    <mergeCell ref="U2:AC2"/>
    <mergeCell ref="A69:K6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9"/>
  <dimension ref="A1:BI82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.4531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4.26953125" bestFit="1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6" width="15" customWidth="1"/>
    <col min="38" max="38" width="16.453125" bestFit="1" customWidth="1"/>
    <col min="39" max="39" width="15.72656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AF45</f>
        <v>7483650.7158333333</v>
      </c>
      <c r="AM3" s="164">
        <f>AH45-AI45</f>
        <v>492165.25316666649</v>
      </c>
    </row>
    <row r="4" spans="1:40" x14ac:dyDescent="0.35">
      <c r="A4" s="20">
        <v>44905</v>
      </c>
      <c r="B4" s="21" t="s">
        <v>358</v>
      </c>
      <c r="C4" s="21" t="s">
        <v>356</v>
      </c>
      <c r="D4" s="44">
        <v>140427</v>
      </c>
      <c r="E4" s="44"/>
      <c r="F4" s="21">
        <v>200</v>
      </c>
      <c r="G4" s="21"/>
      <c r="H4" s="22">
        <v>109910</v>
      </c>
      <c r="I4" s="33">
        <v>0.55500000000000005</v>
      </c>
      <c r="J4" s="24">
        <f>IFERROR(K4/H4,"")</f>
        <v>0.5619279410426713</v>
      </c>
      <c r="K4" s="22">
        <v>61761.5</v>
      </c>
      <c r="L4" s="21">
        <v>6</v>
      </c>
      <c r="M4" s="21">
        <v>56</v>
      </c>
      <c r="N4" s="21">
        <v>107</v>
      </c>
      <c r="O4" s="21">
        <v>30</v>
      </c>
      <c r="P4" s="21">
        <v>1</v>
      </c>
      <c r="Q4" s="21"/>
      <c r="R4" s="21"/>
      <c r="S4" s="21"/>
      <c r="T4" s="21"/>
      <c r="U4" s="25">
        <v>265</v>
      </c>
      <c r="V4" s="25">
        <f>H4*U4*I4/15</f>
        <v>1077667.55</v>
      </c>
      <c r="W4" s="25">
        <v>300.89999999999998</v>
      </c>
      <c r="X4" s="25">
        <v>1238921.74</v>
      </c>
      <c r="Y4" s="25">
        <f>F4*120</f>
        <v>24000</v>
      </c>
      <c r="Z4" s="25">
        <v>58205.599999999999</v>
      </c>
      <c r="AA4" s="25">
        <v>5263.68</v>
      </c>
      <c r="AB4" s="25">
        <f>F4*26.5</f>
        <v>5300</v>
      </c>
      <c r="AC4" s="25">
        <v>0</v>
      </c>
      <c r="AD4" s="25">
        <f>F4*3.83</f>
        <v>766</v>
      </c>
      <c r="AE4" s="25">
        <v>2477.75</v>
      </c>
      <c r="AF4" s="25">
        <f>V4+Y4+Z4+AA4+AB4+AC4+AD4</f>
        <v>1171202.83</v>
      </c>
      <c r="AG4" s="25">
        <f>IFERROR(IFERROR((H4*W4*J4/15)-AE4,""),"")</f>
        <v>1236457.94</v>
      </c>
      <c r="AH4" s="26">
        <f>IFERROR(AG4-AF4,"")</f>
        <v>65255.10999999987</v>
      </c>
      <c r="AI4" s="6">
        <f>IF(F4="",(G4/$F$45)*$AL$18,(F4/$F$45)*$AL$18)</f>
        <v>0</v>
      </c>
      <c r="AJ4" s="6">
        <f>(AH4-AI4)*70%</f>
        <v>45678.576999999903</v>
      </c>
      <c r="AL4" s="166" t="s">
        <v>749</v>
      </c>
      <c r="AM4" s="167">
        <f>AM3/AL3</f>
        <v>6.5765396041985377E-2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326.27554999999933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5.2775842904935262E-2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</f>
        <v>1247</v>
      </c>
      <c r="AM9" s="50" t="s">
        <v>22</v>
      </c>
      <c r="AN9" t="s">
        <v>72</v>
      </c>
    </row>
    <row r="10" spans="1:40" x14ac:dyDescent="0.35">
      <c r="A10" s="20">
        <v>44905</v>
      </c>
      <c r="B10" s="21" t="s">
        <v>359</v>
      </c>
      <c r="C10" s="21" t="s">
        <v>353</v>
      </c>
      <c r="D10" s="44">
        <v>140426</v>
      </c>
      <c r="E10" s="44"/>
      <c r="F10" s="21">
        <v>48</v>
      </c>
      <c r="G10" s="21"/>
      <c r="H10" s="22">
        <v>22490</v>
      </c>
      <c r="I10" s="33">
        <v>0.5</v>
      </c>
      <c r="J10" s="24">
        <f>IFERROR(K10/H10,"")</f>
        <v>0.54086260560249</v>
      </c>
      <c r="K10" s="22">
        <v>12164</v>
      </c>
      <c r="L10" s="21">
        <v>16</v>
      </c>
      <c r="M10" s="21">
        <v>21</v>
      </c>
      <c r="N10" s="21">
        <v>10</v>
      </c>
      <c r="O10" s="21">
        <v>1</v>
      </c>
      <c r="P10" s="21"/>
      <c r="Q10" s="21"/>
      <c r="R10" s="21"/>
      <c r="S10" s="21"/>
      <c r="T10" s="21"/>
      <c r="U10" s="25">
        <v>275</v>
      </c>
      <c r="V10" s="25">
        <f>H10*U10*I10/15</f>
        <v>206158.33333333334</v>
      </c>
      <c r="W10" s="25">
        <v>269.77999999999997</v>
      </c>
      <c r="X10" s="25">
        <v>218774.18</v>
      </c>
      <c r="Y10" s="25">
        <v>0</v>
      </c>
      <c r="Z10" s="25">
        <v>3900.9</v>
      </c>
      <c r="AA10" s="25">
        <v>0</v>
      </c>
      <c r="AB10" s="25">
        <v>0</v>
      </c>
      <c r="AC10" s="25">
        <f>F10*30</f>
        <v>1440</v>
      </c>
      <c r="AD10" s="25">
        <f>IF(F10="",G10*3.83,F10*3.83)</f>
        <v>183.84</v>
      </c>
      <c r="AE10" s="25">
        <v>437.53</v>
      </c>
      <c r="AF10" s="25">
        <f>V10+Y10+Z10+AA10+AB10+AC10+AD10</f>
        <v>211683.07333333333</v>
      </c>
      <c r="AG10" s="25">
        <f>IFERROR(IFERROR((H10*W10*J10/15)-AE10,""),"")</f>
        <v>218336.06466666664</v>
      </c>
      <c r="AH10" s="26">
        <f>IFERROR(AG10-AF10,"")</f>
        <v>6652.9913333333097</v>
      </c>
      <c r="AI10" s="6">
        <f>IF(F10="",(G10/$F$45)*$AL$18,(F10/$F$45)*$AL$18)</f>
        <v>0</v>
      </c>
      <c r="AJ10" s="6">
        <f>(AH10-AI10)*70%</f>
        <v>4657.0939333333163</v>
      </c>
      <c r="AL10" s="11">
        <f>AH4+AH10+AH16+AH22+AH28+AH34+AH40</f>
        <v>492165.25316666649</v>
      </c>
      <c r="AM10" s="11">
        <f>AL10*30%</f>
        <v>147649.57594999994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138.60398611111063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3.04713348364615E-2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4" t="s">
        <v>187</v>
      </c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57">
        <v>0</v>
      </c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57">
        <v>0</v>
      </c>
      <c r="AM15" s="11"/>
    </row>
    <row r="16" spans="1:40" x14ac:dyDescent="0.35">
      <c r="A16" s="20">
        <v>44907</v>
      </c>
      <c r="B16" s="21" t="s">
        <v>358</v>
      </c>
      <c r="C16" s="21" t="s">
        <v>356</v>
      </c>
      <c r="D16" s="44">
        <v>140424</v>
      </c>
      <c r="E16" s="44"/>
      <c r="F16" s="21">
        <v>200</v>
      </c>
      <c r="G16" s="21"/>
      <c r="H16" s="22">
        <v>110170</v>
      </c>
      <c r="I16" s="33">
        <v>0.55500000000000005</v>
      </c>
      <c r="J16" s="24">
        <f>IFERROR(K16/H16,"")</f>
        <v>0.56992375419805752</v>
      </c>
      <c r="K16" s="22">
        <v>62788.5</v>
      </c>
      <c r="L16" s="21">
        <v>7</v>
      </c>
      <c r="M16" s="21">
        <v>68</v>
      </c>
      <c r="N16" s="21">
        <v>89</v>
      </c>
      <c r="O16" s="21">
        <v>35</v>
      </c>
      <c r="P16" s="21">
        <v>1</v>
      </c>
      <c r="Q16" s="21"/>
      <c r="R16" s="21"/>
      <c r="S16" s="21"/>
      <c r="T16" s="21"/>
      <c r="U16" s="25">
        <v>265</v>
      </c>
      <c r="V16" s="25">
        <f>H16*U16*I16/15</f>
        <v>1080216.8500000001</v>
      </c>
      <c r="W16" s="25">
        <v>304.02</v>
      </c>
      <c r="X16" s="25">
        <v>1272608.99</v>
      </c>
      <c r="Y16" s="25">
        <f>F16*120</f>
        <v>24000</v>
      </c>
      <c r="Z16" s="25">
        <v>57779.199999999997</v>
      </c>
      <c r="AA16" s="25">
        <v>5263.68</v>
      </c>
      <c r="AB16" s="25">
        <f>F16*26.5</f>
        <v>5300</v>
      </c>
      <c r="AC16" s="25">
        <v>0</v>
      </c>
      <c r="AD16" s="25">
        <f>IF(F16="",G16*3.83,F16*3.83)</f>
        <v>766</v>
      </c>
      <c r="AE16" s="25">
        <v>2545.2199999999998</v>
      </c>
      <c r="AF16" s="25">
        <f>V16+Y16+Z16+AA16+AB16+AC16+AD16</f>
        <v>1173325.73</v>
      </c>
      <c r="AG16" s="25">
        <f>IFERROR(IFERROR((H16*W16*J16/15)-AE16,""),"")</f>
        <v>1270052.098</v>
      </c>
      <c r="AH16" s="26">
        <f>IFERROR(AG16-AF16,"")</f>
        <v>96726.368000000017</v>
      </c>
      <c r="AI16" s="6">
        <f>IF(F16="",(G16/$F$45)*$AL$18,(F16/$F$45)*$AL$18)</f>
        <v>0</v>
      </c>
      <c r="AJ16" s="6">
        <f>(AH16-AI16)*70%</f>
        <v>67708.457600000009</v>
      </c>
      <c r="AL16" s="57">
        <v>0</v>
      </c>
    </row>
    <row r="17" spans="1:39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483.63184000000007</v>
      </c>
      <c r="AI17" s="47"/>
      <c r="AJ17" s="47"/>
      <c r="AL17" s="57"/>
    </row>
    <row r="18" spans="1:39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7.6159370274903493E-2</v>
      </c>
      <c r="AI18" s="47"/>
      <c r="AJ18" s="47"/>
      <c r="AL18" s="95">
        <f>SUM(AL14:AL17)</f>
        <v>0</v>
      </c>
      <c r="AM18" s="1" t="s">
        <v>425</v>
      </c>
    </row>
    <row r="19" spans="1:39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</row>
    <row r="20" spans="1:39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</row>
    <row r="21" spans="1:39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4" t="s">
        <v>378</v>
      </c>
    </row>
    <row r="22" spans="1:39" x14ac:dyDescent="0.35">
      <c r="A22" s="20">
        <v>44908</v>
      </c>
      <c r="B22" s="21" t="s">
        <v>358</v>
      </c>
      <c r="C22" s="21" t="s">
        <v>356</v>
      </c>
      <c r="D22" s="44">
        <v>140423</v>
      </c>
      <c r="E22" s="44"/>
      <c r="F22" s="21">
        <v>200</v>
      </c>
      <c r="G22" s="21"/>
      <c r="H22" s="22">
        <v>113740</v>
      </c>
      <c r="I22" s="33">
        <v>0.55500000000000005</v>
      </c>
      <c r="J22" s="24">
        <f>IFERROR(K22/H22,"")</f>
        <v>0.56517496043608229</v>
      </c>
      <c r="K22" s="22">
        <v>64283</v>
      </c>
      <c r="L22" s="21">
        <v>3</v>
      </c>
      <c r="M22" s="21">
        <v>45</v>
      </c>
      <c r="N22" s="21">
        <v>105</v>
      </c>
      <c r="O22" s="21">
        <v>43</v>
      </c>
      <c r="P22" s="21">
        <v>4</v>
      </c>
      <c r="Q22" s="21"/>
      <c r="R22" s="21"/>
      <c r="S22" s="21"/>
      <c r="T22" s="21"/>
      <c r="U22" s="25">
        <v>265</v>
      </c>
      <c r="V22" s="25">
        <f>H22*U22*I22/15</f>
        <v>1115220.7000000002</v>
      </c>
      <c r="W22" s="25">
        <v>302.13</v>
      </c>
      <c r="X22" s="25">
        <v>1294785.43</v>
      </c>
      <c r="Y22" s="25">
        <f>F22*120</f>
        <v>24000</v>
      </c>
      <c r="Z22" s="25">
        <v>63469.279999999999</v>
      </c>
      <c r="AA22" s="25">
        <v>560</v>
      </c>
      <c r="AB22" s="25">
        <f>F22*26.5</f>
        <v>5300</v>
      </c>
      <c r="AC22" s="25">
        <v>0</v>
      </c>
      <c r="AD22" s="25">
        <f>IF(F22="",G22*3.83,F22*3.83)</f>
        <v>766</v>
      </c>
      <c r="AE22" s="25">
        <v>2589.5700000000002</v>
      </c>
      <c r="AF22" s="25">
        <f>V22+Y22+Z22+AA22+AB22+AC22+AD22</f>
        <v>1209315.9800000002</v>
      </c>
      <c r="AG22" s="25">
        <f>IFERROR(IFERROR((H22*W22*J22/15)-AE22,""),"")</f>
        <v>1292198.6160000002</v>
      </c>
      <c r="AH22" s="26">
        <f>IFERROR(AG22-AF22,"")</f>
        <v>82882.63599999994</v>
      </c>
      <c r="AI22" s="6">
        <f>IF(F22="",(G22/$F$45)*$AL$18,(F22/$F$45)*$AL$18)</f>
        <v>0</v>
      </c>
      <c r="AJ22" s="6">
        <f>(AH22-AI22)*70%</f>
        <v>58017.845199999952</v>
      </c>
    </row>
    <row r="23" spans="1:39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414.41317999999973</v>
      </c>
      <c r="AI23" s="47"/>
      <c r="AJ23" s="47"/>
    </row>
    <row r="24" spans="1:39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6.4140786852537476E-2</v>
      </c>
      <c r="AI24" s="47"/>
      <c r="AJ24" s="47"/>
    </row>
    <row r="25" spans="1:39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  <c r="AI25" s="47"/>
      <c r="AJ25" s="47"/>
    </row>
    <row r="26" spans="1:39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  <c r="AI26" s="47"/>
      <c r="AJ26" s="47"/>
    </row>
    <row r="27" spans="1:39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</row>
    <row r="28" spans="1:39" x14ac:dyDescent="0.35">
      <c r="A28" s="20">
        <v>44909</v>
      </c>
      <c r="B28" s="21" t="s">
        <v>358</v>
      </c>
      <c r="C28" s="21" t="s">
        <v>356</v>
      </c>
      <c r="D28" s="44">
        <v>140422</v>
      </c>
      <c r="E28" s="44"/>
      <c r="F28" s="21">
        <v>200</v>
      </c>
      <c r="G28" s="21"/>
      <c r="H28" s="22">
        <v>116200</v>
      </c>
      <c r="I28" s="33">
        <v>0.55500000000000005</v>
      </c>
      <c r="J28" s="24">
        <f>IFERROR(K28/H28,"")</f>
        <v>0.55470309810671259</v>
      </c>
      <c r="K28" s="22">
        <v>64456.5</v>
      </c>
      <c r="L28" s="21">
        <v>3</v>
      </c>
      <c r="M28" s="21">
        <v>61</v>
      </c>
      <c r="N28" s="21">
        <v>117</v>
      </c>
      <c r="O28" s="21">
        <v>18</v>
      </c>
      <c r="P28" s="21">
        <v>1</v>
      </c>
      <c r="Q28" s="21"/>
      <c r="R28" s="21"/>
      <c r="S28" s="21"/>
      <c r="T28" s="21"/>
      <c r="U28" s="25">
        <v>265</v>
      </c>
      <c r="V28" s="25">
        <f>H28*U28*I28/15</f>
        <v>1139341</v>
      </c>
      <c r="W28" s="25">
        <v>304.13</v>
      </c>
      <c r="X28" s="25">
        <v>1306878.43</v>
      </c>
      <c r="Y28" s="25">
        <f>F28*120</f>
        <v>24000</v>
      </c>
      <c r="Z28" s="25">
        <v>59432</v>
      </c>
      <c r="AA28" s="25">
        <v>0</v>
      </c>
      <c r="AB28" s="25">
        <f>F28*26.5</f>
        <v>5300</v>
      </c>
      <c r="AC28" s="25">
        <v>0</v>
      </c>
      <c r="AD28" s="25">
        <f>IF(F28="",G28*3.83,F28*3.83)</f>
        <v>766</v>
      </c>
      <c r="AE28" s="25">
        <v>2613.7600000000002</v>
      </c>
      <c r="AF28" s="25">
        <f>V28+Y28+Z28+AA28+AB28+AC28+AD28</f>
        <v>1228839</v>
      </c>
      <c r="AG28" s="25">
        <f>IFERROR(IFERROR((H28*W28*J28/15)-AE28,""),"")</f>
        <v>1304263.2630000003</v>
      </c>
      <c r="AH28" s="26">
        <f>IFERROR(AG28-AF28,"")</f>
        <v>75424.263000000268</v>
      </c>
      <c r="AI28" s="6">
        <f>IF(F28="",(G28/$F$45)*$AL$18,(F28/$F$45)*$AL$18)</f>
        <v>0</v>
      </c>
      <c r="AJ28" s="6">
        <f>(AH28-AI28)*70%</f>
        <v>52796.984100000183</v>
      </c>
    </row>
    <row r="29" spans="1:39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377.12131500000135</v>
      </c>
      <c r="AL29" s="11"/>
      <c r="AM29" s="11"/>
    </row>
    <row r="30" spans="1:39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5.7829017453511038E-2</v>
      </c>
      <c r="AL30" s="11"/>
      <c r="AM30" s="11"/>
    </row>
    <row r="31" spans="1:39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</row>
    <row r="32" spans="1:39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</row>
    <row r="33" spans="1:6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99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61" x14ac:dyDescent="0.35">
      <c r="A34" s="20">
        <v>44910</v>
      </c>
      <c r="B34" s="21" t="s">
        <v>358</v>
      </c>
      <c r="C34" s="21" t="s">
        <v>356</v>
      </c>
      <c r="D34" s="44">
        <v>140421</v>
      </c>
      <c r="E34" s="44"/>
      <c r="F34" s="98">
        <v>199</v>
      </c>
      <c r="G34" s="21"/>
      <c r="H34" s="22">
        <v>122484.5</v>
      </c>
      <c r="I34" s="33">
        <v>0.55500000000000005</v>
      </c>
      <c r="J34" s="24">
        <f>IFERROR(K34/H34,"")</f>
        <v>0.55643367119921294</v>
      </c>
      <c r="K34" s="22">
        <v>68154.5</v>
      </c>
      <c r="L34" s="21">
        <v>2</v>
      </c>
      <c r="M34" s="21">
        <v>24</v>
      </c>
      <c r="N34" s="21">
        <v>116</v>
      </c>
      <c r="O34" s="21">
        <v>51</v>
      </c>
      <c r="P34" s="21">
        <v>5</v>
      </c>
      <c r="Q34" s="21"/>
      <c r="R34" s="21"/>
      <c r="S34" s="21"/>
      <c r="T34" s="21">
        <v>1</v>
      </c>
      <c r="U34" s="25">
        <v>265</v>
      </c>
      <c r="V34" s="25">
        <f>H34*U34*I34/15</f>
        <v>1200960.5225000002</v>
      </c>
      <c r="W34" s="25">
        <v>301.42</v>
      </c>
      <c r="X34" s="25">
        <v>1369746.7</v>
      </c>
      <c r="Y34" s="25">
        <f>F34*120</f>
        <v>23880</v>
      </c>
      <c r="Z34" s="25">
        <v>60411.040000000001</v>
      </c>
      <c r="AA34" s="25">
        <v>2631.84</v>
      </c>
      <c r="AB34" s="25">
        <f>F34*26.5</f>
        <v>5273.5</v>
      </c>
      <c r="AC34" s="25">
        <v>0</v>
      </c>
      <c r="AD34" s="25">
        <f>IF(F34="",G34*3.83,F34*3.83)</f>
        <v>762.17</v>
      </c>
      <c r="AE34" s="25">
        <v>2739.49</v>
      </c>
      <c r="AF34" s="25">
        <f>V34+Y34+Z34+AA34+AB34+AC34+AD34</f>
        <v>1293919.0725000002</v>
      </c>
      <c r="AG34" s="25">
        <f>IFERROR(IFERROR((H34*W34*J34/15)-AE34,""),"")</f>
        <v>1366802.4693333334</v>
      </c>
      <c r="AH34" s="26">
        <f>IFERROR(AG34-AF34,"")</f>
        <v>72883.396833333187</v>
      </c>
      <c r="AI34" s="6">
        <f>IF(F34="",(G34/$F$45)*$AL$18,(F34/$F$45)*$AL$18)</f>
        <v>0</v>
      </c>
      <c r="AJ34" s="6">
        <f>(AH34-AI34)*70%</f>
        <v>51018.377783333228</v>
      </c>
    </row>
    <row r="35" spans="1:6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366.24822529313161</v>
      </c>
    </row>
    <row r="36" spans="1:6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5.3324016065673725E-2</v>
      </c>
    </row>
    <row r="37" spans="1:6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61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61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47"/>
    </row>
    <row r="40" spans="1:61" x14ac:dyDescent="0.35">
      <c r="A40" s="20">
        <v>44912</v>
      </c>
      <c r="B40" s="21" t="s">
        <v>365</v>
      </c>
      <c r="C40" s="21" t="s">
        <v>356</v>
      </c>
      <c r="D40" s="44">
        <v>140933</v>
      </c>
      <c r="E40" s="44"/>
      <c r="F40" s="21">
        <v>200</v>
      </c>
      <c r="G40" s="21"/>
      <c r="H40" s="22">
        <v>112430</v>
      </c>
      <c r="I40" s="33">
        <v>0.55500000000000005</v>
      </c>
      <c r="J40" s="24">
        <f>IFERROR(K40/H40,"")</f>
        <v>0.56637908031664141</v>
      </c>
      <c r="K40" s="22">
        <v>63678</v>
      </c>
      <c r="L40" s="21">
        <v>1</v>
      </c>
      <c r="M40" s="21">
        <v>54</v>
      </c>
      <c r="N40" s="21">
        <v>104</v>
      </c>
      <c r="O40" s="21">
        <v>39</v>
      </c>
      <c r="P40" s="21">
        <v>2</v>
      </c>
      <c r="Q40" s="21"/>
      <c r="R40" s="21"/>
      <c r="S40" s="21"/>
      <c r="T40" s="21"/>
      <c r="U40" s="25">
        <v>265</v>
      </c>
      <c r="V40" s="25">
        <f>H40*U40*I40/15</f>
        <v>1102376.1500000001</v>
      </c>
      <c r="W40" s="25">
        <v>303.94</v>
      </c>
      <c r="X40" s="25">
        <v>1290282.54</v>
      </c>
      <c r="Y40" s="25">
        <f>F34*120</f>
        <v>23880</v>
      </c>
      <c r="Z40" s="25">
        <v>63042.879999999997</v>
      </c>
      <c r="AA40" s="25">
        <v>0</v>
      </c>
      <c r="AB40" s="25">
        <f>F40*26.5</f>
        <v>5300</v>
      </c>
      <c r="AC40" s="25">
        <f>G40*30</f>
        <v>0</v>
      </c>
      <c r="AD40" s="25">
        <f>IF(F40="",G40*3.83,F40*3.83)</f>
        <v>766</v>
      </c>
      <c r="AE40" s="25">
        <v>2580.5700000000002</v>
      </c>
      <c r="AF40" s="25">
        <f>V40+Y40+Z40+AA40+AB40+AC40+AD40</f>
        <v>1195365.03</v>
      </c>
      <c r="AG40" s="25">
        <f>IFERROR(IFERROR((H40*W40*J40/15)-AE40,""),"")</f>
        <v>1287705.5179999999</v>
      </c>
      <c r="AH40" s="26">
        <f>IFERROR(AG40-AF40,"")</f>
        <v>92340.487999999896</v>
      </c>
      <c r="AI40" s="6">
        <f>IF(F40="",(G40/$F$45)*$AL$18,(F40/$F$45)*$AL$18)</f>
        <v>0</v>
      </c>
      <c r="AJ40" s="6">
        <f>(AH40-AI40)*70%</f>
        <v>64638.34159999992</v>
      </c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47"/>
    </row>
    <row r="41" spans="1:6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461.70243999999946</v>
      </c>
      <c r="AI41" s="47"/>
      <c r="AJ41" s="47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4"/>
    </row>
    <row r="42" spans="1:6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7.1709320733065227E-2</v>
      </c>
      <c r="AI42" s="47"/>
      <c r="AJ42" s="47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4"/>
    </row>
    <row r="43" spans="1:61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4"/>
    </row>
    <row r="44" spans="1:61" ht="15" thickBot="1" x14ac:dyDescent="0.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61" ht="16" thickBot="1" x14ac:dyDescent="0.4">
      <c r="A45" s="377" t="s">
        <v>357</v>
      </c>
      <c r="B45" s="378"/>
      <c r="C45" s="378"/>
      <c r="D45" s="378"/>
      <c r="E45" s="378"/>
      <c r="F45" s="30">
        <f>SUM(F4:G40)</f>
        <v>1247</v>
      </c>
      <c r="G45" s="30"/>
      <c r="H45" s="30"/>
      <c r="I45" s="30"/>
      <c r="J45" s="30"/>
      <c r="K45" s="30"/>
      <c r="L45" s="46"/>
      <c r="M45" s="46"/>
      <c r="N45" s="46"/>
      <c r="O45" s="46"/>
      <c r="P45" s="46"/>
      <c r="Q45" s="46"/>
      <c r="R45" s="46"/>
      <c r="S45" s="46"/>
      <c r="T45" s="46"/>
      <c r="U45" s="30"/>
      <c r="V45" s="31">
        <f>V4+V10+V16+V22+V28+V34+V40</f>
        <v>6921941.1058333339</v>
      </c>
      <c r="W45" s="30"/>
      <c r="X45" s="30"/>
      <c r="Y45" s="31">
        <f>Y4+Y10+Y16+Y22+Y28+Y34+Y40</f>
        <v>143760</v>
      </c>
      <c r="Z45" s="31">
        <f>Z4+Z10+Z16+Z22+Z28+Z34+Z40</f>
        <v>366240.89999999997</v>
      </c>
      <c r="AA45" s="31">
        <f>AA4+AA10+AA16+AA22+AA28+AA34+AA40</f>
        <v>13719.2</v>
      </c>
      <c r="AB45" s="31">
        <f>AB4+AB10+AB16+AB16+AB22+AB28+AB34+AB40</f>
        <v>37073.5</v>
      </c>
      <c r="AC45" s="31">
        <f t="shared" ref="AC45:AJ45" si="0">AC4+AC10+AC16+AC22+AC28+AC34+AC40</f>
        <v>1440</v>
      </c>
      <c r="AD45" s="31">
        <f t="shared" si="0"/>
        <v>4776.01</v>
      </c>
      <c r="AE45" s="31">
        <f t="shared" si="0"/>
        <v>15983.89</v>
      </c>
      <c r="AF45" s="31">
        <f t="shared" si="0"/>
        <v>7483650.7158333333</v>
      </c>
      <c r="AG45" s="31">
        <f t="shared" si="0"/>
        <v>7975815.9690000014</v>
      </c>
      <c r="AH45" s="31">
        <f t="shared" si="0"/>
        <v>492165.25316666649</v>
      </c>
      <c r="AI45" s="31">
        <f t="shared" si="0"/>
        <v>0</v>
      </c>
      <c r="AJ45" s="31">
        <f t="shared" si="0"/>
        <v>344515.67721666652</v>
      </c>
    </row>
    <row r="46" spans="1:61" x14ac:dyDescent="0.35">
      <c r="AI46" s="6"/>
      <c r="AJ46" s="6"/>
    </row>
    <row r="47" spans="1:61" x14ac:dyDescent="0.35">
      <c r="AI47" s="47"/>
      <c r="AJ47" s="47"/>
    </row>
    <row r="48" spans="1:61" x14ac:dyDescent="0.35">
      <c r="AI48" s="47"/>
      <c r="AJ48" s="47"/>
    </row>
    <row r="49" spans="35:36" x14ac:dyDescent="0.35">
      <c r="AI49" s="47"/>
      <c r="AJ49" s="47"/>
    </row>
    <row r="50" spans="35:36" x14ac:dyDescent="0.35">
      <c r="AI50" s="47"/>
      <c r="AJ50" s="47"/>
    </row>
    <row r="51" spans="35:36" x14ac:dyDescent="0.35">
      <c r="AI51" s="14"/>
      <c r="AJ51" s="14"/>
    </row>
    <row r="52" spans="35:36" x14ac:dyDescent="0.35">
      <c r="AI52" s="6"/>
      <c r="AJ52" s="6"/>
    </row>
    <row r="55" spans="35:36" x14ac:dyDescent="0.35">
      <c r="AI55" s="24"/>
      <c r="AJ55" s="24"/>
    </row>
    <row r="56" spans="35:36" x14ac:dyDescent="0.35">
      <c r="AI56" s="24"/>
      <c r="AJ56" s="24"/>
    </row>
    <row r="57" spans="35:36" x14ac:dyDescent="0.35">
      <c r="AI57" s="14"/>
      <c r="AJ57" s="14"/>
    </row>
    <row r="58" spans="35:36" x14ac:dyDescent="0.35">
      <c r="AI58" s="6"/>
      <c r="AJ58" s="6"/>
    </row>
    <row r="61" spans="35:36" x14ac:dyDescent="0.35">
      <c r="AI61" s="47"/>
      <c r="AJ61" s="47"/>
    </row>
    <row r="62" spans="35:36" x14ac:dyDescent="0.35">
      <c r="AI62" s="47"/>
      <c r="AJ62" s="47"/>
    </row>
    <row r="63" spans="35:36" x14ac:dyDescent="0.35">
      <c r="AI63" s="14"/>
      <c r="AJ63" s="14"/>
    </row>
    <row r="64" spans="35:36" x14ac:dyDescent="0.35">
      <c r="AI64" s="6"/>
      <c r="AJ64" s="6"/>
    </row>
    <row r="67" spans="35:36" x14ac:dyDescent="0.35">
      <c r="AI67" s="47"/>
      <c r="AJ67" s="47"/>
    </row>
    <row r="68" spans="35:36" x14ac:dyDescent="0.35">
      <c r="AI68" s="47"/>
      <c r="AJ68" s="47"/>
    </row>
    <row r="69" spans="35:36" x14ac:dyDescent="0.35">
      <c r="AI69" s="14"/>
      <c r="AJ69" s="14"/>
    </row>
    <row r="70" spans="35:36" x14ac:dyDescent="0.35">
      <c r="AI70" s="6"/>
      <c r="AJ70" s="6"/>
    </row>
    <row r="71" spans="35:36" x14ac:dyDescent="0.35">
      <c r="AI71" s="47"/>
      <c r="AJ71" s="47"/>
    </row>
    <row r="72" spans="35:36" x14ac:dyDescent="0.35">
      <c r="AI72" s="47"/>
      <c r="AJ72" s="47"/>
    </row>
    <row r="73" spans="35:36" x14ac:dyDescent="0.35">
      <c r="AI73" s="47"/>
      <c r="AJ73" s="47"/>
    </row>
    <row r="74" spans="35:36" x14ac:dyDescent="0.35">
      <c r="AI74" s="47"/>
      <c r="AJ74" s="47"/>
    </row>
    <row r="75" spans="35:36" x14ac:dyDescent="0.35">
      <c r="AI75" s="14"/>
      <c r="AJ75" s="14"/>
    </row>
    <row r="76" spans="35:36" x14ac:dyDescent="0.35">
      <c r="AI76" s="6"/>
      <c r="AJ76" s="6"/>
    </row>
    <row r="77" spans="35:36" x14ac:dyDescent="0.35">
      <c r="AI77" s="47"/>
      <c r="AJ77" s="47"/>
    </row>
    <row r="78" spans="35:36" x14ac:dyDescent="0.35">
      <c r="AI78" s="47"/>
      <c r="AJ78" s="47"/>
    </row>
    <row r="79" spans="35:36" x14ac:dyDescent="0.35">
      <c r="AI79" s="47"/>
      <c r="AJ79" s="47"/>
    </row>
    <row r="80" spans="35:36" x14ac:dyDescent="0.35">
      <c r="AI80" s="47"/>
      <c r="AJ80" s="47"/>
    </row>
    <row r="81" spans="35:36" x14ac:dyDescent="0.35">
      <c r="AI81" s="14"/>
      <c r="AJ81" s="14"/>
    </row>
    <row r="82" spans="35:36" x14ac:dyDescent="0.35">
      <c r="AI82" s="6"/>
      <c r="AJ82" s="6"/>
    </row>
  </sheetData>
  <mergeCells count="2">
    <mergeCell ref="U2:AC2"/>
    <mergeCell ref="A45:E4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0"/>
  <dimension ref="A1:AL33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29.4531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44913</v>
      </c>
      <c r="B4" s="21" t="s">
        <v>358</v>
      </c>
      <c r="C4" s="21" t="s">
        <v>356</v>
      </c>
      <c r="D4" s="44">
        <v>140932</v>
      </c>
      <c r="E4" s="44"/>
      <c r="F4" s="21">
        <v>200</v>
      </c>
      <c r="G4" s="21"/>
      <c r="H4" s="22">
        <v>109150</v>
      </c>
      <c r="I4" s="33">
        <v>0.55500000000000005</v>
      </c>
      <c r="J4" s="24">
        <f>IFERROR(K4/H4,"")</f>
        <v>0.56188273018781498</v>
      </c>
      <c r="K4" s="22">
        <v>61329.5</v>
      </c>
      <c r="L4" s="21">
        <v>2</v>
      </c>
      <c r="M4" s="21">
        <v>51</v>
      </c>
      <c r="N4" s="21">
        <v>123</v>
      </c>
      <c r="O4" s="21">
        <v>24</v>
      </c>
      <c r="P4" s="21"/>
      <c r="Q4" s="21"/>
      <c r="R4" s="21"/>
      <c r="S4" s="21"/>
      <c r="T4" s="21"/>
      <c r="U4" s="25">
        <v>265</v>
      </c>
      <c r="V4" s="25">
        <f>H4*U4*I4/15</f>
        <v>1070215.7500000002</v>
      </c>
      <c r="W4" s="25">
        <v>309.26</v>
      </c>
      <c r="X4" s="25">
        <v>1264444.79</v>
      </c>
      <c r="Y4" s="25">
        <f>F4*50</f>
        <v>10000</v>
      </c>
      <c r="Z4" s="25">
        <v>61621.4</v>
      </c>
      <c r="AA4" s="25">
        <v>630</v>
      </c>
      <c r="AB4" s="25">
        <f>F4*26.5</f>
        <v>5300</v>
      </c>
      <c r="AC4" s="25">
        <f>F4*30</f>
        <v>6000</v>
      </c>
      <c r="AD4" s="25">
        <f>F4*3.83</f>
        <v>766</v>
      </c>
      <c r="AE4" s="25">
        <v>2528.89</v>
      </c>
      <c r="AF4" s="25">
        <f>V4+Y4+Z4+AA4+AB4+AC4+AD4</f>
        <v>1154533.1500000001</v>
      </c>
      <c r="AG4" s="25">
        <f>IFERROR(IFERROR((H4*W4*J4/15)-AE4,""),"")</f>
        <v>1261921.8546666668</v>
      </c>
      <c r="AH4" s="26">
        <f>IFERROR(AG4-AF4,"")</f>
        <v>107388.70466666669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536.94352333333347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8.5099330255305791E-2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K9" s="63"/>
    </row>
    <row r="10" spans="1:38" x14ac:dyDescent="0.35">
      <c r="A10" s="20">
        <v>44914</v>
      </c>
      <c r="B10" s="21" t="s">
        <v>358</v>
      </c>
      <c r="C10" s="21" t="s">
        <v>356</v>
      </c>
      <c r="D10" s="44">
        <v>140931</v>
      </c>
      <c r="E10" s="44"/>
      <c r="F10" s="21">
        <v>200</v>
      </c>
      <c r="G10" s="21"/>
      <c r="H10" s="22">
        <v>118980</v>
      </c>
      <c r="I10" s="33">
        <v>0.55500000000000005</v>
      </c>
      <c r="J10" s="24">
        <f>IFERROR(K10/H10,"")</f>
        <v>0.57376449823499753</v>
      </c>
      <c r="K10" s="22">
        <v>68266.5</v>
      </c>
      <c r="L10" s="21">
        <v>2</v>
      </c>
      <c r="M10" s="21">
        <v>39</v>
      </c>
      <c r="N10" s="21">
        <v>95</v>
      </c>
      <c r="O10" s="21">
        <v>59</v>
      </c>
      <c r="P10" s="21">
        <v>4</v>
      </c>
      <c r="Q10" s="21">
        <v>1</v>
      </c>
      <c r="R10" s="21"/>
      <c r="S10" s="21"/>
      <c r="T10" s="21"/>
      <c r="U10" s="25">
        <v>265</v>
      </c>
      <c r="V10" s="25">
        <f>H10*U10*I10/15</f>
        <v>1166598.8999999999</v>
      </c>
      <c r="W10" s="25">
        <v>303.14</v>
      </c>
      <c r="X10" s="25">
        <v>1379618.47</v>
      </c>
      <c r="Y10" s="25">
        <f>F10*50</f>
        <v>10000</v>
      </c>
      <c r="Z10" s="25">
        <v>57677.599999999999</v>
      </c>
      <c r="AA10" s="25">
        <v>0</v>
      </c>
      <c r="AB10" s="25">
        <f>F10*26.5</f>
        <v>5300</v>
      </c>
      <c r="AC10" s="25">
        <f>F10*30</f>
        <v>6000</v>
      </c>
      <c r="AD10" s="25">
        <f>IF(F10="",G10*3.83,F10*3.83)</f>
        <v>766</v>
      </c>
      <c r="AE10" s="25">
        <v>2759.23</v>
      </c>
      <c r="AF10" s="25">
        <f>V10+Y10+Z10+AA10+AB10+AC10+AD10</f>
        <v>1246342.5</v>
      </c>
      <c r="AG10" s="25">
        <f>IFERROR(IFERROR((H10*W10*J10/15)-AE10,""),"")</f>
        <v>1376861.2239999999</v>
      </c>
      <c r="AH10" s="26">
        <f>IFERROR(AG10-AF10,"")</f>
        <v>130518.72399999993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652.59361999999965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9.4794393018653222E-2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99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</row>
    <row r="16" spans="1:38" x14ac:dyDescent="0.35">
      <c r="A16" s="20">
        <v>44915</v>
      </c>
      <c r="B16" s="21" t="s">
        <v>358</v>
      </c>
      <c r="C16" s="21" t="s">
        <v>356</v>
      </c>
      <c r="D16" s="44">
        <v>140930</v>
      </c>
      <c r="E16" s="44"/>
      <c r="F16" s="98">
        <v>150</v>
      </c>
      <c r="G16" s="21"/>
      <c r="H16" s="22">
        <v>88320</v>
      </c>
      <c r="I16" s="33">
        <v>0.55500000000000005</v>
      </c>
      <c r="J16" s="24">
        <f>IFERROR(K16/H16,"")</f>
        <v>0.56056951992753623</v>
      </c>
      <c r="K16" s="22">
        <v>49509.5</v>
      </c>
      <c r="L16" s="21">
        <v>1</v>
      </c>
      <c r="M16" s="21">
        <v>35</v>
      </c>
      <c r="N16" s="21">
        <v>84</v>
      </c>
      <c r="O16" s="21">
        <v>30</v>
      </c>
      <c r="P16" s="21"/>
      <c r="Q16" s="21"/>
      <c r="R16" s="21"/>
      <c r="S16" s="21"/>
      <c r="T16" s="21"/>
      <c r="U16" s="25">
        <v>265</v>
      </c>
      <c r="V16" s="25">
        <f>H16*U16*I16/15</f>
        <v>865977.60000000009</v>
      </c>
      <c r="W16" s="25">
        <v>302.7</v>
      </c>
      <c r="X16" s="25">
        <v>999098.88</v>
      </c>
      <c r="Y16" s="25">
        <f>F16*50</f>
        <v>7500</v>
      </c>
      <c r="Z16" s="25">
        <v>47985.2</v>
      </c>
      <c r="AA16" s="25">
        <v>0</v>
      </c>
      <c r="AB16" s="25">
        <f>F16*26.5</f>
        <v>3975</v>
      </c>
      <c r="AC16" s="25">
        <f>F16*30</f>
        <v>4500</v>
      </c>
      <c r="AD16" s="25">
        <f>IF(F16="",G16*3.83,F16*3.83)</f>
        <v>574.5</v>
      </c>
      <c r="AE16" s="25">
        <v>0</v>
      </c>
      <c r="AF16" s="25">
        <f>V16+Y16+Z16+AA16+AB16+AC16+AD16</f>
        <v>930512.3</v>
      </c>
      <c r="AG16" s="25">
        <f>IFERROR(IFERROR((H16*W16*J16/15)-AE16,""),"")</f>
        <v>999101.71000000008</v>
      </c>
      <c r="AH16" s="26">
        <f>IFERROR(AG16-AF16,"")</f>
        <v>68589.410000000033</v>
      </c>
      <c r="AJ16">
        <f>F4+G4+F10+G10+F16+G16+F22+G22+F28+G28</f>
        <v>799</v>
      </c>
      <c r="AK16" s="50" t="s">
        <v>22</v>
      </c>
      <c r="AL16" t="s">
        <v>72</v>
      </c>
    </row>
    <row r="17" spans="1:37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457.26273333333353</v>
      </c>
      <c r="AJ17" s="11">
        <f>AH4+AH10+AH16+AH22+AH28</f>
        <v>409874.82549999945</v>
      </c>
      <c r="AK17" s="11">
        <f>AJ17*30%</f>
        <v>122962.44764999983</v>
      </c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6.8651078577375291E-2</v>
      </c>
      <c r="AJ18" s="11"/>
      <c r="AK18" s="11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</row>
    <row r="21" spans="1:37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</row>
    <row r="22" spans="1:37" x14ac:dyDescent="0.35">
      <c r="A22" s="20">
        <v>44916</v>
      </c>
      <c r="B22" s="21" t="s">
        <v>358</v>
      </c>
      <c r="C22" s="21" t="s">
        <v>356</v>
      </c>
      <c r="D22" s="44">
        <v>140929</v>
      </c>
      <c r="E22" s="44"/>
      <c r="F22" s="91">
        <v>199</v>
      </c>
      <c r="G22" s="21"/>
      <c r="H22" s="22">
        <v>115559.3</v>
      </c>
      <c r="I22" s="33">
        <v>0.55500000000000005</v>
      </c>
      <c r="J22" s="24">
        <f>IFERROR(K22/H22,"")</f>
        <v>0.56281060892546075</v>
      </c>
      <c r="K22" s="22">
        <v>65038</v>
      </c>
      <c r="L22" s="21">
        <v>1</v>
      </c>
      <c r="M22" s="21">
        <v>34</v>
      </c>
      <c r="N22" s="21">
        <v>121</v>
      </c>
      <c r="O22" s="21">
        <v>43</v>
      </c>
      <c r="P22" s="21"/>
      <c r="Q22" s="21"/>
      <c r="R22" s="21"/>
      <c r="S22" s="21"/>
      <c r="T22" s="21"/>
      <c r="U22" s="25">
        <v>265</v>
      </c>
      <c r="V22" s="25">
        <f>H22*U22*I22/15</f>
        <v>1133058.9365000003</v>
      </c>
      <c r="W22" s="25">
        <v>299.95999999999998</v>
      </c>
      <c r="X22" s="25">
        <v>1300592.5</v>
      </c>
      <c r="Y22" s="25">
        <f>F22*50</f>
        <v>9950</v>
      </c>
      <c r="Z22" s="25">
        <v>57728</v>
      </c>
      <c r="AA22" s="25">
        <v>0</v>
      </c>
      <c r="AB22" s="25">
        <f>F22*26.5</f>
        <v>5273.5</v>
      </c>
      <c r="AC22" s="25">
        <f>F22*30</f>
        <v>5970</v>
      </c>
      <c r="AD22" s="25">
        <f>IF(F22="",G22*3.83,F22*3.83)</f>
        <v>762.17</v>
      </c>
      <c r="AE22" s="25">
        <v>0</v>
      </c>
      <c r="AF22" s="25">
        <f>V22+Y22+Z22+AA22+AB22+AC22+AD22</f>
        <v>1212742.6065000002</v>
      </c>
      <c r="AG22" s="25">
        <f>IFERROR(IFERROR((H22*W22*J22/15)-AE22,""),"")</f>
        <v>1300586.5653333331</v>
      </c>
      <c r="AH22" s="26">
        <f>IFERROR(AG22-AF22,"")</f>
        <v>87843.958833332872</v>
      </c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441.42692881071792</v>
      </c>
    </row>
    <row r="24" spans="1:3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6.7541800887985462E-2</v>
      </c>
    </row>
    <row r="25" spans="1:3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7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99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7" x14ac:dyDescent="0.35">
      <c r="A28" s="20">
        <v>44915</v>
      </c>
      <c r="B28" s="21" t="s">
        <v>358</v>
      </c>
      <c r="C28" s="21" t="s">
        <v>356</v>
      </c>
      <c r="D28" s="44">
        <v>141495</v>
      </c>
      <c r="E28" s="44"/>
      <c r="F28" s="98">
        <v>50</v>
      </c>
      <c r="G28" s="21"/>
      <c r="H28" s="22">
        <v>29440</v>
      </c>
      <c r="I28" s="33">
        <v>0.55500000000000005</v>
      </c>
      <c r="J28" s="24">
        <f>IFERROR(K28/H28,"")</f>
        <v>0.56474184782608694</v>
      </c>
      <c r="K28" s="22">
        <v>16626</v>
      </c>
      <c r="L28" s="21"/>
      <c r="M28" s="21">
        <v>9</v>
      </c>
      <c r="N28" s="21">
        <v>28</v>
      </c>
      <c r="O28" s="21">
        <v>12</v>
      </c>
      <c r="P28" s="21">
        <v>1</v>
      </c>
      <c r="Q28" s="21"/>
      <c r="R28" s="21"/>
      <c r="S28" s="21"/>
      <c r="T28" s="21"/>
      <c r="U28" s="25">
        <v>265</v>
      </c>
      <c r="V28" s="25">
        <f>H28*U28*I28/15</f>
        <v>288659.20000000001</v>
      </c>
      <c r="W28" s="25">
        <v>298.52</v>
      </c>
      <c r="X28" s="25">
        <v>330879.42</v>
      </c>
      <c r="Y28" s="25">
        <f>F28*50</f>
        <v>2500</v>
      </c>
      <c r="Z28" s="25">
        <v>16931.7</v>
      </c>
      <c r="AA28" s="25">
        <v>3576.38</v>
      </c>
      <c r="AB28" s="25">
        <f>F28*26.5</f>
        <v>1325</v>
      </c>
      <c r="AC28" s="25">
        <f>F28*30</f>
        <v>1500</v>
      </c>
      <c r="AD28" s="25">
        <f>IF(F28="",G28*3.83,F28*3.83)</f>
        <v>191.5</v>
      </c>
      <c r="AE28" s="25">
        <v>661.76</v>
      </c>
      <c r="AF28" s="25">
        <f>V28+Y28+Z28+AA28+AB28+AC28+AD28</f>
        <v>314683.78000000003</v>
      </c>
      <c r="AG28" s="25">
        <f>IFERROR(IFERROR((H28*W28*J28/15)-AE28,""),"")</f>
        <v>330217.80799999996</v>
      </c>
      <c r="AH28" s="26">
        <f>IFERROR(AG28-AF28,"")</f>
        <v>15534.027999999933</v>
      </c>
    </row>
    <row r="29" spans="1:37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310.68055999999865</v>
      </c>
      <c r="AJ29" s="11"/>
      <c r="AK29" s="11"/>
    </row>
    <row r="30" spans="1:37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4.704176341695035E-2</v>
      </c>
      <c r="AJ30" s="11"/>
      <c r="AK30" s="11"/>
    </row>
    <row r="31" spans="1:37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7" ht="15" thickBot="1" x14ac:dyDescent="0.4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4" ht="16" thickBot="1" x14ac:dyDescent="0.4">
      <c r="A33" s="377" t="s">
        <v>366</v>
      </c>
      <c r="B33" s="378"/>
      <c r="C33" s="378"/>
      <c r="D33" s="378"/>
      <c r="E33" s="378"/>
      <c r="F33" s="378"/>
      <c r="G33" s="378"/>
      <c r="H33" s="378"/>
      <c r="I33" s="378"/>
      <c r="J33" s="378"/>
      <c r="K33" s="378"/>
      <c r="L33" s="46"/>
      <c r="M33" s="46"/>
      <c r="N33" s="46"/>
      <c r="O33" s="46"/>
      <c r="P33" s="46"/>
      <c r="Q33" s="46"/>
      <c r="R33" s="46"/>
      <c r="S33" s="46"/>
      <c r="T33" s="46"/>
      <c r="U33" s="30"/>
      <c r="V33" s="31">
        <f>V4+V10+V16+V22+V28</f>
        <v>4524510.386500001</v>
      </c>
      <c r="W33" s="30"/>
      <c r="X33" s="30"/>
      <c r="Y33" s="31">
        <f>Y4+Y10+Y16+Y22+Y28</f>
        <v>39950</v>
      </c>
      <c r="Z33" s="31">
        <f>Z4+Z10+Z16+Z22+Z28</f>
        <v>241943.90000000002</v>
      </c>
      <c r="AA33" s="31">
        <f>AA4+AA10+AA16+AA22+AA28</f>
        <v>4206.38</v>
      </c>
      <c r="AB33" s="31">
        <f>AB4+AB10+AB16+AB16+AB22+AB28</f>
        <v>25148.5</v>
      </c>
      <c r="AC33" s="31">
        <f>AC4+AC10+AC16+AC22+AC28</f>
        <v>23970</v>
      </c>
      <c r="AD33" s="31">
        <f>AD4+AD10+AD16+AD22+AD28</f>
        <v>3060.17</v>
      </c>
      <c r="AE33" s="31">
        <f>AE4+AE10+AE16+AE22+AE28</f>
        <v>5949.88</v>
      </c>
      <c r="AF33" s="31">
        <f>AF4+AF10+AF16+AF22+AF28</f>
        <v>4858814.3365000011</v>
      </c>
      <c r="AG33" s="31">
        <f>AG4+AG10+AG16+AG22+AG28</f>
        <v>5268689.1619999995</v>
      </c>
      <c r="AH33" s="32"/>
    </row>
  </sheetData>
  <mergeCells count="2">
    <mergeCell ref="U2:AC2"/>
    <mergeCell ref="A33:K3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1"/>
  <dimension ref="A1:BG75"/>
  <sheetViews>
    <sheetView zoomScale="80" zoomScaleNormal="80" workbookViewId="0"/>
  </sheetViews>
  <sheetFormatPr defaultRowHeight="14.5" x14ac:dyDescent="0.35"/>
  <cols>
    <col min="1" max="1" width="12.1796875" customWidth="1"/>
    <col min="2" max="2" width="21.453125" customWidth="1"/>
    <col min="3" max="3" width="29.453125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15" customWidth="1"/>
    <col min="36" max="36" width="16.453125" bestFit="1" customWidth="1"/>
    <col min="37" max="37" width="15.7265625" customWidth="1"/>
  </cols>
  <sheetData>
    <row r="1" spans="1:38" ht="15" thickBot="1" x14ac:dyDescent="0.4"/>
    <row r="2" spans="1:38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38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</row>
    <row r="4" spans="1:38" x14ac:dyDescent="0.35">
      <c r="A4" s="20">
        <v>44921</v>
      </c>
      <c r="B4" s="21" t="s">
        <v>358</v>
      </c>
      <c r="C4" s="21" t="s">
        <v>356</v>
      </c>
      <c r="D4" s="44">
        <v>141665</v>
      </c>
      <c r="E4" s="44"/>
      <c r="F4" s="21">
        <v>150</v>
      </c>
      <c r="G4" s="21"/>
      <c r="H4" s="22">
        <v>86680</v>
      </c>
      <c r="I4" s="33">
        <v>0.55500000000000005</v>
      </c>
      <c r="J4" s="24">
        <f>IFERROR(K4/H4,"")</f>
        <v>0.56226349792339636</v>
      </c>
      <c r="K4" s="22">
        <v>48737</v>
      </c>
      <c r="L4" s="21"/>
      <c r="M4" s="21">
        <v>30</v>
      </c>
      <c r="N4" s="21">
        <v>91</v>
      </c>
      <c r="O4" s="21">
        <v>28</v>
      </c>
      <c r="P4" s="21">
        <v>1</v>
      </c>
      <c r="Q4" s="21"/>
      <c r="R4" s="21"/>
      <c r="S4" s="21"/>
      <c r="T4" s="21"/>
      <c r="U4" s="25">
        <v>265</v>
      </c>
      <c r="V4" s="25">
        <f>H4*U4*I4/15</f>
        <v>849897.40000000014</v>
      </c>
      <c r="W4" s="25">
        <v>299.81</v>
      </c>
      <c r="X4" s="25">
        <v>974109.16</v>
      </c>
      <c r="Y4" s="25">
        <f>F4*50</f>
        <v>7500</v>
      </c>
      <c r="Z4" s="25">
        <v>43258.2</v>
      </c>
      <c r="AA4" s="25">
        <v>0</v>
      </c>
      <c r="AB4" s="25">
        <f>F4*26.5</f>
        <v>3975</v>
      </c>
      <c r="AC4" s="25">
        <f>F4*30</f>
        <v>4500</v>
      </c>
      <c r="AD4" s="25">
        <f>F4*3.83</f>
        <v>574.5</v>
      </c>
      <c r="AE4" s="25">
        <v>1948.22</v>
      </c>
      <c r="AF4" s="25">
        <f>V4+Y4+Z4+AA4+AB4+AC4+AD4</f>
        <v>909705.10000000009</v>
      </c>
      <c r="AG4" s="25">
        <f>IFERROR(IFERROR((H4*W4*J4/15)-AE4,""),"")</f>
        <v>972174.44466666656</v>
      </c>
      <c r="AH4" s="26">
        <f>IFERROR(AG4-AF4,"")</f>
        <v>62469.344666666468</v>
      </c>
      <c r="AJ4" s="6"/>
      <c r="AK4" s="6"/>
    </row>
    <row r="5" spans="1:38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416.46229777777643</v>
      </c>
      <c r="AK5" s="63"/>
    </row>
    <row r="6" spans="1:38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6.4257340860348983E-2</v>
      </c>
      <c r="AK6" s="63"/>
    </row>
    <row r="7" spans="1:38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K7" s="63"/>
    </row>
    <row r="8" spans="1:38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K8" s="63"/>
    </row>
    <row r="9" spans="1:38" x14ac:dyDescent="0.35">
      <c r="A9" s="106" t="s">
        <v>1</v>
      </c>
      <c r="B9" s="106" t="s">
        <v>2</v>
      </c>
      <c r="C9" s="106" t="s">
        <v>110</v>
      </c>
      <c r="D9" s="106" t="s">
        <v>66</v>
      </c>
      <c r="E9" s="106"/>
      <c r="F9" s="106" t="s">
        <v>137</v>
      </c>
      <c r="G9" s="106" t="s">
        <v>138</v>
      </c>
      <c r="H9" s="106" t="s">
        <v>4</v>
      </c>
      <c r="I9" s="106" t="s">
        <v>5</v>
      </c>
      <c r="J9" s="106" t="s">
        <v>6</v>
      </c>
      <c r="K9" s="106" t="s">
        <v>7</v>
      </c>
      <c r="L9" s="106" t="s">
        <v>279</v>
      </c>
      <c r="M9" s="106" t="s">
        <v>280</v>
      </c>
      <c r="N9" s="106" t="s">
        <v>281</v>
      </c>
      <c r="O9" s="106" t="s">
        <v>282</v>
      </c>
      <c r="P9" s="106" t="s">
        <v>283</v>
      </c>
      <c r="Q9" s="106" t="s">
        <v>284</v>
      </c>
      <c r="R9" s="106" t="s">
        <v>904</v>
      </c>
      <c r="S9" s="106" t="s">
        <v>285</v>
      </c>
      <c r="T9" s="106" t="s">
        <v>289</v>
      </c>
      <c r="U9" s="106" t="s">
        <v>8</v>
      </c>
      <c r="V9" s="106" t="s">
        <v>9</v>
      </c>
      <c r="W9" s="106" t="s">
        <v>10</v>
      </c>
      <c r="X9" s="106" t="s">
        <v>100</v>
      </c>
      <c r="Y9" s="106" t="s">
        <v>106</v>
      </c>
      <c r="Z9" s="106" t="s">
        <v>12</v>
      </c>
      <c r="AA9" s="106" t="s">
        <v>258</v>
      </c>
      <c r="AB9" s="106" t="s">
        <v>13</v>
      </c>
      <c r="AC9" s="106" t="s">
        <v>74</v>
      </c>
      <c r="AD9" s="106" t="s">
        <v>21</v>
      </c>
      <c r="AE9" s="106" t="s">
        <v>14</v>
      </c>
      <c r="AF9" s="106" t="s">
        <v>15</v>
      </c>
      <c r="AG9" s="106" t="s">
        <v>16</v>
      </c>
      <c r="AH9" s="15" t="s">
        <v>17</v>
      </c>
      <c r="AK9" s="63"/>
    </row>
    <row r="10" spans="1:38" x14ac:dyDescent="0.35">
      <c r="A10" s="107">
        <v>44921</v>
      </c>
      <c r="B10" s="108" t="s">
        <v>358</v>
      </c>
      <c r="C10" s="108" t="s">
        <v>356</v>
      </c>
      <c r="D10" s="109">
        <v>63412</v>
      </c>
      <c r="E10" s="109"/>
      <c r="F10" s="108">
        <v>100</v>
      </c>
      <c r="G10" s="108"/>
      <c r="H10" s="110">
        <v>56920</v>
      </c>
      <c r="I10" s="111">
        <v>0.55500000000000005</v>
      </c>
      <c r="J10" s="112">
        <f>IFERROR(K10/H10,"")</f>
        <v>0.55937104708362617</v>
      </c>
      <c r="K10" s="110">
        <v>31839.4</v>
      </c>
      <c r="L10" s="108">
        <v>6</v>
      </c>
      <c r="M10" s="108">
        <v>76</v>
      </c>
      <c r="N10" s="108">
        <v>1</v>
      </c>
      <c r="O10" s="108">
        <v>16</v>
      </c>
      <c r="P10" s="108"/>
      <c r="Q10" s="108"/>
      <c r="R10" s="108"/>
      <c r="S10" s="108"/>
      <c r="T10" s="108">
        <v>1</v>
      </c>
      <c r="U10" s="113">
        <v>265</v>
      </c>
      <c r="V10" s="113">
        <f>H10*U10*I10/15</f>
        <v>558100.60000000009</v>
      </c>
      <c r="W10" s="113">
        <v>295.5967</v>
      </c>
      <c r="X10" s="113">
        <v>627441.32999999996</v>
      </c>
      <c r="Y10" s="113">
        <f>F10*50</f>
        <v>5000</v>
      </c>
      <c r="Z10" s="113">
        <v>33391.4</v>
      </c>
      <c r="AA10" s="113">
        <v>1000</v>
      </c>
      <c r="AB10" s="113">
        <f>F10*26.5</f>
        <v>2650</v>
      </c>
      <c r="AC10" s="113">
        <f>F10*30</f>
        <v>3000</v>
      </c>
      <c r="AD10" s="113">
        <f>IF(F10="",G10*3.83,F10*3.83)</f>
        <v>383</v>
      </c>
      <c r="AE10" s="113">
        <v>1254.8800000000001</v>
      </c>
      <c r="AF10" s="113">
        <f>V10+Y10+Z10+AA10+AB10+AC10+AD10</f>
        <v>603525.00000000012</v>
      </c>
      <c r="AG10" s="113">
        <f>IFERROR(IFERROR((H10*W10*J10/15)-AE10,""),"")</f>
        <v>626186.55799866677</v>
      </c>
      <c r="AH10" s="26">
        <f>IFERROR(AG10-AF10,"")</f>
        <v>22661.557998666656</v>
      </c>
    </row>
    <row r="11" spans="1:38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226.61557998666657</v>
      </c>
    </row>
    <row r="12" spans="1:38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3.6189786748368535E-2</v>
      </c>
    </row>
    <row r="13" spans="1:38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</row>
    <row r="14" spans="1:38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</row>
    <row r="15" spans="1:38" x14ac:dyDescent="0.35">
      <c r="A15" s="106" t="s">
        <v>1</v>
      </c>
      <c r="B15" s="106" t="s">
        <v>2</v>
      </c>
      <c r="C15" s="106" t="s">
        <v>110</v>
      </c>
      <c r="D15" s="106" t="s">
        <v>66</v>
      </c>
      <c r="E15" s="106"/>
      <c r="F15" s="106" t="s">
        <v>137</v>
      </c>
      <c r="G15" s="106" t="s">
        <v>138</v>
      </c>
      <c r="H15" s="106" t="s">
        <v>4</v>
      </c>
      <c r="I15" s="106" t="s">
        <v>5</v>
      </c>
      <c r="J15" s="106" t="s">
        <v>6</v>
      </c>
      <c r="K15" s="106" t="s">
        <v>7</v>
      </c>
      <c r="L15" s="106" t="s">
        <v>279</v>
      </c>
      <c r="M15" s="106" t="s">
        <v>280</v>
      </c>
      <c r="N15" s="106" t="s">
        <v>281</v>
      </c>
      <c r="O15" s="106" t="s">
        <v>282</v>
      </c>
      <c r="P15" s="106" t="s">
        <v>283</v>
      </c>
      <c r="Q15" s="106" t="s">
        <v>284</v>
      </c>
      <c r="R15" s="106" t="s">
        <v>904</v>
      </c>
      <c r="S15" s="106" t="s">
        <v>285</v>
      </c>
      <c r="T15" s="106" t="s">
        <v>289</v>
      </c>
      <c r="U15" s="106" t="s">
        <v>8</v>
      </c>
      <c r="V15" s="106" t="s">
        <v>9</v>
      </c>
      <c r="W15" s="106" t="s">
        <v>10</v>
      </c>
      <c r="X15" s="106" t="s">
        <v>100</v>
      </c>
      <c r="Y15" s="106" t="s">
        <v>106</v>
      </c>
      <c r="Z15" s="106" t="s">
        <v>12</v>
      </c>
      <c r="AA15" s="106" t="s">
        <v>258</v>
      </c>
      <c r="AB15" s="106" t="s">
        <v>13</v>
      </c>
      <c r="AC15" s="106" t="s">
        <v>74</v>
      </c>
      <c r="AD15" s="106" t="s">
        <v>21</v>
      </c>
      <c r="AE15" s="106" t="s">
        <v>14</v>
      </c>
      <c r="AF15" s="106" t="s">
        <v>15</v>
      </c>
      <c r="AG15" s="106" t="s">
        <v>16</v>
      </c>
      <c r="AH15" s="15" t="s">
        <v>17</v>
      </c>
    </row>
    <row r="16" spans="1:38" x14ac:dyDescent="0.35">
      <c r="A16" s="107">
        <v>44921</v>
      </c>
      <c r="B16" s="108" t="s">
        <v>358</v>
      </c>
      <c r="C16" s="108" t="s">
        <v>356</v>
      </c>
      <c r="D16" s="109">
        <v>63413</v>
      </c>
      <c r="E16" s="109"/>
      <c r="F16" s="108">
        <v>50</v>
      </c>
      <c r="G16" s="108"/>
      <c r="H16" s="110">
        <v>28760</v>
      </c>
      <c r="I16" s="111">
        <v>0.55500000000000005</v>
      </c>
      <c r="J16" s="112">
        <f>IFERROR(K16/H16,"")</f>
        <v>0.55682197496522956</v>
      </c>
      <c r="K16" s="110">
        <v>16014.2</v>
      </c>
      <c r="L16" s="108">
        <v>1</v>
      </c>
      <c r="M16" s="108">
        <v>41</v>
      </c>
      <c r="N16" s="108">
        <v>1</v>
      </c>
      <c r="O16" s="108">
        <v>7</v>
      </c>
      <c r="P16" s="108"/>
      <c r="Q16" s="108"/>
      <c r="R16" s="108"/>
      <c r="S16" s="108"/>
      <c r="T16" s="108"/>
      <c r="U16" s="113">
        <v>265</v>
      </c>
      <c r="V16" s="113">
        <f>H16*U16*I16/15</f>
        <v>281991.8</v>
      </c>
      <c r="W16" s="113">
        <v>296.09469999999999</v>
      </c>
      <c r="X16" s="113">
        <v>316114.65999999997</v>
      </c>
      <c r="Y16" s="113">
        <f>F16*50</f>
        <v>2500</v>
      </c>
      <c r="Z16" s="113">
        <v>16695.7</v>
      </c>
      <c r="AA16" s="113">
        <v>500</v>
      </c>
      <c r="AB16" s="113">
        <f>F16*26.5</f>
        <v>1325</v>
      </c>
      <c r="AC16" s="113">
        <f>F16*30</f>
        <v>1500</v>
      </c>
      <c r="AD16" s="113">
        <f>IF(F16="",G16*3.83,F16*3.83)</f>
        <v>191.5</v>
      </c>
      <c r="AE16" s="113">
        <v>632.23</v>
      </c>
      <c r="AF16" s="113">
        <f>V16+Y16+Z16+AA16+AB16+AC16+AD16</f>
        <v>304704</v>
      </c>
      <c r="AG16" s="113">
        <f>IFERROR(IFERROR((H16*W16*J16/15)-AE16,""),"")</f>
        <v>315482.41964933334</v>
      </c>
      <c r="AH16" s="26">
        <f>IFERROR(AG16-AF16,"")</f>
        <v>10778.419649333344</v>
      </c>
      <c r="AJ16">
        <f>F4+G4+F10+G10+F16+G16+F22+G22+F28+G28+F34+G34+F40+G40+F46+G46+F52+G52+F58+G58+F64+G64</f>
        <v>1238</v>
      </c>
      <c r="AK16" s="50" t="s">
        <v>22</v>
      </c>
      <c r="AL16" t="s">
        <v>72</v>
      </c>
    </row>
    <row r="17" spans="1:37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215.56839298666688</v>
      </c>
      <c r="AJ17" s="11">
        <f>AH4+AH10+AH16+AH22+AH28+AH34+AH40+AH46+AH52+AH58+AH64</f>
        <v>280209.84704533295</v>
      </c>
      <c r="AK17" s="11">
        <f>AJ17*30%</f>
        <v>84062.954113599888</v>
      </c>
    </row>
    <row r="18" spans="1:3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3.4164882028335619E-2</v>
      </c>
      <c r="AJ18" s="11"/>
      <c r="AK18" s="11"/>
    </row>
    <row r="19" spans="1:3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</row>
    <row r="20" spans="1:3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J20" s="11"/>
    </row>
    <row r="21" spans="1:37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J21" s="14" t="s">
        <v>379</v>
      </c>
    </row>
    <row r="22" spans="1:37" x14ac:dyDescent="0.35">
      <c r="A22" s="20">
        <v>44921</v>
      </c>
      <c r="B22" s="21" t="s">
        <v>330</v>
      </c>
      <c r="C22" s="21" t="s">
        <v>163</v>
      </c>
      <c r="D22" s="44">
        <v>141174</v>
      </c>
      <c r="E22" s="44"/>
      <c r="F22" s="21">
        <v>100</v>
      </c>
      <c r="G22" s="21"/>
      <c r="H22" s="22">
        <v>52920</v>
      </c>
      <c r="I22" s="33">
        <v>0.54</v>
      </c>
      <c r="J22" s="24">
        <f>IFERROR(K22/H22,"")</f>
        <v>0.55704195011337865</v>
      </c>
      <c r="K22" s="22">
        <v>29478.66</v>
      </c>
      <c r="L22" s="21">
        <v>6</v>
      </c>
      <c r="M22" s="21">
        <v>54</v>
      </c>
      <c r="N22" s="21">
        <v>32</v>
      </c>
      <c r="O22" s="21">
        <v>6</v>
      </c>
      <c r="P22" s="21">
        <v>2</v>
      </c>
      <c r="Q22" s="21"/>
      <c r="R22" s="21"/>
      <c r="S22" s="21"/>
      <c r="T22" s="21"/>
      <c r="U22" s="25">
        <v>280</v>
      </c>
      <c r="V22" s="25">
        <f>H22*U22*I22/15</f>
        <v>533433.60000000009</v>
      </c>
      <c r="W22" s="25">
        <v>301.06</v>
      </c>
      <c r="X22" s="25">
        <v>591657.27</v>
      </c>
      <c r="Y22" s="25">
        <f>F22*80</f>
        <v>8000</v>
      </c>
      <c r="Z22" s="25">
        <v>17066.13</v>
      </c>
      <c r="AA22" s="25">
        <v>0</v>
      </c>
      <c r="AB22" s="25">
        <v>2800</v>
      </c>
      <c r="AC22" s="25">
        <f>F22*30</f>
        <v>3000</v>
      </c>
      <c r="AD22" s="25">
        <f>IF(F22="",G22*3.83,F22*3.83)</f>
        <v>383</v>
      </c>
      <c r="AE22" s="25">
        <v>1183.32</v>
      </c>
      <c r="AF22" s="25">
        <f>V22+Y22+Z22+AA22+AB22+AC22+AD22</f>
        <v>564682.7300000001</v>
      </c>
      <c r="AG22" s="25">
        <f>IFERROR(IFERROR((H22*W22*J22/15)-AE22,""),"")</f>
        <v>590473.03864000004</v>
      </c>
      <c r="AH22" s="26">
        <f>IFERROR(AG22-AF22,"")</f>
        <v>25790.308639999945</v>
      </c>
    </row>
    <row r="23" spans="1:3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257.90308639999944</v>
      </c>
      <c r="AJ23" s="6"/>
      <c r="AK23" s="11"/>
    </row>
    <row r="24" spans="1:3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4.3677368740495187E-2</v>
      </c>
    </row>
    <row r="25" spans="1:3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</row>
    <row r="26" spans="1:3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</row>
    <row r="27" spans="1:37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</row>
    <row r="28" spans="1:37" x14ac:dyDescent="0.35">
      <c r="A28" s="20">
        <v>44921</v>
      </c>
      <c r="B28" s="21" t="s">
        <v>330</v>
      </c>
      <c r="C28" s="21" t="s">
        <v>163</v>
      </c>
      <c r="D28" s="44">
        <v>141174</v>
      </c>
      <c r="E28" s="44"/>
      <c r="F28" s="21">
        <v>5</v>
      </c>
      <c r="G28" s="21"/>
      <c r="H28" s="22">
        <v>2701</v>
      </c>
      <c r="I28" s="33">
        <v>0.5</v>
      </c>
      <c r="J28" s="24">
        <f>IFERROR(K28/H28,"")</f>
        <v>0.54569788967049249</v>
      </c>
      <c r="K28" s="22">
        <v>1473.93</v>
      </c>
      <c r="L28" s="21">
        <v>2</v>
      </c>
      <c r="M28" s="21"/>
      <c r="N28" s="21"/>
      <c r="O28" s="21"/>
      <c r="P28" s="21"/>
      <c r="Q28" s="21">
        <v>2</v>
      </c>
      <c r="R28" s="21"/>
      <c r="S28" s="21"/>
      <c r="T28" s="21">
        <v>1</v>
      </c>
      <c r="U28" s="25">
        <v>280</v>
      </c>
      <c r="V28" s="25">
        <f>H28*U28*I28/15</f>
        <v>25209.333333333332</v>
      </c>
      <c r="W28" s="25">
        <v>301.06</v>
      </c>
      <c r="X28" s="25">
        <v>29582.86</v>
      </c>
      <c r="Y28" s="25">
        <f>F28*80</f>
        <v>400</v>
      </c>
      <c r="Z28" s="25">
        <v>853.3</v>
      </c>
      <c r="AA28" s="25">
        <v>0</v>
      </c>
      <c r="AB28" s="25">
        <v>140</v>
      </c>
      <c r="AC28" s="25">
        <f>F28*30</f>
        <v>150</v>
      </c>
      <c r="AD28" s="25">
        <f>IF(F28="",G28*3.83,F28*3.83)</f>
        <v>19.149999999999999</v>
      </c>
      <c r="AE28" s="25">
        <v>59.16</v>
      </c>
      <c r="AF28" s="25">
        <f>V28+Y28+Z28+AA28+AB28+AC28+AD28</f>
        <v>26771.783333333333</v>
      </c>
      <c r="AG28" s="25">
        <f>IFERROR(IFERROR((H28*W28*J28/15)-AE28,""),"")</f>
        <v>29523.597720000005</v>
      </c>
      <c r="AH28" s="26">
        <f>IFERROR(AG28-AF28,"")</f>
        <v>2751.8143866666724</v>
      </c>
    </row>
    <row r="29" spans="1:37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550.3628773333345</v>
      </c>
      <c r="AJ29" s="11"/>
      <c r="AK29" s="11"/>
    </row>
    <row r="30" spans="1:37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9.3207284991643352E-2</v>
      </c>
      <c r="AJ30" s="11"/>
      <c r="AK30" s="11"/>
    </row>
    <row r="31" spans="1:37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</row>
    <row r="32" spans="1:37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59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</row>
    <row r="34" spans="1:59" x14ac:dyDescent="0.35">
      <c r="A34" s="20">
        <v>44921</v>
      </c>
      <c r="B34" s="21" t="s">
        <v>330</v>
      </c>
      <c r="C34" s="21" t="s">
        <v>163</v>
      </c>
      <c r="D34" s="44">
        <v>141174</v>
      </c>
      <c r="E34" s="44"/>
      <c r="F34" s="21">
        <v>45</v>
      </c>
      <c r="G34" s="21"/>
      <c r="H34" s="22">
        <v>24309</v>
      </c>
      <c r="I34" s="33">
        <v>0.54</v>
      </c>
      <c r="J34" s="24">
        <f>IFERROR(K34/H34,"")</f>
        <v>0.54569871241104118</v>
      </c>
      <c r="K34" s="22">
        <v>13265.39</v>
      </c>
      <c r="L34" s="21">
        <v>15</v>
      </c>
      <c r="M34" s="21">
        <v>15</v>
      </c>
      <c r="N34" s="21">
        <v>15</v>
      </c>
      <c r="O34" s="21"/>
      <c r="P34" s="21"/>
      <c r="Q34" s="21"/>
      <c r="R34" s="21"/>
      <c r="S34" s="21"/>
      <c r="T34" s="21"/>
      <c r="U34" s="25">
        <v>280</v>
      </c>
      <c r="V34" s="25">
        <f>H34*U34*I34/15</f>
        <v>245034.72000000003</v>
      </c>
      <c r="W34" s="25">
        <v>301.06</v>
      </c>
      <c r="X34" s="25">
        <v>266245.77</v>
      </c>
      <c r="Y34" s="25">
        <f>F34*80</f>
        <v>3600</v>
      </c>
      <c r="Z34" s="25">
        <v>7679.75</v>
      </c>
      <c r="AA34" s="25">
        <v>0</v>
      </c>
      <c r="AB34" s="25">
        <v>1260</v>
      </c>
      <c r="AC34" s="25">
        <f>F34*30</f>
        <v>1350</v>
      </c>
      <c r="AD34" s="25">
        <f>IF(F34="",G34*3.83,F34*3.83)</f>
        <v>172.35</v>
      </c>
      <c r="AE34" s="25">
        <v>532.49</v>
      </c>
      <c r="AF34" s="25">
        <f>V34+Y34+Z34+AA34+AB34+AC34+AD34</f>
        <v>259096.82000000004</v>
      </c>
      <c r="AG34" s="25">
        <f>IFERROR(IFERROR((H34*W34*J34/15)-AE34,""),"")</f>
        <v>265712.73089333333</v>
      </c>
      <c r="AH34" s="26">
        <f>IFERROR(AG34-AF34,"")</f>
        <v>6615.91089333329</v>
      </c>
    </row>
    <row r="35" spans="1:59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147.02024207407311</v>
      </c>
    </row>
    <row r="36" spans="1:59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2.4898735077880613E-2</v>
      </c>
    </row>
    <row r="37" spans="1:59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59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</row>
    <row r="39" spans="1:59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47"/>
    </row>
    <row r="40" spans="1:59" x14ac:dyDescent="0.35">
      <c r="A40" s="20">
        <v>44922</v>
      </c>
      <c r="B40" s="21" t="s">
        <v>358</v>
      </c>
      <c r="C40" s="21" t="s">
        <v>356</v>
      </c>
      <c r="D40" s="44">
        <v>141176</v>
      </c>
      <c r="E40" s="44"/>
      <c r="F40" s="21">
        <v>150</v>
      </c>
      <c r="G40" s="21"/>
      <c r="H40" s="22">
        <v>84380</v>
      </c>
      <c r="I40" s="33">
        <v>0.55500000000000005</v>
      </c>
      <c r="J40" s="24">
        <f>IFERROR(K40/H40,"")</f>
        <v>0.5569447736430434</v>
      </c>
      <c r="K40" s="22">
        <v>46995</v>
      </c>
      <c r="L40" s="21">
        <v>14</v>
      </c>
      <c r="M40" s="21">
        <v>107</v>
      </c>
      <c r="N40" s="21">
        <v>28</v>
      </c>
      <c r="O40" s="21">
        <v>1</v>
      </c>
      <c r="P40" s="21"/>
      <c r="Q40" s="21"/>
      <c r="R40" s="21"/>
      <c r="S40" s="21"/>
      <c r="T40" s="21"/>
      <c r="U40" s="25">
        <v>265</v>
      </c>
      <c r="V40" s="25">
        <f>H40*U40*I40/15</f>
        <v>827345.90000000014</v>
      </c>
      <c r="W40" s="25">
        <v>301.88</v>
      </c>
      <c r="X40" s="25">
        <v>945787.84</v>
      </c>
      <c r="Y40" s="25">
        <f>F40*50</f>
        <v>7500</v>
      </c>
      <c r="Z40" s="25">
        <v>44259.3</v>
      </c>
      <c r="AA40" s="25">
        <v>0</v>
      </c>
      <c r="AB40" s="25">
        <f>F40*26.5</f>
        <v>3975</v>
      </c>
      <c r="AC40" s="25">
        <f>F40*30</f>
        <v>4500</v>
      </c>
      <c r="AD40" s="25">
        <f>IF(F40="",G40*3.83,F40*3.83)</f>
        <v>574.5</v>
      </c>
      <c r="AE40" s="25">
        <v>1891.57</v>
      </c>
      <c r="AF40" s="25">
        <f>V40+Y40+Z40+AA40+AB40+AC40+AD40</f>
        <v>888154.70000000019</v>
      </c>
      <c r="AG40" s="25">
        <f>IFERROR(IFERROR((H40*W40*J40/15)-AE40,""),"")</f>
        <v>943898.47</v>
      </c>
      <c r="AH40" s="26">
        <f>IFERROR(AG40-AF40,"")</f>
        <v>55743.769999999786</v>
      </c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47"/>
    </row>
    <row r="41" spans="1:59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371.62513333333192</v>
      </c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4"/>
    </row>
    <row r="42" spans="1:59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5.905695556429897E-2</v>
      </c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4"/>
    </row>
    <row r="43" spans="1:59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4"/>
    </row>
    <row r="44" spans="1:59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4"/>
    </row>
    <row r="45" spans="1:59" x14ac:dyDescent="0.35">
      <c r="A45" s="106" t="s">
        <v>1</v>
      </c>
      <c r="B45" s="106" t="s">
        <v>2</v>
      </c>
      <c r="C45" s="106" t="s">
        <v>110</v>
      </c>
      <c r="D45" s="106" t="s">
        <v>66</v>
      </c>
      <c r="E45" s="106"/>
      <c r="F45" s="99" t="s">
        <v>137</v>
      </c>
      <c r="G45" s="106" t="s">
        <v>138</v>
      </c>
      <c r="H45" s="106" t="s">
        <v>4</v>
      </c>
      <c r="I45" s="106" t="s">
        <v>5</v>
      </c>
      <c r="J45" s="106" t="s">
        <v>6</v>
      </c>
      <c r="K45" s="106" t="s">
        <v>7</v>
      </c>
      <c r="L45" s="106" t="s">
        <v>279</v>
      </c>
      <c r="M45" s="106" t="s">
        <v>280</v>
      </c>
      <c r="N45" s="106" t="s">
        <v>281</v>
      </c>
      <c r="O45" s="106" t="s">
        <v>282</v>
      </c>
      <c r="P45" s="106" t="s">
        <v>283</v>
      </c>
      <c r="Q45" s="106" t="s">
        <v>284</v>
      </c>
      <c r="R45" s="106" t="s">
        <v>904</v>
      </c>
      <c r="S45" s="106" t="s">
        <v>285</v>
      </c>
      <c r="T45" s="106" t="s">
        <v>289</v>
      </c>
      <c r="U45" s="106" t="s">
        <v>8</v>
      </c>
      <c r="V45" s="106" t="s">
        <v>9</v>
      </c>
      <c r="W45" s="106" t="s">
        <v>10</v>
      </c>
      <c r="X45" s="106" t="s">
        <v>100</v>
      </c>
      <c r="Y45" s="106" t="s">
        <v>106</v>
      </c>
      <c r="Z45" s="106" t="s">
        <v>12</v>
      </c>
      <c r="AA45" s="106" t="s">
        <v>258</v>
      </c>
      <c r="AB45" s="106" t="s">
        <v>13</v>
      </c>
      <c r="AC45" s="106" t="s">
        <v>74</v>
      </c>
      <c r="AD45" s="106" t="s">
        <v>21</v>
      </c>
      <c r="AE45" s="106" t="s">
        <v>14</v>
      </c>
      <c r="AF45" s="106" t="s">
        <v>15</v>
      </c>
      <c r="AG45" s="106" t="s">
        <v>16</v>
      </c>
      <c r="AH45" s="15" t="s">
        <v>17</v>
      </c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4"/>
    </row>
    <row r="46" spans="1:59" x14ac:dyDescent="0.35">
      <c r="A46" s="107">
        <v>44922</v>
      </c>
      <c r="B46" s="108" t="s">
        <v>358</v>
      </c>
      <c r="C46" s="108" t="s">
        <v>356</v>
      </c>
      <c r="D46" s="109">
        <v>63437</v>
      </c>
      <c r="E46" s="109"/>
      <c r="F46" s="98">
        <v>198</v>
      </c>
      <c r="G46" s="108"/>
      <c r="H46" s="110">
        <v>117627.84</v>
      </c>
      <c r="I46" s="111">
        <v>0.55500000000000005</v>
      </c>
      <c r="J46" s="112">
        <f>IFERROR(K46/H46,"")</f>
        <v>0.53217673639165697</v>
      </c>
      <c r="K46" s="110">
        <v>62598.8</v>
      </c>
      <c r="L46" s="108">
        <v>20</v>
      </c>
      <c r="M46" s="108">
        <v>127</v>
      </c>
      <c r="N46" s="108">
        <v>14</v>
      </c>
      <c r="O46" s="108">
        <v>37</v>
      </c>
      <c r="P46" s="108"/>
      <c r="Q46" s="108"/>
      <c r="R46" s="108"/>
      <c r="S46" s="108"/>
      <c r="T46" s="108"/>
      <c r="U46" s="113">
        <v>265</v>
      </c>
      <c r="V46" s="113">
        <f>H46*U46*I46/15</f>
        <v>1153340.9712</v>
      </c>
      <c r="W46" s="113">
        <v>293.40820000000002</v>
      </c>
      <c r="X46" s="113">
        <v>1224466.6599999999</v>
      </c>
      <c r="Y46" s="113">
        <f>F46*50</f>
        <v>9900</v>
      </c>
      <c r="Z46" s="113">
        <v>65780.11</v>
      </c>
      <c r="AA46" s="113">
        <v>1980</v>
      </c>
      <c r="AB46" s="113">
        <f>F46*26.5</f>
        <v>5247</v>
      </c>
      <c r="AC46" s="113">
        <f>F46*30</f>
        <v>5940</v>
      </c>
      <c r="AD46" s="113">
        <f>IF(F46="",G46*3.83,F46*3.83)</f>
        <v>758.34</v>
      </c>
      <c r="AE46" s="113">
        <v>2448.9299999999998</v>
      </c>
      <c r="AF46" s="113">
        <f>V46+Y46+Z46+AA46+AB46+AC46+AD46</f>
        <v>1242946.4212000002</v>
      </c>
      <c r="AG46" s="113">
        <f>IFERROR(IFERROR((H46*W46*J46/15)-AE46,""),"")</f>
        <v>1222017.8186773334</v>
      </c>
      <c r="AH46" s="26">
        <f>IFERROR(AG46-AF46,"")</f>
        <v>-20928.602522666799</v>
      </c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4"/>
    </row>
    <row r="47" spans="1:59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-105.70001274074141</v>
      </c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4"/>
    </row>
    <row r="48" spans="1:59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-1.7126266248162519E-2</v>
      </c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4"/>
    </row>
    <row r="49" spans="1:5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4"/>
    </row>
    <row r="50" spans="1:5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4"/>
    </row>
    <row r="51" spans="1:59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11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</row>
    <row r="52" spans="1:59" x14ac:dyDescent="0.35">
      <c r="A52" s="20">
        <v>44923</v>
      </c>
      <c r="B52" s="21" t="s">
        <v>369</v>
      </c>
      <c r="C52" s="21" t="s">
        <v>370</v>
      </c>
      <c r="D52" s="44">
        <v>141749</v>
      </c>
      <c r="E52" s="44"/>
      <c r="F52" s="21">
        <v>150</v>
      </c>
      <c r="G52" s="21"/>
      <c r="H52" s="22">
        <v>86550</v>
      </c>
      <c r="I52" s="33">
        <v>0.54</v>
      </c>
      <c r="J52" s="24">
        <f>IFERROR(K52/H52,"")</f>
        <v>0.5688619295205084</v>
      </c>
      <c r="K52" s="22">
        <v>49235</v>
      </c>
      <c r="L52" s="21"/>
      <c r="M52" s="21">
        <v>27</v>
      </c>
      <c r="N52" s="21">
        <v>81</v>
      </c>
      <c r="O52" s="21">
        <v>40</v>
      </c>
      <c r="P52" s="21">
        <v>1</v>
      </c>
      <c r="Q52" s="21"/>
      <c r="R52" s="21"/>
      <c r="S52" s="21"/>
      <c r="T52" s="21">
        <v>1</v>
      </c>
      <c r="U52" s="25">
        <v>285</v>
      </c>
      <c r="V52" s="25">
        <f>H52*U52*I52/15</f>
        <v>888003</v>
      </c>
      <c r="W52" s="25">
        <v>296.68</v>
      </c>
      <c r="X52" s="25">
        <v>973810.88</v>
      </c>
      <c r="Y52" s="25">
        <v>0</v>
      </c>
      <c r="Z52" s="25">
        <v>6372</v>
      </c>
      <c r="AA52" s="25"/>
      <c r="AB52" s="25">
        <v>4275</v>
      </c>
      <c r="AC52" s="25">
        <v>0</v>
      </c>
      <c r="AD52" s="25">
        <f>IF(F52="",G52*3.83,F52*3.83)</f>
        <v>574.5</v>
      </c>
      <c r="AE52" s="25">
        <v>1947.62</v>
      </c>
      <c r="AF52" s="25">
        <f>V52+Y52+Z52+AA52+AB52+AC52+AD52</f>
        <v>899224.5</v>
      </c>
      <c r="AG52" s="25">
        <f>IFERROR(IFERROR((H52*W52*J52/15)-AE52,""),"")</f>
        <v>971855.03333333344</v>
      </c>
      <c r="AH52" s="26">
        <f>IFERROR(AG52-AF52,"")</f>
        <v>72630.533333333442</v>
      </c>
    </row>
    <row r="53" spans="1:5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484.20355555555631</v>
      </c>
    </row>
    <row r="54" spans="1:5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3"/>
      <c r="AA54" s="21"/>
      <c r="AB54" s="21"/>
      <c r="AC54" s="21"/>
      <c r="AD54" s="21"/>
      <c r="AE54" s="21"/>
      <c r="AF54" s="21"/>
      <c r="AG54" s="21"/>
      <c r="AH54" s="27">
        <f>IFERROR(AH52/AG52,"")</f>
        <v>7.4733916934319286E-2</v>
      </c>
    </row>
    <row r="55" spans="1:5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4"/>
    </row>
    <row r="56" spans="1:5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3"/>
      <c r="AA56" s="21"/>
      <c r="AB56" s="21"/>
      <c r="AC56" s="21"/>
      <c r="AD56" s="21"/>
      <c r="AE56" s="21"/>
      <c r="AF56" s="21"/>
      <c r="AG56" s="21"/>
      <c r="AH56" s="24"/>
    </row>
    <row r="57" spans="1:59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11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</row>
    <row r="58" spans="1:59" x14ac:dyDescent="0.35">
      <c r="A58" s="20">
        <v>44923</v>
      </c>
      <c r="B58" s="21" t="s">
        <v>358</v>
      </c>
      <c r="C58" s="21" t="s">
        <v>356</v>
      </c>
      <c r="D58" s="44">
        <v>141819</v>
      </c>
      <c r="E58" s="44"/>
      <c r="F58" s="21">
        <v>150</v>
      </c>
      <c r="G58" s="21"/>
      <c r="H58" s="22">
        <v>77800</v>
      </c>
      <c r="I58" s="33">
        <v>0.55000000000000004</v>
      </c>
      <c r="J58" s="24">
        <f>IFERROR(K58/H58,"")</f>
        <v>0.54435089974293061</v>
      </c>
      <c r="K58" s="22">
        <v>42350.5</v>
      </c>
      <c r="L58" s="21">
        <v>1</v>
      </c>
      <c r="M58" s="21">
        <v>39</v>
      </c>
      <c r="N58" s="21">
        <v>87</v>
      </c>
      <c r="O58" s="21">
        <v>23</v>
      </c>
      <c r="P58" s="21"/>
      <c r="Q58" s="21"/>
      <c r="R58" s="21"/>
      <c r="S58" s="21"/>
      <c r="T58" s="21"/>
      <c r="U58" s="25">
        <v>265</v>
      </c>
      <c r="V58" s="25">
        <f>H58*U58*I58/15</f>
        <v>755956.66666666663</v>
      </c>
      <c r="W58" s="25">
        <v>296.26</v>
      </c>
      <c r="X58" s="25">
        <v>836458.94</v>
      </c>
      <c r="Y58" s="25">
        <f>F58*50</f>
        <v>7500</v>
      </c>
      <c r="Z58" s="25">
        <v>44243.7</v>
      </c>
      <c r="AA58" s="25"/>
      <c r="AB58" s="25">
        <f>F58*26.5</f>
        <v>3975</v>
      </c>
      <c r="AC58" s="25">
        <f>F58*30</f>
        <v>4500</v>
      </c>
      <c r="AD58" s="25">
        <f>IF(F58="",G58*3.83,F58*3.83)</f>
        <v>574.5</v>
      </c>
      <c r="AE58" s="25">
        <v>0</v>
      </c>
      <c r="AF58" s="25">
        <f>V58+Y58+Z58+AA58+AB58+AC58+AD58</f>
        <v>816749.86666666658</v>
      </c>
      <c r="AG58" s="25">
        <f>IFERROR(IFERROR((H58*W58*J58/15)-AE58,""),"")</f>
        <v>836450.60866666667</v>
      </c>
      <c r="AH58" s="26">
        <f>IFERROR(AG58-AF58,"")</f>
        <v>19700.742000000086</v>
      </c>
    </row>
    <row r="59" spans="1:59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131.33828000000057</v>
      </c>
    </row>
    <row r="60" spans="1:5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7">
        <f>IFERROR(AH58/AG58,"")</f>
        <v>2.3552785778234771E-2</v>
      </c>
    </row>
    <row r="61" spans="1:5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3"/>
      <c r="AA61" s="21"/>
      <c r="AB61" s="21"/>
      <c r="AC61" s="21"/>
      <c r="AD61" s="21"/>
      <c r="AE61" s="21"/>
      <c r="AF61" s="21"/>
      <c r="AG61" s="21"/>
      <c r="AH61" s="24"/>
    </row>
    <row r="62" spans="1:5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3"/>
      <c r="AA62" s="21"/>
      <c r="AB62" s="21"/>
      <c r="AC62" s="21"/>
      <c r="AD62" s="21"/>
      <c r="AE62" s="21"/>
      <c r="AF62" s="21"/>
      <c r="AG62" s="21"/>
      <c r="AH62" s="24"/>
    </row>
    <row r="63" spans="1:59" x14ac:dyDescent="0.35">
      <c r="A63" s="37" t="s">
        <v>1</v>
      </c>
      <c r="B63" s="37" t="s">
        <v>2</v>
      </c>
      <c r="C63" s="37" t="s">
        <v>110</v>
      </c>
      <c r="D63" s="37" t="s">
        <v>66</v>
      </c>
      <c r="E63" s="37"/>
      <c r="F63" s="37" t="s">
        <v>137</v>
      </c>
      <c r="G63" s="37" t="s">
        <v>138</v>
      </c>
      <c r="H63" s="37" t="s">
        <v>4</v>
      </c>
      <c r="I63" s="37" t="s">
        <v>5</v>
      </c>
      <c r="J63" s="37" t="s">
        <v>6</v>
      </c>
      <c r="K63" s="37" t="s">
        <v>7</v>
      </c>
      <c r="L63" s="37" t="s">
        <v>279</v>
      </c>
      <c r="M63" s="37" t="s">
        <v>280</v>
      </c>
      <c r="N63" s="37" t="s">
        <v>281</v>
      </c>
      <c r="O63" s="37" t="s">
        <v>282</v>
      </c>
      <c r="P63" s="37" t="s">
        <v>283</v>
      </c>
      <c r="Q63" s="37" t="s">
        <v>284</v>
      </c>
      <c r="R63" s="37" t="s">
        <v>904</v>
      </c>
      <c r="S63" s="37" t="s">
        <v>285</v>
      </c>
      <c r="T63" s="37" t="s">
        <v>289</v>
      </c>
      <c r="U63" s="37" t="s">
        <v>8</v>
      </c>
      <c r="V63" s="37" t="s">
        <v>9</v>
      </c>
      <c r="W63" s="37" t="s">
        <v>10</v>
      </c>
      <c r="X63" s="37" t="s">
        <v>100</v>
      </c>
      <c r="Y63" s="37" t="s">
        <v>106</v>
      </c>
      <c r="Z63" s="37" t="s">
        <v>12</v>
      </c>
      <c r="AA63" s="37" t="s">
        <v>258</v>
      </c>
      <c r="AB63" s="37" t="s">
        <v>13</v>
      </c>
      <c r="AC63" s="37" t="s">
        <v>74</v>
      </c>
      <c r="AD63" s="37" t="s">
        <v>21</v>
      </c>
      <c r="AE63" s="37" t="s">
        <v>14</v>
      </c>
      <c r="AF63" s="37" t="s">
        <v>15</v>
      </c>
      <c r="AG63" s="37" t="s">
        <v>16</v>
      </c>
      <c r="AH63" s="15" t="s">
        <v>17</v>
      </c>
    </row>
    <row r="64" spans="1:59" x14ac:dyDescent="0.35">
      <c r="A64" s="38">
        <v>44924</v>
      </c>
      <c r="B64" s="39" t="s">
        <v>369</v>
      </c>
      <c r="C64" s="39" t="s">
        <v>370</v>
      </c>
      <c r="D64" s="45">
        <v>141175</v>
      </c>
      <c r="E64" s="45"/>
      <c r="F64" s="39">
        <v>140</v>
      </c>
      <c r="G64" s="39"/>
      <c r="H64" s="40">
        <v>73370</v>
      </c>
      <c r="I64" s="53">
        <v>0.54</v>
      </c>
      <c r="J64" s="42">
        <f>IFERROR(K64/H64,"")</f>
        <v>0.5392939893689519</v>
      </c>
      <c r="K64" s="40">
        <v>39568</v>
      </c>
      <c r="L64" s="39">
        <v>39</v>
      </c>
      <c r="M64" s="39">
        <v>96</v>
      </c>
      <c r="N64" s="39">
        <v>3</v>
      </c>
      <c r="O64" s="39">
        <v>1</v>
      </c>
      <c r="P64" s="39"/>
      <c r="Q64" s="39"/>
      <c r="R64" s="39"/>
      <c r="S64" s="39"/>
      <c r="T64" s="39">
        <v>1</v>
      </c>
      <c r="U64" s="43">
        <v>285</v>
      </c>
      <c r="V64" s="43">
        <f>H64*U64*I64/15</f>
        <v>752776.2</v>
      </c>
      <c r="W64" s="43">
        <v>298.44</v>
      </c>
      <c r="X64" s="43">
        <v>787234.9</v>
      </c>
      <c r="Y64" s="43">
        <v>0</v>
      </c>
      <c r="Z64" s="43">
        <v>6372</v>
      </c>
      <c r="AA64" s="43">
        <v>0</v>
      </c>
      <c r="AB64" s="43">
        <v>3990</v>
      </c>
      <c r="AC64" s="43">
        <f>G64*30</f>
        <v>0</v>
      </c>
      <c r="AD64" s="43">
        <f>IF(F64="",G64*3.83,F64*3.83)</f>
        <v>536.20000000000005</v>
      </c>
      <c r="AE64" s="43">
        <v>1574.48</v>
      </c>
      <c r="AF64" s="43">
        <f>V64+Y64+Z64+AA64+AB64+AC64+AD64</f>
        <v>763674.39999999991</v>
      </c>
      <c r="AG64" s="43">
        <f>IFERROR(IFERROR((H64*W64*J64/15)-AE64,""),"")</f>
        <v>785670.44799999997</v>
      </c>
      <c r="AH64" s="26">
        <f>IFERROR(AG64-AF64,"")</f>
        <v>21996.048000000068</v>
      </c>
    </row>
    <row r="65" spans="1:34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157.11462857142905</v>
      </c>
    </row>
    <row r="66" spans="1:34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3"/>
      <c r="AA66" s="21"/>
      <c r="AB66" s="21"/>
      <c r="AC66" s="21"/>
      <c r="AD66" s="21"/>
      <c r="AE66" s="21"/>
      <c r="AF66" s="21"/>
      <c r="AG66" s="21"/>
      <c r="AH66" s="27">
        <f>IFERROR(AH64/AG64,"")</f>
        <v>2.7996532205065282E-2</v>
      </c>
    </row>
    <row r="67" spans="1:34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3"/>
      <c r="AA67" s="21"/>
      <c r="AB67" s="21"/>
      <c r="AC67" s="21"/>
      <c r="AD67" s="21"/>
      <c r="AE67" s="21"/>
      <c r="AF67" s="21"/>
      <c r="AG67" s="21"/>
      <c r="AH67" s="24"/>
    </row>
    <row r="68" spans="1:34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3"/>
      <c r="AA68" s="21"/>
      <c r="AB68" s="21"/>
      <c r="AC68" s="21"/>
      <c r="AD68" s="21"/>
      <c r="AE68" s="21"/>
      <c r="AF68" s="21"/>
      <c r="AG68" s="21"/>
      <c r="AH68" s="24"/>
    </row>
    <row r="69" spans="1:34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99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11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</row>
    <row r="70" spans="1:34" x14ac:dyDescent="0.35">
      <c r="A70" s="20">
        <v>44922</v>
      </c>
      <c r="B70" s="21" t="s">
        <v>358</v>
      </c>
      <c r="C70" s="21" t="s">
        <v>356</v>
      </c>
      <c r="D70" s="44"/>
      <c r="E70" s="44"/>
      <c r="F70" s="98">
        <v>50</v>
      </c>
      <c r="G70" s="21"/>
      <c r="H70" s="22">
        <v>29704</v>
      </c>
      <c r="I70" s="33">
        <v>0.55500000000000005</v>
      </c>
      <c r="J70" s="24">
        <f>IFERROR(K70/H70,"")</f>
        <v>0</v>
      </c>
      <c r="K70" s="22"/>
      <c r="L70" s="21"/>
      <c r="M70" s="21"/>
      <c r="N70" s="21"/>
      <c r="O70" s="21"/>
      <c r="P70" s="21"/>
      <c r="Q70" s="21"/>
      <c r="R70" s="21"/>
      <c r="S70" s="21"/>
      <c r="T70" s="21"/>
      <c r="U70" s="25">
        <v>265</v>
      </c>
      <c r="V70" s="25">
        <f>H70*U70*I70/15</f>
        <v>291247.72000000003</v>
      </c>
      <c r="W70" s="25">
        <v>0</v>
      </c>
      <c r="X70" s="25">
        <v>0</v>
      </c>
      <c r="Y70" s="25">
        <f>F70*50</f>
        <v>2500</v>
      </c>
      <c r="Z70" s="25">
        <v>17275.580000000002</v>
      </c>
      <c r="AA70" s="25"/>
      <c r="AB70" s="25">
        <f>F70*26.5</f>
        <v>1325</v>
      </c>
      <c r="AC70" s="25">
        <f>F70*30</f>
        <v>1500</v>
      </c>
      <c r="AD70" s="25">
        <f>IF(F70="",G70*3.83,F70*3.83)</f>
        <v>191.5</v>
      </c>
      <c r="AE70" s="25">
        <v>0</v>
      </c>
      <c r="AF70" s="25">
        <f>V70+Y70+Z70+AA70+AB70+AC70+AD70</f>
        <v>314039.80000000005</v>
      </c>
      <c r="AG70" s="25">
        <f>IFERROR(IFERROR((H70*W70*J70/15)-AE70,""),"")</f>
        <v>0</v>
      </c>
      <c r="AH70" s="26">
        <f>IFERROR(AG70-AF70,"")</f>
        <v>-314039.80000000005</v>
      </c>
    </row>
    <row r="71" spans="1:34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AH70/F70</f>
        <v>-6280.7960000000012</v>
      </c>
    </row>
    <row r="72" spans="1:34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3"/>
      <c r="AA72" s="21"/>
      <c r="AB72" s="21"/>
      <c r="AC72" s="21"/>
      <c r="AD72" s="21"/>
      <c r="AE72" s="21"/>
      <c r="AF72" s="21"/>
      <c r="AG72" s="21"/>
      <c r="AH72" s="27" t="str">
        <f>IFERROR(AH70/AG70,"")</f>
        <v/>
      </c>
    </row>
    <row r="73" spans="1:34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3"/>
      <c r="AA73" s="21"/>
      <c r="AB73" s="21"/>
      <c r="AC73" s="21"/>
      <c r="AD73" s="21"/>
      <c r="AE73" s="21"/>
      <c r="AF73" s="21"/>
      <c r="AG73" s="21"/>
      <c r="AH73" s="24"/>
    </row>
    <row r="74" spans="1:34" ht="15" thickBot="1" x14ac:dyDescent="0.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3"/>
      <c r="AA74" s="21"/>
      <c r="AB74" s="21"/>
      <c r="AC74" s="21"/>
      <c r="AD74" s="21"/>
      <c r="AE74" s="21"/>
      <c r="AF74" s="21"/>
      <c r="AG74" s="21"/>
      <c r="AH74" s="24"/>
    </row>
    <row r="75" spans="1:34" ht="16" thickBot="1" x14ac:dyDescent="0.4">
      <c r="A75" s="377" t="s">
        <v>368</v>
      </c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46"/>
      <c r="M75" s="46"/>
      <c r="N75" s="46"/>
      <c r="O75" s="46"/>
      <c r="P75" s="46"/>
      <c r="Q75" s="46"/>
      <c r="R75" s="46"/>
      <c r="S75" s="46"/>
      <c r="T75" s="46"/>
      <c r="U75" s="30"/>
      <c r="V75" s="31">
        <f>V4+V10+V16+V22+V28+V34+V40+V46+V52+V58+V64+V70</f>
        <v>7162337.9112000009</v>
      </c>
      <c r="W75" s="30"/>
      <c r="X75" s="30"/>
      <c r="Y75" s="31">
        <f>Y4+Y10+Y16+Y22+Y28+Y34+Y40+Y46+Y52+Y58+Y64+Y70</f>
        <v>54400</v>
      </c>
      <c r="Z75" s="31">
        <f>Z4+Z10+Z16+Z22+Z28+Z34+Z40+Z46+Z52+Z58+Z64+Z70</f>
        <v>303247.17000000004</v>
      </c>
      <c r="AA75" s="31">
        <f>AA4+AA10+AA16+AA22+AA28+AA34+AA40+AA46+AA52+AA58+AA64+AA70</f>
        <v>3480</v>
      </c>
      <c r="AB75" s="31">
        <f>AB4+AB10+AB16+AB16+AB22+AB28+AB34+AB40+AB46+AB52+AB58+AB64+AB70</f>
        <v>36262</v>
      </c>
      <c r="AC75" s="31">
        <f>AC4+AC10+AC16+AC22+AC28+AC34+AC40+AC46+AC52+AC58+AC64+AC70</f>
        <v>29940</v>
      </c>
      <c r="AD75" s="31">
        <f>AD4+AD10+AD16+AD22+AD28+AD34+AD40+AD46+AD52+AD58+AD64+AD70</f>
        <v>4933.04</v>
      </c>
      <c r="AE75" s="31">
        <f>AE4+AE10+AE16+AE22+AE28+AE34+AE40+AE46+AE52+AE58+AE64+AE70</f>
        <v>13472.899999999998</v>
      </c>
      <c r="AF75" s="31">
        <f>AF4+AF10+AF16+AF22+AF28+AF34+AF40+AF46+AF52+AF58+AF64+AF70</f>
        <v>7593275.1211999999</v>
      </c>
      <c r="AG75" s="31">
        <f>AG4+AG10+AG16+AG22+AG28+AG34+AG40+AG46+AG52+AG58+AG64+AG70</f>
        <v>7559445.1682453332</v>
      </c>
      <c r="AH75" s="32"/>
    </row>
  </sheetData>
  <mergeCells count="2">
    <mergeCell ref="U2:AC2"/>
    <mergeCell ref="A75:K7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2"/>
  <dimension ref="A1:BI87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4.26953125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6" width="15" customWidth="1"/>
    <col min="38" max="38" width="16.453125" bestFit="1" customWidth="1"/>
    <col min="39" max="39" width="15.72656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AF87</f>
        <v>4778181.4426666666</v>
      </c>
      <c r="AM3" s="164">
        <f>AH87-AI87</f>
        <v>137091.22948000033</v>
      </c>
    </row>
    <row r="4" spans="1:40" x14ac:dyDescent="0.35">
      <c r="A4" s="20">
        <v>44928</v>
      </c>
      <c r="B4" s="21" t="s">
        <v>372</v>
      </c>
      <c r="C4" s="21" t="s">
        <v>373</v>
      </c>
      <c r="D4" s="44">
        <v>141895</v>
      </c>
      <c r="E4" s="44"/>
      <c r="F4" s="21"/>
      <c r="G4" s="21">
        <v>120</v>
      </c>
      <c r="H4" s="22">
        <v>43980</v>
      </c>
      <c r="I4" s="33">
        <v>0.5</v>
      </c>
      <c r="J4" s="24">
        <f>IFERROR(K4/H4,"")</f>
        <v>0.50979990904956796</v>
      </c>
      <c r="K4" s="22">
        <v>22421</v>
      </c>
      <c r="L4" s="21"/>
      <c r="M4" s="21">
        <v>46</v>
      </c>
      <c r="N4" s="21">
        <v>64</v>
      </c>
      <c r="O4" s="21">
        <v>10</v>
      </c>
      <c r="P4" s="21"/>
      <c r="Q4" s="21"/>
      <c r="R4" s="21"/>
      <c r="S4" s="21"/>
      <c r="T4" s="21"/>
      <c r="U4" s="25">
        <v>265</v>
      </c>
      <c r="V4" s="25">
        <f>H4*U4*I4/15</f>
        <v>388490</v>
      </c>
      <c r="W4" s="25">
        <v>294.12</v>
      </c>
      <c r="X4" s="25">
        <v>439635.7</v>
      </c>
      <c r="Y4" s="25">
        <f>F4*50</f>
        <v>0</v>
      </c>
      <c r="Z4" s="25">
        <v>19680.599999999999</v>
      </c>
      <c r="AA4" s="25">
        <v>0</v>
      </c>
      <c r="AB4" s="25">
        <v>3180</v>
      </c>
      <c r="AC4" s="25">
        <f>G4*30</f>
        <v>3600</v>
      </c>
      <c r="AD4" s="25">
        <f>G4*3.83</f>
        <v>459.6</v>
      </c>
      <c r="AE4" s="25">
        <v>879.27</v>
      </c>
      <c r="AF4" s="25">
        <f>V4+Y4+Z4+AA4+AB4+AC4+AD4</f>
        <v>415410.19999999995</v>
      </c>
      <c r="AG4" s="25">
        <f>IFERROR(IFERROR((H4*W4*J4/15)-AE4,""),"")</f>
        <v>438751.69799999997</v>
      </c>
      <c r="AH4" s="26">
        <f>IFERROR(AG4-AF4,"")</f>
        <v>23341.498000000021</v>
      </c>
      <c r="AI4" s="6">
        <f>IF(F4="",(G4/$F$87)*$AL$19,(F4/$F$87)*$AL$19)</f>
        <v>256.51720542231493</v>
      </c>
      <c r="AJ4" s="6">
        <f>(AH4-AI4)*70%</f>
        <v>16159.486556204394</v>
      </c>
      <c r="AL4" s="166" t="s">
        <v>749</v>
      </c>
      <c r="AM4" s="167">
        <f>AM3/AL3</f>
        <v>2.869108909424142E-2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IFERROR(AH4/G4,"")</f>
        <v>194.51248333333351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5.3199789553862932E-2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F4+G4+F10+G10+F16+G16+F22+G22+F28+G28+F34+G34+F40+G40+F46+G46+F52+G52+F58+G58+F64+G64+F70+G70+F76+G76+F82+G82</f>
        <v>959</v>
      </c>
      <c r="AM9" s="50" t="s">
        <v>22</v>
      </c>
      <c r="AN9" t="s">
        <v>72</v>
      </c>
    </row>
    <row r="10" spans="1:40" x14ac:dyDescent="0.35">
      <c r="A10" s="20">
        <v>44928</v>
      </c>
      <c r="B10" s="21" t="s">
        <v>330</v>
      </c>
      <c r="C10" s="21" t="s">
        <v>374</v>
      </c>
      <c r="D10" s="44">
        <v>141653</v>
      </c>
      <c r="E10" s="44"/>
      <c r="F10" s="21">
        <v>50</v>
      </c>
      <c r="G10" s="21"/>
      <c r="H10" s="22">
        <v>24670</v>
      </c>
      <c r="I10" s="33">
        <v>0.5</v>
      </c>
      <c r="J10" s="24">
        <f>IFERROR(K10/H10,"")</f>
        <v>0.6995557357113904</v>
      </c>
      <c r="K10" s="22">
        <v>17258.04</v>
      </c>
      <c r="L10" s="21"/>
      <c r="M10" s="21"/>
      <c r="N10" s="21">
        <v>50</v>
      </c>
      <c r="O10" s="21"/>
      <c r="P10" s="21"/>
      <c r="Q10" s="21"/>
      <c r="R10" s="21"/>
      <c r="S10" s="21"/>
      <c r="T10" s="21"/>
      <c r="U10" s="25">
        <v>275</v>
      </c>
      <c r="V10" s="25">
        <f>H10*U10*I10/15</f>
        <v>226141.66666666666</v>
      </c>
      <c r="W10" s="25">
        <v>286.29000000000002</v>
      </c>
      <c r="X10" s="25">
        <v>329384.78999999998</v>
      </c>
      <c r="Y10" s="25">
        <f>F10*60</f>
        <v>3000</v>
      </c>
      <c r="Z10" s="25">
        <v>5737</v>
      </c>
      <c r="AA10" s="25">
        <v>0</v>
      </c>
      <c r="AB10" s="25">
        <v>1375</v>
      </c>
      <c r="AC10" s="25">
        <f>F10*30</f>
        <v>1500</v>
      </c>
      <c r="AD10" s="25">
        <f>IF(F10="",G10*3.83,F10*3.83)</f>
        <v>191.5</v>
      </c>
      <c r="AE10" s="25">
        <v>658.77</v>
      </c>
      <c r="AF10" s="25">
        <f>V10+Y10+Z10+AA10+AB10+AC10+AD10</f>
        <v>237945.16666666666</v>
      </c>
      <c r="AG10" s="25">
        <f>IFERROR(IFERROR((H10*W10*J10/15)-AE10,""),"")</f>
        <v>328728.18144000001</v>
      </c>
      <c r="AH10" s="26">
        <f>IFERROR(AG10-AF10,"")</f>
        <v>90783.014773333358</v>
      </c>
      <c r="AI10" s="6">
        <f>IF(F10="",(G10/$F$87)*$AL$19,(F10/$F$87)*$AL$19)</f>
        <v>106.88216892596455</v>
      </c>
      <c r="AJ10" s="6">
        <f>(AH10-AI10)*70%</f>
        <v>63473.292823085168</v>
      </c>
      <c r="AL10" s="11">
        <f>AH4+AH10+AH16+AH22+AH28+AH34+AH40+AH46+AH52+AH58+AH64+AH70+AH76+AH82</f>
        <v>139141.22948000033</v>
      </c>
      <c r="AM10" s="11">
        <f>AL10*30%</f>
        <v>41742.368844000099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1815.6602954666671</v>
      </c>
      <c r="AL11" s="11"/>
      <c r="AM11" s="11"/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0.2761643810873064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83" t="s">
        <v>187</v>
      </c>
      <c r="AM14" s="190" t="s">
        <v>680</v>
      </c>
      <c r="AN14" s="191"/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96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187">
        <v>500</v>
      </c>
      <c r="AN15" s="174"/>
    </row>
    <row r="16" spans="1:40" x14ac:dyDescent="0.35">
      <c r="A16" s="20">
        <v>44928</v>
      </c>
      <c r="B16" s="21" t="s">
        <v>330</v>
      </c>
      <c r="C16" s="21" t="s">
        <v>374</v>
      </c>
      <c r="D16" s="44">
        <v>141653</v>
      </c>
      <c r="E16" s="44"/>
      <c r="F16" s="117">
        <v>149</v>
      </c>
      <c r="G16" s="21"/>
      <c r="H16" s="22">
        <v>99492.26</v>
      </c>
      <c r="I16" s="33">
        <v>0.55000000000000004</v>
      </c>
      <c r="J16" s="24">
        <f>IFERROR(K16/H16,"")</f>
        <v>0.51691407954749446</v>
      </c>
      <c r="K16" s="22">
        <v>51428.95</v>
      </c>
      <c r="L16" s="21">
        <v>1</v>
      </c>
      <c r="M16" s="21">
        <v>21</v>
      </c>
      <c r="N16" s="21">
        <v>3</v>
      </c>
      <c r="O16" s="21">
        <v>84</v>
      </c>
      <c r="P16" s="21">
        <v>20</v>
      </c>
      <c r="Q16" s="21">
        <v>19</v>
      </c>
      <c r="R16" s="14"/>
      <c r="S16" s="21"/>
      <c r="T16" s="21">
        <v>1</v>
      </c>
      <c r="U16" s="25">
        <v>280</v>
      </c>
      <c r="V16" s="25">
        <f>H16*U16*I16/15</f>
        <v>1021453.8693333332</v>
      </c>
      <c r="W16" s="25">
        <v>286.29000000000002</v>
      </c>
      <c r="X16" s="25">
        <v>981566.68</v>
      </c>
      <c r="Y16" s="25">
        <f>F16*60</f>
        <v>8940</v>
      </c>
      <c r="Z16" s="25">
        <v>17211</v>
      </c>
      <c r="AA16" s="25">
        <v>0</v>
      </c>
      <c r="AB16" s="25">
        <v>4200</v>
      </c>
      <c r="AC16" s="25">
        <f>F16*30</f>
        <v>4470</v>
      </c>
      <c r="AD16" s="25">
        <f>IF(F16="",G16*3.83,F16*3.83)</f>
        <v>570.66999999999996</v>
      </c>
      <c r="AE16" s="25">
        <v>1963.13</v>
      </c>
      <c r="AF16" s="25">
        <f>V16+Y16+Z16+AA16+AB16+AC16+AD16</f>
        <v>1056845.5393333333</v>
      </c>
      <c r="AG16" s="25">
        <f>IFERROR(IFERROR((H16*W16*J16/15)-AE16,""),"")</f>
        <v>979609.8097000001</v>
      </c>
      <c r="AH16" s="26">
        <f>IFERROR(AG16-AF16,"")</f>
        <v>-77235.729633333161</v>
      </c>
      <c r="AI16" s="6">
        <f>IF(F16="",(G16/$F$87)*$AL$19,(F16/$F$87)*$AL$19)</f>
        <v>318.50886339937438</v>
      </c>
      <c r="AJ16" s="6">
        <f>(AH16-AI16)*70%</f>
        <v>-54287.966947712768</v>
      </c>
      <c r="AL16" s="178">
        <v>1050</v>
      </c>
      <c r="AM16" s="11"/>
      <c r="AN16" s="174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-518.36060156599433</v>
      </c>
      <c r="AI17" s="47"/>
      <c r="AJ17" s="47"/>
      <c r="AL17" s="178">
        <v>500</v>
      </c>
      <c r="AN17" s="174"/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-7.8843360763186071E-2</v>
      </c>
      <c r="AI18" s="47"/>
      <c r="AJ18" s="47"/>
      <c r="AL18" s="178"/>
      <c r="AN18" s="174"/>
    </row>
    <row r="19" spans="1:40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188">
        <f>SUM(AL15:AL18)</f>
        <v>2050</v>
      </c>
      <c r="AM19" s="181" t="s">
        <v>682</v>
      </c>
      <c r="AN19" s="191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</row>
    <row r="21" spans="1:40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95">
        <f>AL10-AL19</f>
        <v>137091.22948000033</v>
      </c>
      <c r="AM21" s="1" t="s">
        <v>423</v>
      </c>
    </row>
    <row r="22" spans="1:40" x14ac:dyDescent="0.35">
      <c r="A22" s="20">
        <v>44929</v>
      </c>
      <c r="B22" s="21" t="s">
        <v>270</v>
      </c>
      <c r="C22" s="21" t="s">
        <v>163</v>
      </c>
      <c r="D22" s="44">
        <v>141654</v>
      </c>
      <c r="E22" s="44"/>
      <c r="F22" s="21">
        <v>50</v>
      </c>
      <c r="G22" s="21"/>
      <c r="H22" s="22">
        <v>27860</v>
      </c>
      <c r="I22" s="33">
        <v>0.54</v>
      </c>
      <c r="J22" s="24">
        <f>IFERROR(K22/H22,"")</f>
        <v>0.51784493898061734</v>
      </c>
      <c r="K22" s="22">
        <v>14427.16</v>
      </c>
      <c r="L22" s="21">
        <v>7</v>
      </c>
      <c r="M22" s="21">
        <v>26</v>
      </c>
      <c r="N22" s="21">
        <v>12</v>
      </c>
      <c r="O22" s="21">
        <v>4</v>
      </c>
      <c r="P22" s="21">
        <v>1</v>
      </c>
      <c r="Q22" s="21"/>
      <c r="R22" s="21"/>
      <c r="S22" s="21"/>
      <c r="T22" s="21"/>
      <c r="U22" s="25">
        <v>280</v>
      </c>
      <c r="V22" s="25">
        <f>H22*U22*I22/15</f>
        <v>280828.79999999999</v>
      </c>
      <c r="W22" s="25">
        <v>300.04000000000002</v>
      </c>
      <c r="X22" s="25">
        <v>288584.84999999998</v>
      </c>
      <c r="Y22" s="25">
        <v>0</v>
      </c>
      <c r="Z22" s="25">
        <v>8364.7000000000007</v>
      </c>
      <c r="AA22" s="25">
        <v>0</v>
      </c>
      <c r="AB22" s="25">
        <v>1400</v>
      </c>
      <c r="AC22" s="25">
        <f>F22*30</f>
        <v>1500</v>
      </c>
      <c r="AD22" s="25">
        <f>IF(F22="",G22*3.83,F22*3.83)</f>
        <v>191.5</v>
      </c>
      <c r="AE22" s="25">
        <v>577.16</v>
      </c>
      <c r="AF22" s="25">
        <f>V22+Y22+Z22+AA22+AB22+AC22+AD22</f>
        <v>292285</v>
      </c>
      <c r="AG22" s="25">
        <f>IFERROR(IFERROR((H22*W22*J22/15)-AE22,""),"")</f>
        <v>288004.51242666674</v>
      </c>
      <c r="AH22" s="26">
        <f>IFERROR(AG22-AF22,"")</f>
        <v>-4280.4875733332592</v>
      </c>
      <c r="AI22" s="6">
        <f>IF(F22="",(G22/$F$87)*$AL$19,(F22/$F$87)*$AL$19)</f>
        <v>106.88216892596455</v>
      </c>
      <c r="AJ22" s="6">
        <f>(AH22-AI22)*70%</f>
        <v>-3071.1588195814566</v>
      </c>
      <c r="AL22" s="95">
        <f>AL21*30%</f>
        <v>41127.368844000099</v>
      </c>
      <c r="AM22" s="1" t="s">
        <v>426</v>
      </c>
    </row>
    <row r="23" spans="1:4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-85.609751466665188</v>
      </c>
      <c r="AI23" s="47"/>
      <c r="AJ23" s="47"/>
    </row>
    <row r="24" spans="1:40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-1.4862571205106308E-2</v>
      </c>
      <c r="AI24" s="47"/>
      <c r="AJ24" s="47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  <c r="AI25" s="47"/>
      <c r="AJ25" s="47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  <c r="AI26" s="47"/>
      <c r="AJ26" s="47"/>
    </row>
    <row r="27" spans="1:40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</row>
    <row r="28" spans="1:40" x14ac:dyDescent="0.35">
      <c r="A28" s="20">
        <v>44929</v>
      </c>
      <c r="B28" s="21" t="s">
        <v>351</v>
      </c>
      <c r="C28" s="21" t="s">
        <v>375</v>
      </c>
      <c r="D28" s="44">
        <v>142004</v>
      </c>
      <c r="E28" s="44"/>
      <c r="F28" s="21"/>
      <c r="G28" s="21">
        <v>65</v>
      </c>
      <c r="H28" s="22">
        <v>23960</v>
      </c>
      <c r="I28" s="33">
        <v>0.5</v>
      </c>
      <c r="J28" s="24">
        <f>IFERROR(K28/H28,"")</f>
        <v>0.47936936560934895</v>
      </c>
      <c r="K28" s="22">
        <v>11485.69</v>
      </c>
      <c r="L28" s="21">
        <v>32</v>
      </c>
      <c r="M28" s="21">
        <v>25</v>
      </c>
      <c r="N28" s="21">
        <v>8</v>
      </c>
      <c r="O28" s="21"/>
      <c r="P28" s="21"/>
      <c r="Q28" s="21"/>
      <c r="R28" s="21"/>
      <c r="S28" s="21"/>
      <c r="T28" s="21"/>
      <c r="U28" s="25">
        <v>265</v>
      </c>
      <c r="V28" s="25">
        <f>H28*U28*I28/15</f>
        <v>211646.66666666666</v>
      </c>
      <c r="W28" s="25">
        <v>294.51</v>
      </c>
      <c r="X28" s="25">
        <v>225507.88</v>
      </c>
      <c r="Y28" s="25">
        <v>0</v>
      </c>
      <c r="Z28" s="25">
        <v>9117.5</v>
      </c>
      <c r="AA28" s="25">
        <v>0</v>
      </c>
      <c r="AB28" s="25">
        <v>1722.5</v>
      </c>
      <c r="AC28" s="25">
        <f>G28*30</f>
        <v>1950</v>
      </c>
      <c r="AD28" s="25">
        <f>IF(F28="",G28*3.83,F28*3.83)</f>
        <v>248.95000000000002</v>
      </c>
      <c r="AE28" s="25">
        <v>451.01</v>
      </c>
      <c r="AF28" s="25">
        <f>V28+Y28+Z28+AA28+AB28+AC28+AD28</f>
        <v>224685.61666666667</v>
      </c>
      <c r="AG28" s="25">
        <f>IFERROR(IFERROR((H28*W28*J28/15)-AE28,""),"")</f>
        <v>225059.02745999998</v>
      </c>
      <c r="AH28" s="26">
        <f>IFERROR(AG28-AF28,"")</f>
        <v>373.41079333331436</v>
      </c>
      <c r="AI28" s="6">
        <f>IF(F28="",(G28/$F$87)*$AL$19,(F28/$F$87)*$AL$19)</f>
        <v>138.94681960375391</v>
      </c>
      <c r="AJ28" s="6">
        <f>(AH28-AI28)*70%</f>
        <v>164.12478161069231</v>
      </c>
    </row>
    <row r="29" spans="1:40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AH28/G28</f>
        <v>5.7447814358971439</v>
      </c>
      <c r="AL29" s="11"/>
      <c r="AM29" s="11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1.6591682526473244E-3</v>
      </c>
      <c r="AL30" s="11"/>
      <c r="AM30" s="11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</row>
    <row r="33" spans="1:6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61" x14ac:dyDescent="0.35">
      <c r="A34" s="20">
        <v>44929</v>
      </c>
      <c r="B34" s="21" t="s">
        <v>376</v>
      </c>
      <c r="C34" s="21" t="s">
        <v>141</v>
      </c>
      <c r="D34" s="44">
        <v>142004</v>
      </c>
      <c r="E34" s="44"/>
      <c r="F34" s="21"/>
      <c r="G34" s="21">
        <v>105</v>
      </c>
      <c r="H34" s="22">
        <v>34740</v>
      </c>
      <c r="I34" s="33">
        <v>0.5</v>
      </c>
      <c r="J34" s="24">
        <f>IFERROR(K34/H34,"")</f>
        <v>0.53407599309153708</v>
      </c>
      <c r="K34" s="22">
        <v>18553.8</v>
      </c>
      <c r="L34" s="21">
        <v>60</v>
      </c>
      <c r="M34" s="21">
        <v>31</v>
      </c>
      <c r="N34" s="21">
        <v>11</v>
      </c>
      <c r="O34" s="21">
        <v>3</v>
      </c>
      <c r="P34" s="21"/>
      <c r="Q34" s="21"/>
      <c r="R34" s="21"/>
      <c r="S34" s="21"/>
      <c r="T34" s="21"/>
      <c r="U34" s="25">
        <v>265</v>
      </c>
      <c r="V34" s="25">
        <f>H34*U34*I34/15</f>
        <v>306870</v>
      </c>
      <c r="W34" s="25">
        <v>294.51</v>
      </c>
      <c r="X34" s="25">
        <v>364281.96</v>
      </c>
      <c r="Y34" s="25">
        <f>G34*90</f>
        <v>9450</v>
      </c>
      <c r="Z34" s="25">
        <v>15265.4</v>
      </c>
      <c r="AA34" s="25">
        <v>0</v>
      </c>
      <c r="AB34" s="25">
        <v>2782.5</v>
      </c>
      <c r="AC34" s="25">
        <f>F34*30</f>
        <v>0</v>
      </c>
      <c r="AD34" s="25">
        <f>IF(F34="",G34*3.83,F34*3.83)</f>
        <v>402.15000000000003</v>
      </c>
      <c r="AE34" s="25">
        <v>728.56</v>
      </c>
      <c r="AF34" s="25">
        <f>V34+Y34+Z34+AA34+AB34+AC34+AD34</f>
        <v>334770.05000000005</v>
      </c>
      <c r="AG34" s="25">
        <f>IFERROR(IFERROR((H34*W34*J34/15)-AE34,""),"")</f>
        <v>363556.74919999996</v>
      </c>
      <c r="AH34" s="26">
        <f>IFERROR(AG34-AF34,"")</f>
        <v>28786.699199999915</v>
      </c>
      <c r="AI34" s="6">
        <f>IF(F34="",(G34/$F$87)*$AL$19,(F34/$F$87)*$AL$19)</f>
        <v>224.45255474452557</v>
      </c>
      <c r="AJ34" s="6">
        <f>(AH34-AI34)*70%</f>
        <v>19993.572651678773</v>
      </c>
    </row>
    <row r="35" spans="1:6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AH34/G34</f>
        <v>274.15903999999921</v>
      </c>
    </row>
    <row r="36" spans="1:6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7.9180758611535965E-2</v>
      </c>
    </row>
    <row r="37" spans="1:6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61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61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47"/>
    </row>
    <row r="40" spans="1:61" x14ac:dyDescent="0.35">
      <c r="A40" s="20">
        <v>44929</v>
      </c>
      <c r="B40" s="21" t="s">
        <v>333</v>
      </c>
      <c r="C40" s="21" t="s">
        <v>141</v>
      </c>
      <c r="D40" s="44">
        <v>141654</v>
      </c>
      <c r="E40" s="44"/>
      <c r="F40" s="21">
        <v>50</v>
      </c>
      <c r="G40" s="21"/>
      <c r="H40" s="22">
        <v>24380</v>
      </c>
      <c r="I40" s="33">
        <v>0.54</v>
      </c>
      <c r="J40" s="24">
        <f>IFERROR(K40/H40,"")</f>
        <v>0.59176210008203445</v>
      </c>
      <c r="K40" s="22">
        <v>14427.16</v>
      </c>
      <c r="L40" s="21">
        <v>7</v>
      </c>
      <c r="M40" s="21">
        <v>28</v>
      </c>
      <c r="N40" s="21">
        <v>12</v>
      </c>
      <c r="O40" s="21">
        <v>3</v>
      </c>
      <c r="P40" s="21"/>
      <c r="Q40" s="21"/>
      <c r="R40" s="21"/>
      <c r="S40" s="21"/>
      <c r="T40" s="21"/>
      <c r="U40" s="25">
        <v>280</v>
      </c>
      <c r="V40" s="25">
        <f>H40*U40*I40/15</f>
        <v>245750.40000000002</v>
      </c>
      <c r="W40" s="25">
        <v>300.04000000000002</v>
      </c>
      <c r="X40" s="25">
        <v>288584.84999999998</v>
      </c>
      <c r="Y40" s="25">
        <f>F40*100</f>
        <v>5000</v>
      </c>
      <c r="Z40" s="25">
        <v>8138.3</v>
      </c>
      <c r="AA40" s="25">
        <v>0</v>
      </c>
      <c r="AB40" s="25">
        <v>1400</v>
      </c>
      <c r="AC40" s="25">
        <v>0</v>
      </c>
      <c r="AD40" s="25">
        <f>IF(F40="",G40*3.83,F40*3.83)</f>
        <v>191.5</v>
      </c>
      <c r="AE40" s="25">
        <v>577.16</v>
      </c>
      <c r="AF40" s="25">
        <f>V40+Y40+Z40+AA40+AB40+AC40+AD40</f>
        <v>260480.2</v>
      </c>
      <c r="AG40" s="25">
        <f>IFERROR(IFERROR((H40*W40*J40/15)-AE40,""),"")</f>
        <v>288004.51242666674</v>
      </c>
      <c r="AH40" s="26">
        <f>IFERROR(AG40-AF40,"")</f>
        <v>27524.312426666729</v>
      </c>
      <c r="AI40" s="6">
        <f>IF(F40="",(G40/$F$87)*$AL$19,(F40/$F$87)*$AL$19)</f>
        <v>106.88216892596455</v>
      </c>
      <c r="AJ40" s="6">
        <f>(AH40-AI40)*70%</f>
        <v>19192.201180418535</v>
      </c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47"/>
    </row>
    <row r="41" spans="1:6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550.48624853333456</v>
      </c>
      <c r="AI41" s="47"/>
      <c r="AJ41" s="47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4"/>
    </row>
    <row r="42" spans="1:6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9.5569031869509741E-2</v>
      </c>
      <c r="AI42" s="47"/>
      <c r="AJ42" s="47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4"/>
    </row>
    <row r="43" spans="1:61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4"/>
    </row>
    <row r="44" spans="1:61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4"/>
    </row>
    <row r="45" spans="1:61" x14ac:dyDescent="0.35">
      <c r="A45" s="114" t="s">
        <v>1</v>
      </c>
      <c r="B45" s="1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4"/>
    </row>
    <row r="46" spans="1:61" x14ac:dyDescent="0.35">
      <c r="A46" s="115">
        <v>44929</v>
      </c>
      <c r="B46" s="116" t="s">
        <v>377</v>
      </c>
      <c r="C46" s="21" t="s">
        <v>141</v>
      </c>
      <c r="D46" s="44">
        <v>141654</v>
      </c>
      <c r="E46" s="44"/>
      <c r="F46" s="21">
        <v>50</v>
      </c>
      <c r="G46" s="21"/>
      <c r="H46" s="22">
        <v>28020</v>
      </c>
      <c r="I46" s="33">
        <v>0.55000000000000004</v>
      </c>
      <c r="J46" s="24">
        <f>IFERROR(K46/H46,"")</f>
        <v>0.51488793718772308</v>
      </c>
      <c r="K46" s="22">
        <v>14427.16</v>
      </c>
      <c r="L46" s="21">
        <v>9</v>
      </c>
      <c r="M46" s="21">
        <v>26</v>
      </c>
      <c r="N46" s="21">
        <v>12</v>
      </c>
      <c r="O46" s="21">
        <v>3</v>
      </c>
      <c r="P46" s="21"/>
      <c r="Q46" s="21"/>
      <c r="R46" s="21"/>
      <c r="S46" s="21"/>
      <c r="T46" s="21"/>
      <c r="U46" s="25">
        <v>280</v>
      </c>
      <c r="V46" s="25">
        <f>H46*U46*I46/15</f>
        <v>287672</v>
      </c>
      <c r="W46" s="25">
        <v>300.04000000000002</v>
      </c>
      <c r="X46" s="25">
        <v>288584.84999999998</v>
      </c>
      <c r="Y46" s="25">
        <f>F46*100</f>
        <v>5000</v>
      </c>
      <c r="Z46" s="25">
        <v>7906.1</v>
      </c>
      <c r="AA46" s="25">
        <v>0</v>
      </c>
      <c r="AB46" s="25">
        <v>1400</v>
      </c>
      <c r="AC46" s="25">
        <v>0</v>
      </c>
      <c r="AD46" s="25">
        <f>IF(F46="",G46*3.83,F46*3.83)</f>
        <v>191.5</v>
      </c>
      <c r="AE46" s="25">
        <v>577.16</v>
      </c>
      <c r="AF46" s="25">
        <f>V46+Y46+Z46+AA46+AB46+AC46+AD46</f>
        <v>302169.59999999998</v>
      </c>
      <c r="AG46" s="25">
        <f>IFERROR(IFERROR((H46*W46*J46/15)-AE46,""),"")</f>
        <v>288004.51242666674</v>
      </c>
      <c r="AH46" s="26">
        <f>IFERROR(AG46-AF46,"")</f>
        <v>-14165.087573333236</v>
      </c>
      <c r="AI46" s="6">
        <f>IF(F46="",(G46/$F$87)*$AL$19,(F46/$F$87)*$AL$19)</f>
        <v>106.88216892596455</v>
      </c>
      <c r="AJ46" s="6">
        <f>(AH46-AI46)*70%</f>
        <v>-9990.3788195814395</v>
      </c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4"/>
    </row>
    <row r="47" spans="1:6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-283.30175146666471</v>
      </c>
      <c r="AI47" s="47"/>
      <c r="AJ47" s="47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4"/>
    </row>
    <row r="48" spans="1:61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-4.9183561236527597E-2</v>
      </c>
      <c r="AI48" s="47"/>
      <c r="AJ48" s="47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4"/>
    </row>
    <row r="49" spans="1:61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4"/>
    </row>
    <row r="50" spans="1:61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4"/>
    </row>
    <row r="51" spans="1:61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11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61" x14ac:dyDescent="0.35">
      <c r="A52" s="20">
        <v>44930</v>
      </c>
      <c r="B52" s="21" t="s">
        <v>380</v>
      </c>
      <c r="C52" s="21" t="s">
        <v>319</v>
      </c>
      <c r="D52" s="44">
        <v>141655</v>
      </c>
      <c r="E52" s="44"/>
      <c r="F52" s="21">
        <v>30</v>
      </c>
      <c r="G52" s="21"/>
      <c r="H52" s="22">
        <v>11990</v>
      </c>
      <c r="I52" s="33">
        <v>0.5</v>
      </c>
      <c r="J52" s="24">
        <f>IFERROR(K52/H52,"")</f>
        <v>0.69044120100083395</v>
      </c>
      <c r="K52" s="22">
        <v>8278.39</v>
      </c>
      <c r="L52" s="21">
        <v>10</v>
      </c>
      <c r="M52" s="21">
        <v>10</v>
      </c>
      <c r="N52" s="21">
        <v>5</v>
      </c>
      <c r="O52" s="21">
        <v>5</v>
      </c>
      <c r="P52" s="21"/>
      <c r="Q52" s="21"/>
      <c r="R52" s="21"/>
      <c r="S52" s="21"/>
      <c r="T52" s="21"/>
      <c r="U52" s="25">
        <v>260</v>
      </c>
      <c r="V52" s="25">
        <f>H52*U52*I52/15</f>
        <v>103913.33333333333</v>
      </c>
      <c r="W52" s="25">
        <v>297.10000000000002</v>
      </c>
      <c r="X52" s="25">
        <v>163969.42000000001</v>
      </c>
      <c r="Y52" s="25">
        <v>0</v>
      </c>
      <c r="Z52" s="25">
        <v>3987.13</v>
      </c>
      <c r="AA52" s="25"/>
      <c r="AB52" s="25">
        <v>780</v>
      </c>
      <c r="AC52" s="25">
        <f>F52*30</f>
        <v>900</v>
      </c>
      <c r="AD52" s="25">
        <f>IF(F52="",G52*3.83,F52*3.83)</f>
        <v>114.9</v>
      </c>
      <c r="AE52" s="25">
        <v>327.93</v>
      </c>
      <c r="AF52" s="25">
        <f>V52+Y52+Z52+AA52+AB52+AC52+AD52</f>
        <v>109695.36333333333</v>
      </c>
      <c r="AG52" s="25">
        <f>IFERROR(IFERROR((H52*W52*J52/15)-AE52,""),"")</f>
        <v>163639.38126666669</v>
      </c>
      <c r="AH52" s="26">
        <f>IFERROR(AG52-AF52,"")</f>
        <v>53944.017933333365</v>
      </c>
      <c r="AI52" s="6">
        <f>IF(F52="",(G52/$F$87)*$AL$19,(F52/$F$87)*$AL$19)</f>
        <v>64.129301355578733</v>
      </c>
      <c r="AJ52" s="6">
        <f>(AH52-AI52)*70%</f>
        <v>37715.922042384453</v>
      </c>
    </row>
    <row r="53" spans="1:61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1798.1339311111121</v>
      </c>
    </row>
    <row r="54" spans="1:6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3"/>
      <c r="AA54" s="21"/>
      <c r="AB54" s="21"/>
      <c r="AC54" s="21"/>
      <c r="AD54" s="21"/>
      <c r="AE54" s="21"/>
      <c r="AF54" s="21"/>
      <c r="AG54" s="21"/>
      <c r="AH54" s="27">
        <f>IFERROR(AH52/AG52,"")</f>
        <v>0.32965180823695617</v>
      </c>
    </row>
    <row r="55" spans="1:6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4"/>
      <c r="AI55" s="24"/>
      <c r="AJ55" s="24"/>
    </row>
    <row r="56" spans="1:6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3"/>
      <c r="AA56" s="21"/>
      <c r="AB56" s="21"/>
      <c r="AC56" s="21"/>
      <c r="AD56" s="21"/>
      <c r="AE56" s="21"/>
      <c r="AF56" s="21"/>
      <c r="AG56" s="21"/>
      <c r="AH56" s="24"/>
      <c r="AI56" s="24"/>
      <c r="AJ56" s="24"/>
    </row>
    <row r="57" spans="1:61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61" x14ac:dyDescent="0.35">
      <c r="A58" s="20">
        <v>44930</v>
      </c>
      <c r="B58" s="21" t="s">
        <v>381</v>
      </c>
      <c r="C58" s="21" t="s">
        <v>332</v>
      </c>
      <c r="D58" s="44">
        <v>141655</v>
      </c>
      <c r="E58" s="44"/>
      <c r="F58" s="21">
        <v>72</v>
      </c>
      <c r="G58" s="21"/>
      <c r="H58" s="22">
        <v>40600</v>
      </c>
      <c r="I58" s="33">
        <v>0.55000000000000004</v>
      </c>
      <c r="J58" s="24">
        <f>IFERROR(K58/H58,"")</f>
        <v>0.4893633004926109</v>
      </c>
      <c r="K58" s="22">
        <v>19868.150000000001</v>
      </c>
      <c r="L58" s="21">
        <v>13</v>
      </c>
      <c r="M58" s="21">
        <v>32</v>
      </c>
      <c r="N58" s="21">
        <v>10</v>
      </c>
      <c r="O58" s="21">
        <v>17</v>
      </c>
      <c r="P58" s="21"/>
      <c r="Q58" s="21"/>
      <c r="R58" s="21"/>
      <c r="S58" s="21"/>
      <c r="T58" s="21"/>
      <c r="U58" s="25">
        <v>280</v>
      </c>
      <c r="V58" s="25">
        <f>H58*U58*I58/15</f>
        <v>416826.66666666674</v>
      </c>
      <c r="W58" s="25">
        <v>297.10000000000002</v>
      </c>
      <c r="X58" s="25">
        <v>393526.62</v>
      </c>
      <c r="Y58" s="25">
        <v>0</v>
      </c>
      <c r="Z58" s="25">
        <v>12832.91</v>
      </c>
      <c r="AA58" s="25"/>
      <c r="AB58" s="25">
        <v>2016</v>
      </c>
      <c r="AC58" s="25">
        <f>F58*30</f>
        <v>2160</v>
      </c>
      <c r="AD58" s="25">
        <f>IF(F58="",G58*3.83,F58*3.83)</f>
        <v>275.76</v>
      </c>
      <c r="AE58" s="25">
        <v>787.05</v>
      </c>
      <c r="AF58" s="25">
        <f>V58+Y58+Z58+AA58+AB58+AC58+AD58</f>
        <v>434111.33666666673</v>
      </c>
      <c r="AG58" s="25">
        <f>IFERROR(IFERROR((H58*W58*J58/15)-AE58,""),"")</f>
        <v>392734.77433333342</v>
      </c>
      <c r="AH58" s="26">
        <f>IFERROR(AG58-AF58,"")</f>
        <v>-41376.562333333306</v>
      </c>
      <c r="AI58" s="6">
        <f>IF(F58="",(G58/$F$87)*$AL$19,(F58/$F$87)*$AL$19)</f>
        <v>153.91032325338895</v>
      </c>
      <c r="AJ58" s="6">
        <f>(AH58-AI58)*70%</f>
        <v>-29071.330859610684</v>
      </c>
    </row>
    <row r="59" spans="1:6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-574.67447685185152</v>
      </c>
    </row>
    <row r="60" spans="1:6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7">
        <f>IFERROR(AH58/AG58,"")</f>
        <v>-0.10535497500461971</v>
      </c>
    </row>
    <row r="61" spans="1:6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3"/>
      <c r="AA61" s="21"/>
      <c r="AB61" s="21"/>
      <c r="AC61" s="21"/>
      <c r="AD61" s="21"/>
      <c r="AE61" s="21"/>
      <c r="AF61" s="21"/>
      <c r="AG61" s="21"/>
      <c r="AH61" s="24"/>
      <c r="AI61" s="47"/>
      <c r="AJ61" s="47"/>
    </row>
    <row r="62" spans="1:6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3"/>
      <c r="AA62" s="21"/>
      <c r="AB62" s="21"/>
      <c r="AC62" s="21"/>
      <c r="AD62" s="21"/>
      <c r="AE62" s="21"/>
      <c r="AF62" s="21"/>
      <c r="AG62" s="21"/>
      <c r="AH62" s="24"/>
      <c r="AI62" s="47"/>
      <c r="AJ62" s="47"/>
    </row>
    <row r="63" spans="1:61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61" x14ac:dyDescent="0.35">
      <c r="A64" s="20">
        <v>44930</v>
      </c>
      <c r="B64" s="21" t="s">
        <v>330</v>
      </c>
      <c r="C64" s="21" t="s">
        <v>374</v>
      </c>
      <c r="D64" s="44">
        <v>141655</v>
      </c>
      <c r="E64" s="44"/>
      <c r="F64" s="21">
        <v>50</v>
      </c>
      <c r="G64" s="21"/>
      <c r="H64" s="22">
        <v>31060</v>
      </c>
      <c r="I64" s="33">
        <v>0.55000000000000004</v>
      </c>
      <c r="J64" s="24">
        <f>IFERROR(K64/H64,"")</f>
        <v>0.44421538956857692</v>
      </c>
      <c r="K64" s="22">
        <v>13797.33</v>
      </c>
      <c r="L64" s="21">
        <v>12</v>
      </c>
      <c r="M64" s="21">
        <v>22</v>
      </c>
      <c r="N64" s="21">
        <v>12</v>
      </c>
      <c r="O64" s="21">
        <v>4</v>
      </c>
      <c r="P64" s="21"/>
      <c r="Q64" s="21"/>
      <c r="R64" s="21"/>
      <c r="S64" s="21"/>
      <c r="T64" s="21"/>
      <c r="U64" s="25">
        <v>280</v>
      </c>
      <c r="V64" s="25">
        <f>H64*U64*I64/15</f>
        <v>318882.66666666669</v>
      </c>
      <c r="W64" s="25">
        <v>297.10000000000002</v>
      </c>
      <c r="X64" s="25">
        <v>273282.37</v>
      </c>
      <c r="Y64" s="25">
        <v>0</v>
      </c>
      <c r="Z64" s="25">
        <v>5737</v>
      </c>
      <c r="AA64" s="25">
        <v>0</v>
      </c>
      <c r="AB64" s="25">
        <v>1400</v>
      </c>
      <c r="AC64" s="25">
        <f>F64*30</f>
        <v>1500</v>
      </c>
      <c r="AD64" s="25">
        <f>IF(F64="",G64*3.83,F64*3.83)</f>
        <v>191.5</v>
      </c>
      <c r="AE64" s="25">
        <v>546.55999999999995</v>
      </c>
      <c r="AF64" s="25">
        <f>V64+Y64+Z64+AA64+AB64+AC64+AD64</f>
        <v>327711.16666666669</v>
      </c>
      <c r="AG64" s="25">
        <f>IFERROR(IFERROR((H64*W64*J64/15)-AE64,""),"")</f>
        <v>272732.55619999999</v>
      </c>
      <c r="AH64" s="26">
        <f>IFERROR(AG64-AF64,"")</f>
        <v>-54978.610466666694</v>
      </c>
      <c r="AI64" s="6">
        <f>IF(F64="",(G64/$F$87)*$AL$19,(F64/$F$87)*$AL$19)</f>
        <v>106.88216892596455</v>
      </c>
      <c r="AJ64" s="6">
        <f>(AH64-AI64)*70%</f>
        <v>-38559.844844914856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-1099.5722093333338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3"/>
      <c r="AA66" s="21"/>
      <c r="AB66" s="21"/>
      <c r="AC66" s="21"/>
      <c r="AD66" s="21"/>
      <c r="AE66" s="21"/>
      <c r="AF66" s="21"/>
      <c r="AG66" s="21"/>
      <c r="AH66" s="27">
        <f>IFERROR(AH64/AG64,"")</f>
        <v>-0.20158433313824781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3"/>
      <c r="AA67" s="21"/>
      <c r="AB67" s="21"/>
      <c r="AC67" s="21"/>
      <c r="AD67" s="21"/>
      <c r="AE67" s="21"/>
      <c r="AF67" s="21"/>
      <c r="AG67" s="21"/>
      <c r="AH67" s="24"/>
      <c r="AI67" s="47"/>
      <c r="AJ67" s="47"/>
    </row>
    <row r="68" spans="1:36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3"/>
      <c r="AA68" s="21"/>
      <c r="AB68" s="21"/>
      <c r="AC68" s="21"/>
      <c r="AD68" s="21"/>
      <c r="AE68" s="21"/>
      <c r="AF68" s="21"/>
      <c r="AG68" s="21"/>
      <c r="AH68" s="24"/>
      <c r="AI68" s="47"/>
      <c r="AJ68" s="47"/>
    </row>
    <row r="69" spans="1:36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11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20">
        <v>44930</v>
      </c>
      <c r="B70" s="21" t="s">
        <v>26</v>
      </c>
      <c r="C70" s="21" t="s">
        <v>141</v>
      </c>
      <c r="D70" s="44">
        <v>142084</v>
      </c>
      <c r="E70" s="44"/>
      <c r="F70" s="21"/>
      <c r="G70" s="21">
        <v>20</v>
      </c>
      <c r="H70" s="22">
        <v>7897</v>
      </c>
      <c r="I70" s="33">
        <v>0.5</v>
      </c>
      <c r="J70" s="24">
        <f>IFERROR(K70/H70,"")</f>
        <v>0.52051411928580471</v>
      </c>
      <c r="K70" s="22">
        <v>4110.5</v>
      </c>
      <c r="L70" s="21">
        <v>3</v>
      </c>
      <c r="M70" s="21">
        <v>11</v>
      </c>
      <c r="N70" s="21">
        <v>6</v>
      </c>
      <c r="O70" s="21"/>
      <c r="P70" s="21"/>
      <c r="Q70" s="21"/>
      <c r="R70" s="21"/>
      <c r="S70" s="21"/>
      <c r="T70" s="21"/>
      <c r="U70" s="25">
        <v>265</v>
      </c>
      <c r="V70" s="25">
        <f>H70*U70*I70/15</f>
        <v>69756.833333333328</v>
      </c>
      <c r="W70" s="25">
        <v>296.94</v>
      </c>
      <c r="X70" s="25">
        <v>81370</v>
      </c>
      <c r="Y70" s="25">
        <v>0</v>
      </c>
      <c r="Z70" s="25">
        <v>2658.09</v>
      </c>
      <c r="AA70" s="25"/>
      <c r="AB70" s="25">
        <v>530</v>
      </c>
      <c r="AC70" s="25">
        <f>G70*30</f>
        <v>600</v>
      </c>
      <c r="AD70" s="25">
        <f>IF(F70="",G70*3.83,F70*3.83)</f>
        <v>76.599999999999994</v>
      </c>
      <c r="AE70" s="25">
        <v>162.72999999999999</v>
      </c>
      <c r="AF70" s="25">
        <f>V70+Y70+Z70+AA70+AB70+AC70+AD70</f>
        <v>73621.523333333331</v>
      </c>
      <c r="AG70" s="25">
        <f>IFERROR(IFERROR((H70*W70*J70/15)-AE70,""),"")</f>
        <v>81208.728000000017</v>
      </c>
      <c r="AH70" s="26">
        <f>IFERROR(AG70-AF70,"")</f>
        <v>7587.2046666666865</v>
      </c>
      <c r="AI70" s="6">
        <f>IF(F70="",(G70/$F$87)*$AL$19,(F70/$F$87)*$AL$19)</f>
        <v>42.752867570385817</v>
      </c>
      <c r="AJ70" s="6">
        <f>(AH70-AI70)*70%</f>
        <v>5281.1162593674098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AH70/G70</f>
        <v>379.36023333333435</v>
      </c>
      <c r="AI71" s="47"/>
      <c r="AJ71" s="47"/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3"/>
      <c r="AA72" s="21"/>
      <c r="AB72" s="21"/>
      <c r="AC72" s="21"/>
      <c r="AD72" s="21"/>
      <c r="AE72" s="21"/>
      <c r="AF72" s="21"/>
      <c r="AG72" s="21"/>
      <c r="AH72" s="27">
        <f>IFERROR(AH70/AG70,"")</f>
        <v>9.3428438710020004E-2</v>
      </c>
      <c r="AI72" s="47"/>
      <c r="AJ72" s="47"/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3"/>
      <c r="AA73" s="21"/>
      <c r="AB73" s="21"/>
      <c r="AC73" s="21"/>
      <c r="AD73" s="21"/>
      <c r="AE73" s="21"/>
      <c r="AF73" s="21"/>
      <c r="AG73" s="21"/>
      <c r="AH73" s="24"/>
      <c r="AI73" s="47"/>
      <c r="AJ73" s="47"/>
    </row>
    <row r="74" spans="1:36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3"/>
      <c r="AA74" s="21"/>
      <c r="AB74" s="21"/>
      <c r="AC74" s="21"/>
      <c r="AD74" s="21"/>
      <c r="AE74" s="21"/>
      <c r="AF74" s="21"/>
      <c r="AG74" s="21"/>
      <c r="AH74" s="24"/>
      <c r="AI74" s="47"/>
      <c r="AJ74" s="47"/>
    </row>
    <row r="75" spans="1:36" x14ac:dyDescent="0.35">
      <c r="A75" s="14" t="s">
        <v>1</v>
      </c>
      <c r="B75" s="14" t="s">
        <v>2</v>
      </c>
      <c r="C75" s="14" t="s">
        <v>110</v>
      </c>
      <c r="D75" s="14" t="s">
        <v>66</v>
      </c>
      <c r="E75" s="14"/>
      <c r="F75" s="14" t="s">
        <v>137</v>
      </c>
      <c r="G75" s="14" t="s">
        <v>138</v>
      </c>
      <c r="H75" s="14" t="s">
        <v>4</v>
      </c>
      <c r="I75" s="14" t="s">
        <v>5</v>
      </c>
      <c r="J75" s="14" t="s">
        <v>6</v>
      </c>
      <c r="K75" s="14" t="s">
        <v>7</v>
      </c>
      <c r="L75" s="14" t="s">
        <v>279</v>
      </c>
      <c r="M75" s="14" t="s">
        <v>280</v>
      </c>
      <c r="N75" s="14" t="s">
        <v>281</v>
      </c>
      <c r="O75" s="14" t="s">
        <v>282</v>
      </c>
      <c r="P75" s="14" t="s">
        <v>283</v>
      </c>
      <c r="Q75" s="14" t="s">
        <v>284</v>
      </c>
      <c r="R75" s="14" t="s">
        <v>904</v>
      </c>
      <c r="S75" s="14" t="s">
        <v>285</v>
      </c>
      <c r="T75" s="14" t="s">
        <v>289</v>
      </c>
      <c r="U75" s="14" t="s">
        <v>8</v>
      </c>
      <c r="V75" s="14" t="s">
        <v>9</v>
      </c>
      <c r="W75" s="14" t="s">
        <v>10</v>
      </c>
      <c r="X75" s="14" t="s">
        <v>100</v>
      </c>
      <c r="Y75" s="14" t="s">
        <v>106</v>
      </c>
      <c r="Z75" s="14" t="s">
        <v>12</v>
      </c>
      <c r="AA75" s="14" t="s">
        <v>11</v>
      </c>
      <c r="AB75" s="14" t="s">
        <v>13</v>
      </c>
      <c r="AC75" s="14" t="s">
        <v>74</v>
      </c>
      <c r="AD75" s="14" t="s">
        <v>21</v>
      </c>
      <c r="AE75" s="14" t="s">
        <v>14</v>
      </c>
      <c r="AF75" s="14" t="s">
        <v>15</v>
      </c>
      <c r="AG75" s="14" t="s">
        <v>16</v>
      </c>
      <c r="AH75" s="15" t="s">
        <v>17</v>
      </c>
      <c r="AI75" s="14" t="s">
        <v>679</v>
      </c>
      <c r="AJ75" s="14" t="s">
        <v>678</v>
      </c>
    </row>
    <row r="76" spans="1:36" x14ac:dyDescent="0.35">
      <c r="A76" s="20">
        <v>44930</v>
      </c>
      <c r="B76" s="21" t="s">
        <v>26</v>
      </c>
      <c r="C76" s="21" t="s">
        <v>141</v>
      </c>
      <c r="D76" s="44">
        <v>141655</v>
      </c>
      <c r="E76" s="44"/>
      <c r="F76" s="21">
        <v>15</v>
      </c>
      <c r="G76" s="21"/>
      <c r="H76" s="22">
        <v>5922.75</v>
      </c>
      <c r="I76" s="33">
        <v>0.5</v>
      </c>
      <c r="J76" s="24">
        <f>IFERROR(K76/H76,"")</f>
        <v>0.69886285931366332</v>
      </c>
      <c r="K76" s="22">
        <v>4139.1899999999996</v>
      </c>
      <c r="L76" s="21">
        <v>12</v>
      </c>
      <c r="M76" s="21">
        <v>3</v>
      </c>
      <c r="N76" s="21"/>
      <c r="O76" s="21"/>
      <c r="P76" s="21"/>
      <c r="Q76" s="21"/>
      <c r="R76" s="21"/>
      <c r="S76" s="21"/>
      <c r="T76" s="21"/>
      <c r="U76" s="25">
        <v>260</v>
      </c>
      <c r="V76" s="25">
        <f>H76*U76*I76/15</f>
        <v>51330.5</v>
      </c>
      <c r="W76" s="25">
        <v>297.10000000000002</v>
      </c>
      <c r="X76" s="25">
        <v>81984.710000000006</v>
      </c>
      <c r="Y76" s="25">
        <v>0</v>
      </c>
      <c r="Z76" s="25">
        <v>1993.56</v>
      </c>
      <c r="AA76" s="25"/>
      <c r="AB76" s="25">
        <v>390</v>
      </c>
      <c r="AC76" s="25">
        <f>F76*30</f>
        <v>450</v>
      </c>
      <c r="AD76" s="25">
        <f>IF(F76="",G76*3.83,F76*3.83)</f>
        <v>57.45</v>
      </c>
      <c r="AE76" s="25">
        <v>163.96</v>
      </c>
      <c r="AF76" s="25">
        <f>V76+Y76+Z76+AA76+AB76+AC76+AD76</f>
        <v>54221.509999999995</v>
      </c>
      <c r="AG76" s="25">
        <f>IFERROR(IFERROR((H76*W76*J76/15)-AE76,""),"")</f>
        <v>81819.59659999999</v>
      </c>
      <c r="AH76" s="26">
        <f>IFERROR(AG76-AF76,"")</f>
        <v>27598.086599999995</v>
      </c>
      <c r="AI76" s="6">
        <f>IF(F76="",(G76/$F$87)*$AL$19,(F76/$F$87)*$AL$19)</f>
        <v>32.064650677789366</v>
      </c>
      <c r="AJ76" s="6">
        <f>(AH76-AI76)*70%</f>
        <v>19296.215364525542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AH76/F76</f>
        <v>1839.8724399999996</v>
      </c>
      <c r="AI77" s="47"/>
      <c r="AJ77" s="47"/>
    </row>
    <row r="78" spans="1:36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3"/>
      <c r="AA78" s="21"/>
      <c r="AB78" s="21"/>
      <c r="AC78" s="21"/>
      <c r="AD78" s="21"/>
      <c r="AE78" s="21"/>
      <c r="AF78" s="21"/>
      <c r="AG78" s="21"/>
      <c r="AH78" s="27">
        <f>IFERROR(AH76/AG76,"")</f>
        <v>0.33730411474553762</v>
      </c>
      <c r="AI78" s="47"/>
      <c r="AJ78" s="47"/>
    </row>
    <row r="79" spans="1:36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3"/>
      <c r="AA79" s="21"/>
      <c r="AB79" s="21"/>
      <c r="AC79" s="21"/>
      <c r="AD79" s="21"/>
      <c r="AE79" s="21"/>
      <c r="AF79" s="21"/>
      <c r="AG79" s="21"/>
      <c r="AH79" s="24"/>
      <c r="AI79" s="47"/>
      <c r="AJ79" s="47"/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4"/>
      <c r="AI80" s="47"/>
      <c r="AJ80" s="47"/>
    </row>
    <row r="81" spans="1:36" x14ac:dyDescent="0.35">
      <c r="A81" s="14" t="s">
        <v>1</v>
      </c>
      <c r="B81" s="14" t="s">
        <v>2</v>
      </c>
      <c r="C81" s="14" t="s">
        <v>110</v>
      </c>
      <c r="D81" s="14" t="s">
        <v>66</v>
      </c>
      <c r="E81" s="14"/>
      <c r="F81" s="14" t="s">
        <v>137</v>
      </c>
      <c r="G81" s="14" t="s">
        <v>138</v>
      </c>
      <c r="H81" s="14" t="s">
        <v>4</v>
      </c>
      <c r="I81" s="14" t="s">
        <v>5</v>
      </c>
      <c r="J81" s="14" t="s">
        <v>6</v>
      </c>
      <c r="K81" s="14" t="s">
        <v>7</v>
      </c>
      <c r="L81" s="14" t="s">
        <v>279</v>
      </c>
      <c r="M81" s="14" t="s">
        <v>280</v>
      </c>
      <c r="N81" s="14" t="s">
        <v>281</v>
      </c>
      <c r="O81" s="14" t="s">
        <v>282</v>
      </c>
      <c r="P81" s="14" t="s">
        <v>283</v>
      </c>
      <c r="Q81" s="14" t="s">
        <v>284</v>
      </c>
      <c r="R81" s="14" t="s">
        <v>904</v>
      </c>
      <c r="S81" s="14" t="s">
        <v>285</v>
      </c>
      <c r="T81" s="14" t="s">
        <v>289</v>
      </c>
      <c r="U81" s="14" t="s">
        <v>8</v>
      </c>
      <c r="V81" s="14" t="s">
        <v>9</v>
      </c>
      <c r="W81" s="14" t="s">
        <v>10</v>
      </c>
      <c r="X81" s="14" t="s">
        <v>100</v>
      </c>
      <c r="Y81" s="14" t="s">
        <v>106</v>
      </c>
      <c r="Z81" s="14" t="s">
        <v>12</v>
      </c>
      <c r="AA81" s="14" t="s">
        <v>11</v>
      </c>
      <c r="AB81" s="14" t="s">
        <v>13</v>
      </c>
      <c r="AC81" s="14" t="s">
        <v>74</v>
      </c>
      <c r="AD81" s="14" t="s">
        <v>21</v>
      </c>
      <c r="AE81" s="14" t="s">
        <v>14</v>
      </c>
      <c r="AF81" s="14" t="s">
        <v>15</v>
      </c>
      <c r="AG81" s="14" t="s">
        <v>16</v>
      </c>
      <c r="AH81" s="15" t="s">
        <v>17</v>
      </c>
      <c r="AI81" s="14" t="s">
        <v>679</v>
      </c>
      <c r="AJ81" s="14" t="s">
        <v>678</v>
      </c>
    </row>
    <row r="82" spans="1:36" x14ac:dyDescent="0.35">
      <c r="A82" s="20">
        <v>44930</v>
      </c>
      <c r="B82" s="21" t="s">
        <v>333</v>
      </c>
      <c r="C82" s="21" t="s">
        <v>141</v>
      </c>
      <c r="D82" s="44">
        <v>141655</v>
      </c>
      <c r="E82" s="44"/>
      <c r="F82" s="21">
        <v>133</v>
      </c>
      <c r="G82" s="21"/>
      <c r="H82" s="22">
        <v>61300</v>
      </c>
      <c r="I82" s="33">
        <v>0.54</v>
      </c>
      <c r="J82" s="24">
        <f>IFERROR(K82/H82,"")</f>
        <v>0.5987096247960848</v>
      </c>
      <c r="K82" s="22">
        <v>36700.9</v>
      </c>
      <c r="L82" s="21">
        <v>20</v>
      </c>
      <c r="M82" s="21">
        <v>79</v>
      </c>
      <c r="N82" s="21">
        <v>23</v>
      </c>
      <c r="O82" s="21">
        <v>3</v>
      </c>
      <c r="P82" s="21">
        <v>1</v>
      </c>
      <c r="Q82" s="21">
        <v>7</v>
      </c>
      <c r="R82" s="21"/>
      <c r="S82" s="21"/>
      <c r="T82" s="21"/>
      <c r="U82" s="25">
        <v>280</v>
      </c>
      <c r="V82" s="25">
        <f>H82*U82*I82/15</f>
        <v>617904</v>
      </c>
      <c r="W82" s="25">
        <v>297.10000000000002</v>
      </c>
      <c r="X82" s="25">
        <v>726931.12</v>
      </c>
      <c r="Y82" s="25">
        <v>10000</v>
      </c>
      <c r="Z82" s="25">
        <v>22091.78</v>
      </c>
      <c r="AA82" s="25"/>
      <c r="AB82" s="25">
        <v>3724</v>
      </c>
      <c r="AC82" s="25">
        <v>0</v>
      </c>
      <c r="AD82" s="25">
        <f>IF(F82="",G82*3.83,F82*3.83)</f>
        <v>509.39</v>
      </c>
      <c r="AE82" s="25">
        <v>1453.86</v>
      </c>
      <c r="AF82" s="25">
        <f>V82+Y82+Z82+AA82+AB82+AC82+AD82</f>
        <v>654229.17000000004</v>
      </c>
      <c r="AG82" s="25">
        <f>IFERROR(IFERROR((H82*W82*J82/15)-AE82,""),"")</f>
        <v>725468.63266666664</v>
      </c>
      <c r="AH82" s="26">
        <f>IFERROR(AG82-AF82,"")</f>
        <v>71239.462666666601</v>
      </c>
      <c r="AI82" s="6">
        <f>IF(F82="",(G82/$F$87)*$AL$19,(F82/$F$87)*$AL$19)</f>
        <v>284.30656934306569</v>
      </c>
      <c r="AJ82" s="6">
        <f>(AH82-AI82)*70%</f>
        <v>49668.609268126471</v>
      </c>
    </row>
    <row r="83" spans="1:36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3"/>
      <c r="AA83" s="21"/>
      <c r="AB83" s="21"/>
      <c r="AC83" s="21"/>
      <c r="AD83" s="21"/>
      <c r="AE83" s="21"/>
      <c r="AF83" s="21"/>
      <c r="AG83" s="21"/>
      <c r="AH83" s="26">
        <f>AH82/F82</f>
        <v>535.63505764410979</v>
      </c>
    </row>
    <row r="84" spans="1:36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3"/>
      <c r="AA84" s="21"/>
      <c r="AB84" s="21"/>
      <c r="AC84" s="21"/>
      <c r="AD84" s="21"/>
      <c r="AE84" s="21"/>
      <c r="AF84" s="21"/>
      <c r="AG84" s="21"/>
      <c r="AH84" s="27">
        <f>IFERROR(AH82/AG82,"")</f>
        <v>9.8197853716715022E-2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4"/>
      <c r="AI85" s="24"/>
      <c r="AJ85" s="24"/>
    </row>
    <row r="86" spans="1:36" ht="15" thickBot="1" x14ac:dyDescent="0.4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3"/>
      <c r="AA86" s="21"/>
      <c r="AB86" s="21"/>
      <c r="AC86" s="21"/>
      <c r="AD86" s="21"/>
      <c r="AE86" s="21"/>
      <c r="AF86" s="21"/>
      <c r="AG86" s="21"/>
      <c r="AH86" s="24"/>
      <c r="AI86" s="24"/>
      <c r="AJ86" s="24"/>
    </row>
    <row r="87" spans="1:36" ht="16" thickBot="1" x14ac:dyDescent="0.4">
      <c r="A87" s="377" t="s">
        <v>371</v>
      </c>
      <c r="B87" s="378"/>
      <c r="C87" s="378"/>
      <c r="D87" s="378"/>
      <c r="E87" s="378"/>
      <c r="F87" s="30">
        <f>SUM(F4:G82)</f>
        <v>959</v>
      </c>
      <c r="G87" s="30"/>
      <c r="H87" s="30"/>
      <c r="I87" s="30"/>
      <c r="J87" s="30"/>
      <c r="K87" s="30"/>
      <c r="L87" s="46"/>
      <c r="M87" s="46"/>
      <c r="N87" s="46"/>
      <c r="O87" s="46"/>
      <c r="P87" s="46"/>
      <c r="Q87" s="46"/>
      <c r="R87" s="46"/>
      <c r="S87" s="46"/>
      <c r="T87" s="46"/>
      <c r="U87" s="30"/>
      <c r="V87" s="31">
        <f>V4+V10+V16+V22+V28+V34+V40+V46+V52+V58+V64+V70+V76+V82</f>
        <v>4547467.4026666665</v>
      </c>
      <c r="W87" s="30"/>
      <c r="X87" s="30"/>
      <c r="Y87" s="31">
        <f>Y4+Y10+Y16+Y22+Y28+Y34+Y40+Y46+Y52+Y58+Y64+Y70+Y76+Y82</f>
        <v>41390</v>
      </c>
      <c r="Z87" s="31">
        <f>Z4+Z10+Z16+Z22+Z28+Z34+Z40+Z46+Z52+Z58+Z64+Z70+Z76+Z82</f>
        <v>140721.07</v>
      </c>
      <c r="AA87" s="31">
        <f>AA4+AA10+AA16+AA22+AA28+AA34+AA40+AA46+AA52+AA58+AA64+AA70+AA76+AA82</f>
        <v>0</v>
      </c>
      <c r="AB87" s="31">
        <f>AB4+AB10+AB16+AB16+AB22+AB28+AB34+AB40+AB46+AB52+AB58+AB64+AB70+AB76+AB82</f>
        <v>30500</v>
      </c>
      <c r="AC87" s="31">
        <f t="shared" ref="AC87:AJ87" si="0">AC4+AC10+AC16+AC22+AC28+AC34+AC40+AC46+AC52+AC58+AC64+AC70+AC76+AC82</f>
        <v>18630</v>
      </c>
      <c r="AD87" s="31">
        <f t="shared" si="0"/>
        <v>3672.9699999999993</v>
      </c>
      <c r="AE87" s="31">
        <f t="shared" si="0"/>
        <v>9854.31</v>
      </c>
      <c r="AF87" s="31">
        <f t="shared" si="0"/>
        <v>4778181.4426666666</v>
      </c>
      <c r="AG87" s="31">
        <f t="shared" si="0"/>
        <v>4917322.6721466677</v>
      </c>
      <c r="AH87" s="31">
        <f t="shared" si="0"/>
        <v>139141.22948000033</v>
      </c>
      <c r="AI87" s="31">
        <f t="shared" si="0"/>
        <v>2050.0000000000005</v>
      </c>
      <c r="AJ87" s="31">
        <f t="shared" si="0"/>
        <v>95963.860636000245</v>
      </c>
    </row>
  </sheetData>
  <mergeCells count="2">
    <mergeCell ref="U2:AC2"/>
    <mergeCell ref="A87:E8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3"/>
  <dimension ref="A1:BI73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4.26953125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6" width="16.54296875" customWidth="1"/>
    <col min="38" max="38" width="16.453125" bestFit="1" customWidth="1"/>
    <col min="39" max="39" width="15.72656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AF57</f>
        <v>6402961.6546666659</v>
      </c>
      <c r="AM3" s="164">
        <f>AH57-AI57</f>
        <v>224442.68533333315</v>
      </c>
    </row>
    <row r="4" spans="1:40" x14ac:dyDescent="0.35">
      <c r="A4" s="20">
        <v>44933</v>
      </c>
      <c r="B4" s="21" t="s">
        <v>383</v>
      </c>
      <c r="C4" s="21" t="s">
        <v>384</v>
      </c>
      <c r="D4" s="44">
        <v>141960</v>
      </c>
      <c r="E4" s="44"/>
      <c r="F4" s="21">
        <v>100</v>
      </c>
      <c r="G4" s="21"/>
      <c r="H4" s="22">
        <v>59240</v>
      </c>
      <c r="I4" s="33">
        <v>0.55000000000000004</v>
      </c>
      <c r="J4" s="24">
        <f>IFERROR(K4/H4,"")</f>
        <v>0.57012153950033762</v>
      </c>
      <c r="K4" s="22">
        <v>33774</v>
      </c>
      <c r="L4" s="21"/>
      <c r="M4" s="21">
        <v>10</v>
      </c>
      <c r="N4" s="21">
        <v>35</v>
      </c>
      <c r="O4" s="21">
        <v>55</v>
      </c>
      <c r="P4" s="21"/>
      <c r="Q4" s="21"/>
      <c r="R4" s="21"/>
      <c r="S4" s="21"/>
      <c r="T4" s="21"/>
      <c r="U4" s="25">
        <v>281</v>
      </c>
      <c r="V4" s="25">
        <f>H4*U4*I4/15</f>
        <v>610369.46666666667</v>
      </c>
      <c r="W4" s="25">
        <v>288.52</v>
      </c>
      <c r="X4" s="25">
        <v>649633.02</v>
      </c>
      <c r="Y4" s="25">
        <f>F4*30</f>
        <v>3000</v>
      </c>
      <c r="Z4" s="25">
        <v>18622</v>
      </c>
      <c r="AA4" s="25">
        <v>0</v>
      </c>
      <c r="AB4" s="25">
        <v>10487.6</v>
      </c>
      <c r="AC4" s="25">
        <f>F4*30</f>
        <v>3000</v>
      </c>
      <c r="AD4" s="25">
        <f>F4*3.83</f>
        <v>383</v>
      </c>
      <c r="AE4" s="25">
        <v>1299.27</v>
      </c>
      <c r="AF4" s="25">
        <f>V4+Y4+Z4+AA4+AB4+AC4+AD4</f>
        <v>645862.06666666665</v>
      </c>
      <c r="AG4" s="25">
        <f>IFERROR(IFERROR((H4*W4*J4/15)-AE4,""),"")</f>
        <v>648332.36199999996</v>
      </c>
      <c r="AH4" s="26">
        <f>IFERROR(AG4-AF4,"")</f>
        <v>2470.2953333333135</v>
      </c>
      <c r="AI4" s="6">
        <f>IF(F4="",(G4/$F$57)*$AL$19,(F4/$F$57)*$AL$19)</f>
        <v>127.02125693160812</v>
      </c>
      <c r="AJ4" s="6">
        <f>(AH4-AI4)*70%</f>
        <v>1640.2918534811936</v>
      </c>
      <c r="AL4" s="166" t="s">
        <v>749</v>
      </c>
      <c r="AM4" s="167">
        <f>AM3/AL3</f>
        <v>3.5052948531989529E-2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24.702953333333134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3.8102298730127459E-3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F4+G4+F10+G10+F16+G16+F22+G22+F28+G28+F34+G34+F40+G40+F46+G46+F52+G52</f>
        <v>1082</v>
      </c>
      <c r="AM9" s="50" t="s">
        <v>22</v>
      </c>
      <c r="AN9" t="s">
        <v>72</v>
      </c>
    </row>
    <row r="10" spans="1:40" x14ac:dyDescent="0.35">
      <c r="A10" s="20">
        <v>44933</v>
      </c>
      <c r="B10" s="21" t="s">
        <v>385</v>
      </c>
      <c r="C10" s="21" t="s">
        <v>124</v>
      </c>
      <c r="D10" s="44">
        <v>141961</v>
      </c>
      <c r="E10" s="44"/>
      <c r="F10" s="21"/>
      <c r="G10" s="21">
        <v>65</v>
      </c>
      <c r="H10" s="22">
        <v>21126</v>
      </c>
      <c r="I10" s="33">
        <v>0.5</v>
      </c>
      <c r="J10" s="24">
        <f>IFERROR(K10/H10,"")</f>
        <v>0.55679021111426674</v>
      </c>
      <c r="K10" s="22">
        <v>11762.75</v>
      </c>
      <c r="L10" s="21">
        <v>17</v>
      </c>
      <c r="M10" s="21">
        <v>29</v>
      </c>
      <c r="N10" s="21">
        <v>17</v>
      </c>
      <c r="O10" s="21">
        <v>2</v>
      </c>
      <c r="P10" s="21"/>
      <c r="Q10" s="21"/>
      <c r="R10" s="21"/>
      <c r="S10" s="21"/>
      <c r="T10" s="21"/>
      <c r="U10" s="25">
        <v>255</v>
      </c>
      <c r="V10" s="25">
        <f>H10*U10*I10/15</f>
        <v>179571</v>
      </c>
      <c r="W10" s="25">
        <v>293.22000000000003</v>
      </c>
      <c r="X10" s="25">
        <v>229941.26</v>
      </c>
      <c r="Y10" s="25">
        <f>F10*80</f>
        <v>0</v>
      </c>
      <c r="Z10" s="25">
        <v>11466</v>
      </c>
      <c r="AA10" s="25">
        <v>0</v>
      </c>
      <c r="AB10" s="25">
        <v>1690</v>
      </c>
      <c r="AC10" s="25">
        <f>G10*30</f>
        <v>1950</v>
      </c>
      <c r="AD10" s="25">
        <f>IF(F10="",G10*3.83,F10*3.83)</f>
        <v>248.95000000000002</v>
      </c>
      <c r="AE10" s="25">
        <v>459.88</v>
      </c>
      <c r="AF10" s="25">
        <f>V10+Y10+Z10+AA10+AB10+AC10+AD10</f>
        <v>194925.95</v>
      </c>
      <c r="AG10" s="25">
        <f>IFERROR(IFERROR((H10*W10*J10/15)-AE10,""),"")</f>
        <v>229478.35700000002</v>
      </c>
      <c r="AH10" s="26">
        <f>IFERROR(AG10-AF10,"")</f>
        <v>34552.407000000007</v>
      </c>
      <c r="AI10" s="6">
        <f>IF(F10="",(G10/$F$57)*$AL$19,(F10/$F$57)*$AL$19)</f>
        <v>82.563817005545275</v>
      </c>
      <c r="AJ10" s="6">
        <f>(AH10-AI10)*70%</f>
        <v>24128.890228096119</v>
      </c>
      <c r="AL10" s="11">
        <f>AH4+AH10+AH16+AH22+AH28+AH34+AH40+AH46+AH52</f>
        <v>225817.05533333315</v>
      </c>
      <c r="AM10" s="11">
        <f>AL10*30%</f>
        <v>67745.116599999936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AH10/G10</f>
        <v>531.57549230769246</v>
      </c>
      <c r="AL11" s="11"/>
      <c r="AM11" s="11"/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0.15056934977096775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4" t="s">
        <v>187</v>
      </c>
      <c r="AM14" t="s">
        <v>680</v>
      </c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57">
        <v>420</v>
      </c>
      <c r="AM15" t="s">
        <v>386</v>
      </c>
    </row>
    <row r="16" spans="1:40" x14ac:dyDescent="0.35">
      <c r="A16" s="20">
        <v>44933</v>
      </c>
      <c r="B16" s="21" t="s">
        <v>385</v>
      </c>
      <c r="C16" s="21" t="s">
        <v>124</v>
      </c>
      <c r="D16" s="44">
        <v>141961</v>
      </c>
      <c r="E16" s="44"/>
      <c r="F16" s="21"/>
      <c r="G16" s="21">
        <v>65</v>
      </c>
      <c r="H16" s="22">
        <v>23584</v>
      </c>
      <c r="I16" s="33">
        <v>0.5</v>
      </c>
      <c r="J16" s="24">
        <f>IFERROR(K16/H16,"")</f>
        <v>0.49875975237449116</v>
      </c>
      <c r="K16" s="22">
        <v>11762.75</v>
      </c>
      <c r="L16" s="21">
        <v>17</v>
      </c>
      <c r="M16" s="21">
        <v>28</v>
      </c>
      <c r="N16" s="21">
        <v>17</v>
      </c>
      <c r="O16" s="21">
        <v>3</v>
      </c>
      <c r="P16" s="21"/>
      <c r="Q16" s="21"/>
      <c r="R16" s="21"/>
      <c r="S16" s="21"/>
      <c r="T16" s="21"/>
      <c r="U16" s="25">
        <v>265</v>
      </c>
      <c r="V16" s="25">
        <f>H16*U16*I16/15</f>
        <v>208325.33333333334</v>
      </c>
      <c r="W16" s="25">
        <v>293.22000000000003</v>
      </c>
      <c r="X16" s="25">
        <v>229941.26</v>
      </c>
      <c r="Y16" s="25">
        <f>F16*80</f>
        <v>0</v>
      </c>
      <c r="Z16" s="25">
        <v>11466</v>
      </c>
      <c r="AA16" s="25">
        <v>0</v>
      </c>
      <c r="AB16" s="25">
        <v>1690</v>
      </c>
      <c r="AC16" s="25">
        <f>G16*30</f>
        <v>1950</v>
      </c>
      <c r="AD16" s="25">
        <f>IF(F16="",G16*3.83,F16*3.83)</f>
        <v>248.95000000000002</v>
      </c>
      <c r="AE16" s="25">
        <v>459.88</v>
      </c>
      <c r="AF16" s="25">
        <f>V16+Y16+Z16+AA16+AB16+AC16+AD16</f>
        <v>223680.28333333335</v>
      </c>
      <c r="AG16" s="25">
        <f>IFERROR(IFERROR((H16*W16*J16/15)-AE16,""),"")</f>
        <v>229478.35700000002</v>
      </c>
      <c r="AH16" s="26">
        <f>IFERROR(AG16-AF16,"")</f>
        <v>5798.0736666666635</v>
      </c>
      <c r="AI16" s="6">
        <f>IF(F16="",(G16/$F$57)*$AL$19,(F16/$F$57)*$AL$19)</f>
        <v>82.563817005545275</v>
      </c>
      <c r="AJ16" s="6">
        <f>(AH16-AI16)*70%</f>
        <v>4000.8568947627823</v>
      </c>
      <c r="AL16" s="57">
        <v>280</v>
      </c>
      <c r="AM16" s="6" t="s">
        <v>386</v>
      </c>
    </row>
    <row r="17" spans="1:4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89.201133333333289</v>
      </c>
      <c r="AI17" s="47"/>
      <c r="AJ17" s="47"/>
      <c r="AL17" s="57">
        <v>674.37</v>
      </c>
      <c r="AM17" t="s">
        <v>387</v>
      </c>
    </row>
    <row r="18" spans="1:41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2.5266320285998314E-2</v>
      </c>
      <c r="AI18" s="47"/>
      <c r="AJ18" s="47"/>
      <c r="AL18" s="57"/>
    </row>
    <row r="19" spans="1:41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95">
        <f>SUM(AL15:AL18)</f>
        <v>1374.37</v>
      </c>
      <c r="AM19" s="1" t="s">
        <v>682</v>
      </c>
    </row>
    <row r="20" spans="1:4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</row>
    <row r="21" spans="1:41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95">
        <f>AL10-AL19</f>
        <v>224442.68533333315</v>
      </c>
      <c r="AM21" s="1" t="s">
        <v>423</v>
      </c>
    </row>
    <row r="22" spans="1:41" x14ac:dyDescent="0.35">
      <c r="A22" s="20">
        <v>44934</v>
      </c>
      <c r="B22" s="21" t="s">
        <v>383</v>
      </c>
      <c r="C22" s="21" t="s">
        <v>384</v>
      </c>
      <c r="D22" s="44">
        <v>141959</v>
      </c>
      <c r="E22" s="44"/>
      <c r="F22" s="21">
        <v>202</v>
      </c>
      <c r="G22" s="21"/>
      <c r="H22" s="22">
        <v>119820</v>
      </c>
      <c r="I22" s="33">
        <v>0.55000000000000004</v>
      </c>
      <c r="J22" s="24">
        <f>IFERROR(K22/H22,"")</f>
        <v>0.57217075613420132</v>
      </c>
      <c r="K22" s="22">
        <v>68557.5</v>
      </c>
      <c r="L22" s="21">
        <v>6</v>
      </c>
      <c r="M22" s="21">
        <v>81</v>
      </c>
      <c r="N22" s="21">
        <v>96</v>
      </c>
      <c r="O22" s="21">
        <v>19</v>
      </c>
      <c r="P22" s="21"/>
      <c r="Q22" s="21"/>
      <c r="R22" s="21"/>
      <c r="S22" s="21"/>
      <c r="T22" s="21"/>
      <c r="U22" s="25">
        <v>281</v>
      </c>
      <c r="V22" s="25">
        <f>H22*U22*I22/15</f>
        <v>1234545.3999999999</v>
      </c>
      <c r="W22" s="25">
        <v>292.37</v>
      </c>
      <c r="X22" s="25">
        <v>1336293.71</v>
      </c>
      <c r="Y22" s="25">
        <v>6000</v>
      </c>
      <c r="Z22" s="25">
        <v>37249.199999999997</v>
      </c>
      <c r="AA22" s="25">
        <v>0</v>
      </c>
      <c r="AB22" s="25"/>
      <c r="AC22" s="25">
        <f>F22*30</f>
        <v>6060</v>
      </c>
      <c r="AD22" s="25">
        <f>IF(F22="",G22*3.83,F22*3.83)</f>
        <v>773.66</v>
      </c>
      <c r="AE22" s="25">
        <v>2672.59</v>
      </c>
      <c r="AF22" s="25">
        <f>V22+Y22+Z22+AA22+AB22+AC22+AD22</f>
        <v>1284628.2599999998</v>
      </c>
      <c r="AG22" s="25">
        <f>IFERROR(IFERROR((H22*W22*J22/15)-AE22,""),"")</f>
        <v>1333604.4949999999</v>
      </c>
      <c r="AH22" s="26">
        <f>IFERROR(AG22-AF22,"")</f>
        <v>48976.235000000102</v>
      </c>
      <c r="AI22" s="6">
        <f>IF(F22="",(G22/$F$57)*$AL$19,(F22/$F$57)*$AL$19)</f>
        <v>256.58293900184839</v>
      </c>
      <c r="AJ22" s="6">
        <f>(AH22-AI22)*70%</f>
        <v>34103.756442698774</v>
      </c>
      <c r="AL22" s="95">
        <f>AL21*30%</f>
        <v>67332.805599999949</v>
      </c>
      <c r="AM22" s="1" t="s">
        <v>426</v>
      </c>
    </row>
    <row r="23" spans="1:41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242.45660891089159</v>
      </c>
      <c r="AI23" s="47"/>
      <c r="AJ23" s="47"/>
      <c r="AL23" s="95"/>
      <c r="AM23" s="11"/>
    </row>
    <row r="24" spans="1:41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3.6724707500329856E-2</v>
      </c>
      <c r="AI24" s="47"/>
      <c r="AJ24" s="47"/>
      <c r="AL24" s="57"/>
    </row>
    <row r="25" spans="1:4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  <c r="AI25" s="47"/>
      <c r="AJ25" s="47"/>
      <c r="AL25" s="57"/>
    </row>
    <row r="26" spans="1:4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  <c r="AI26" s="47"/>
      <c r="AJ26" s="47"/>
    </row>
    <row r="27" spans="1:41" x14ac:dyDescent="0.35">
      <c r="A27" s="37" t="s">
        <v>1</v>
      </c>
      <c r="B27" s="37" t="s">
        <v>2</v>
      </c>
      <c r="C27" s="37" t="s">
        <v>110</v>
      </c>
      <c r="D27" s="37" t="s">
        <v>66</v>
      </c>
      <c r="E27" s="37"/>
      <c r="F27" s="37" t="s">
        <v>137</v>
      </c>
      <c r="G27" s="37" t="s">
        <v>138</v>
      </c>
      <c r="H27" s="37" t="s">
        <v>4</v>
      </c>
      <c r="I27" s="37" t="s">
        <v>5</v>
      </c>
      <c r="J27" s="37" t="s">
        <v>6</v>
      </c>
      <c r="K27" s="37" t="s">
        <v>7</v>
      </c>
      <c r="L27" s="37" t="s">
        <v>279</v>
      </c>
      <c r="M27" s="37" t="s">
        <v>280</v>
      </c>
      <c r="N27" s="37" t="s">
        <v>281</v>
      </c>
      <c r="O27" s="37" t="s">
        <v>282</v>
      </c>
      <c r="P27" s="37" t="s">
        <v>283</v>
      </c>
      <c r="Q27" s="37" t="s">
        <v>284</v>
      </c>
      <c r="R27" s="37" t="s">
        <v>904</v>
      </c>
      <c r="S27" s="37" t="s">
        <v>285</v>
      </c>
      <c r="T27" s="37" t="s">
        <v>289</v>
      </c>
      <c r="U27" s="37" t="s">
        <v>8</v>
      </c>
      <c r="V27" s="37" t="s">
        <v>9</v>
      </c>
      <c r="W27" s="37" t="s">
        <v>10</v>
      </c>
      <c r="X27" s="37" t="s">
        <v>100</v>
      </c>
      <c r="Y27" s="37" t="s">
        <v>106</v>
      </c>
      <c r="Z27" s="37" t="s">
        <v>12</v>
      </c>
      <c r="AA27" s="37" t="s">
        <v>258</v>
      </c>
      <c r="AB27" s="37" t="s">
        <v>13</v>
      </c>
      <c r="AC27" s="37" t="s">
        <v>74</v>
      </c>
      <c r="AD27" s="37" t="s">
        <v>21</v>
      </c>
      <c r="AE27" s="37" t="s">
        <v>14</v>
      </c>
      <c r="AF27" s="37" t="s">
        <v>15</v>
      </c>
      <c r="AG27" s="37" t="s">
        <v>16</v>
      </c>
      <c r="AH27" s="15" t="s">
        <v>17</v>
      </c>
      <c r="AI27" s="14" t="s">
        <v>679</v>
      </c>
      <c r="AJ27" s="14" t="s">
        <v>678</v>
      </c>
    </row>
    <row r="28" spans="1:41" x14ac:dyDescent="0.35">
      <c r="A28" s="38">
        <v>44935</v>
      </c>
      <c r="B28" s="39" t="s">
        <v>330</v>
      </c>
      <c r="C28" s="39" t="s">
        <v>384</v>
      </c>
      <c r="D28" s="45">
        <v>141958</v>
      </c>
      <c r="E28" s="45"/>
      <c r="F28" s="39">
        <v>200</v>
      </c>
      <c r="G28" s="39"/>
      <c r="H28" s="40">
        <v>118500</v>
      </c>
      <c r="I28" s="53">
        <v>0.55000000000000004</v>
      </c>
      <c r="J28" s="42">
        <f>IFERROR(K28/H28,"")</f>
        <v>0.56661181434599162</v>
      </c>
      <c r="K28" s="40">
        <v>67143.5</v>
      </c>
      <c r="L28" s="39">
        <v>9</v>
      </c>
      <c r="M28" s="39">
        <v>54</v>
      </c>
      <c r="N28" s="39">
        <v>84</v>
      </c>
      <c r="O28" s="39">
        <v>47</v>
      </c>
      <c r="P28" s="39">
        <v>6</v>
      </c>
      <c r="Q28" s="39"/>
      <c r="R28" s="39"/>
      <c r="S28" s="39"/>
      <c r="T28" s="39"/>
      <c r="U28" s="43">
        <v>281</v>
      </c>
      <c r="V28" s="43">
        <f>H28*U28*I28/15</f>
        <v>1220945</v>
      </c>
      <c r="W28" s="43">
        <v>289.61</v>
      </c>
      <c r="X28" s="43">
        <v>1296342.74</v>
      </c>
      <c r="Y28" s="43">
        <f>F28*60</f>
        <v>12000</v>
      </c>
      <c r="Z28" s="43">
        <v>37070</v>
      </c>
      <c r="AA28" s="43">
        <v>0</v>
      </c>
      <c r="AB28" s="43">
        <v>0</v>
      </c>
      <c r="AC28" s="43">
        <f>F28*30</f>
        <v>6000</v>
      </c>
      <c r="AD28" s="43">
        <f>IF(F28="",G28*3.83,F28*3.83)</f>
        <v>766</v>
      </c>
      <c r="AE28" s="43">
        <v>2592.6799999999998</v>
      </c>
      <c r="AF28" s="43">
        <f>V28+Y28+Z28+AA28+AB28+AC28+AD28</f>
        <v>1276781</v>
      </c>
      <c r="AG28" s="43">
        <f>IFERROR(IFERROR((H28*W28*J28/15)-AE28,""),"")</f>
        <v>1293769.2556666667</v>
      </c>
      <c r="AH28" s="26">
        <f>IFERROR(AG28-AF28,"")</f>
        <v>16988.255666666664</v>
      </c>
      <c r="AI28" s="6">
        <f>IF(F28="",(G28/$F$57)*$AL$19,(F28/$F$57)*$AL$19)</f>
        <v>254.04251386321624</v>
      </c>
      <c r="AJ28" s="6">
        <f>(AH28-AI28)*70%</f>
        <v>11713.949206962412</v>
      </c>
    </row>
    <row r="29" spans="1:41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84.941278333333315</v>
      </c>
    </row>
    <row r="30" spans="1:4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1.3130823438769057E-2</v>
      </c>
    </row>
    <row r="31" spans="1:4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</row>
    <row r="32" spans="1:4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21"/>
      <c r="AM32" s="21"/>
      <c r="AN32" s="21"/>
      <c r="AO32" s="21"/>
    </row>
    <row r="33" spans="1:6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21"/>
      <c r="AM33" s="21"/>
      <c r="AN33" s="21"/>
      <c r="AO33" s="21"/>
    </row>
    <row r="34" spans="1:61" x14ac:dyDescent="0.35">
      <c r="A34" s="20">
        <v>44936</v>
      </c>
      <c r="B34" s="21" t="s">
        <v>330</v>
      </c>
      <c r="C34" s="21" t="s">
        <v>384</v>
      </c>
      <c r="D34" s="44">
        <v>141957</v>
      </c>
      <c r="E34" s="44"/>
      <c r="F34" s="21">
        <v>200</v>
      </c>
      <c r="G34" s="21"/>
      <c r="H34" s="22">
        <v>117940</v>
      </c>
      <c r="I34" s="33">
        <v>0.55000000000000004</v>
      </c>
      <c r="J34" s="24">
        <f>IFERROR(K34/H34,"")</f>
        <v>0.57820925894522635</v>
      </c>
      <c r="K34" s="22">
        <v>68194</v>
      </c>
      <c r="L34" s="21">
        <v>7</v>
      </c>
      <c r="M34" s="21">
        <v>81</v>
      </c>
      <c r="N34" s="21">
        <v>87</v>
      </c>
      <c r="O34" s="21">
        <v>24</v>
      </c>
      <c r="P34" s="21">
        <v>1</v>
      </c>
      <c r="Q34" s="21"/>
      <c r="R34" s="21"/>
      <c r="S34" s="21"/>
      <c r="T34" s="21"/>
      <c r="U34" s="25">
        <v>281</v>
      </c>
      <c r="V34" s="25">
        <f>H34*U34*I34/15</f>
        <v>1215175.1333333333</v>
      </c>
      <c r="W34" s="25">
        <v>291.61</v>
      </c>
      <c r="X34" s="25">
        <v>1325718.97</v>
      </c>
      <c r="Y34" s="25">
        <f>F34*60</f>
        <v>12000</v>
      </c>
      <c r="Z34" s="25">
        <v>37249.199999999997</v>
      </c>
      <c r="AA34" s="25"/>
      <c r="AB34" s="25"/>
      <c r="AC34" s="25">
        <f>F34*30</f>
        <v>6000</v>
      </c>
      <c r="AD34" s="25">
        <f>IF(F34="",G34*3.83,F34*3.83)</f>
        <v>766</v>
      </c>
      <c r="AE34" s="25">
        <v>2651.44</v>
      </c>
      <c r="AF34" s="25">
        <f>V34+Y34+Z34+AA34+AB34+AC34+AD34</f>
        <v>1271190.3333333333</v>
      </c>
      <c r="AG34" s="25">
        <f>IFERROR(IFERROR((H34*W34*J34/15)-AE34,""),"")</f>
        <v>1323085.3826666665</v>
      </c>
      <c r="AH34" s="26">
        <f>IFERROR(AG34-AF34,"")</f>
        <v>51895.049333333271</v>
      </c>
      <c r="AI34" s="6">
        <f>IF(F34="",(G34/$F$57)*$AL$19,(F34/$F$57)*$AL$19)</f>
        <v>254.04251386321624</v>
      </c>
      <c r="AJ34" s="6">
        <f>(AH34-AI34)*70%</f>
        <v>36148.704773629041</v>
      </c>
      <c r="AL34" s="21"/>
      <c r="AM34" s="21"/>
      <c r="AN34" s="21"/>
      <c r="AO34" s="21"/>
    </row>
    <row r="35" spans="1:6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259.47524666666635</v>
      </c>
      <c r="AL35" s="21"/>
      <c r="AM35" s="21"/>
      <c r="AN35" s="21"/>
      <c r="AO35" s="21"/>
    </row>
    <row r="36" spans="1:6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3.9222751617691724E-2</v>
      </c>
      <c r="AL36" s="21"/>
      <c r="AM36" s="21"/>
      <c r="AN36" s="21"/>
      <c r="AO36" s="21"/>
    </row>
    <row r="37" spans="1:6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  <c r="AL37" s="21"/>
      <c r="AM37" s="21"/>
      <c r="AN37" s="21"/>
      <c r="AO37" s="21"/>
    </row>
    <row r="38" spans="1:61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61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  <c r="AK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47"/>
    </row>
    <row r="40" spans="1:61" x14ac:dyDescent="0.35">
      <c r="A40" s="20">
        <v>44937</v>
      </c>
      <c r="B40" s="21" t="s">
        <v>330</v>
      </c>
      <c r="C40" s="21" t="s">
        <v>384</v>
      </c>
      <c r="D40" s="44">
        <v>141956</v>
      </c>
      <c r="E40" s="44"/>
      <c r="F40" s="21">
        <v>200</v>
      </c>
      <c r="G40" s="21"/>
      <c r="H40" s="22">
        <v>115380</v>
      </c>
      <c r="I40" s="33">
        <v>0.55000000000000004</v>
      </c>
      <c r="J40" s="24">
        <f>IFERROR(K40/H40,"")</f>
        <v>0.57304558849020626</v>
      </c>
      <c r="K40" s="22">
        <v>66118</v>
      </c>
      <c r="L40" s="21">
        <v>4</v>
      </c>
      <c r="M40" s="21">
        <v>65</v>
      </c>
      <c r="N40" s="21">
        <v>108</v>
      </c>
      <c r="O40" s="21">
        <v>21</v>
      </c>
      <c r="P40" s="21">
        <v>2</v>
      </c>
      <c r="Q40" s="21"/>
      <c r="R40" s="21"/>
      <c r="S40" s="21"/>
      <c r="T40" s="21"/>
      <c r="U40" s="25">
        <v>281</v>
      </c>
      <c r="V40" s="25">
        <f>H40*U40*I40/15</f>
        <v>1188798.6000000001</v>
      </c>
      <c r="W40" s="25">
        <v>297.87</v>
      </c>
      <c r="X40" s="25">
        <v>1312983.93</v>
      </c>
      <c r="Y40" s="25">
        <f>F40*60</f>
        <v>12000</v>
      </c>
      <c r="Z40" s="25">
        <v>37059.599999999999</v>
      </c>
      <c r="AA40" s="25">
        <v>0</v>
      </c>
      <c r="AB40" s="25">
        <v>2810</v>
      </c>
      <c r="AC40" s="25">
        <f>F40*30</f>
        <v>6000</v>
      </c>
      <c r="AD40" s="25">
        <f>IF(F40="",G40*3.83,F40*3.83)</f>
        <v>766</v>
      </c>
      <c r="AE40" s="25">
        <v>2625.96</v>
      </c>
      <c r="AF40" s="25">
        <f>V40+Y40+Z40+AA40+AB40+AC40+AD40</f>
        <v>1247434.2000000002</v>
      </c>
      <c r="AG40" s="25">
        <f>IFERROR(IFERROR((H40*W40*J40/15)-AE40,""),"")</f>
        <v>1310345.284</v>
      </c>
      <c r="AH40" s="26">
        <f>IFERROR(AG40-AF40,"")</f>
        <v>62911.083999999799</v>
      </c>
      <c r="AI40" s="6">
        <f>IF(F40="",(G40/$F$57)*$AL$19,(F40/$F$57)*$AL$19)</f>
        <v>254.04251386321624</v>
      </c>
      <c r="AJ40" s="6">
        <f>(AH40-AI40)*70%</f>
        <v>43859.92904029561</v>
      </c>
      <c r="AK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47"/>
    </row>
    <row r="41" spans="1:6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314.555419999999</v>
      </c>
      <c r="AI41" s="47"/>
      <c r="AJ41" s="47"/>
      <c r="AK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4"/>
    </row>
    <row r="42" spans="1:6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4.8011073698037442E-2</v>
      </c>
      <c r="AI42" s="47"/>
      <c r="AJ42" s="47"/>
      <c r="AK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4"/>
    </row>
    <row r="43" spans="1:61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  <c r="AK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4"/>
    </row>
    <row r="44" spans="1:61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  <c r="AK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4"/>
    </row>
    <row r="45" spans="1:61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269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4"/>
    </row>
    <row r="46" spans="1:61" x14ac:dyDescent="0.35">
      <c r="A46" s="20">
        <v>44939</v>
      </c>
      <c r="B46" s="21" t="s">
        <v>330</v>
      </c>
      <c r="C46" s="21" t="s">
        <v>163</v>
      </c>
      <c r="D46" s="44">
        <v>142194</v>
      </c>
      <c r="E46" s="44"/>
      <c r="F46" s="21">
        <v>43</v>
      </c>
      <c r="G46" s="21"/>
      <c r="H46" s="22">
        <v>21874.959999999999</v>
      </c>
      <c r="I46" s="33">
        <v>0.53</v>
      </c>
      <c r="J46" s="24">
        <f>IFERROR(K46/H46,"")</f>
        <v>0.52807045132882535</v>
      </c>
      <c r="K46" s="22">
        <v>11551.52</v>
      </c>
      <c r="L46" s="21">
        <v>11</v>
      </c>
      <c r="M46" s="21">
        <v>20</v>
      </c>
      <c r="N46" s="21">
        <v>7</v>
      </c>
      <c r="O46" s="21">
        <v>3</v>
      </c>
      <c r="P46" s="21">
        <v>1</v>
      </c>
      <c r="Q46" s="21"/>
      <c r="R46" s="21"/>
      <c r="S46" s="21"/>
      <c r="T46" s="21">
        <v>1</v>
      </c>
      <c r="U46" s="25">
        <v>275</v>
      </c>
      <c r="V46" s="25">
        <f>H46*U46*I46/15</f>
        <v>212551.69466666671</v>
      </c>
      <c r="W46" s="25">
        <v>291.7</v>
      </c>
      <c r="X46" s="25">
        <v>224637.59</v>
      </c>
      <c r="Y46" s="25">
        <f>F46*60</f>
        <v>2580</v>
      </c>
      <c r="Z46" s="25">
        <v>6190.71</v>
      </c>
      <c r="AA46" s="25">
        <v>0</v>
      </c>
      <c r="AB46" s="25">
        <v>1182.5</v>
      </c>
      <c r="AC46" s="25">
        <f>F46*30</f>
        <v>1290</v>
      </c>
      <c r="AD46" s="25">
        <f>IF(F46="",G46*3.83,F46*3.83)</f>
        <v>164.69</v>
      </c>
      <c r="AE46" s="25">
        <v>449.28</v>
      </c>
      <c r="AF46" s="25">
        <f>V46+Y46+Z46+AA46+AB46+AC46+AD46</f>
        <v>223959.5946666667</v>
      </c>
      <c r="AG46" s="25">
        <f>IFERROR(IFERROR((H46*W46*J46/15)-AE46,""),"")</f>
        <v>224189.27893333335</v>
      </c>
      <c r="AH46" s="26">
        <f>IFERROR(AG46-AF46,"")</f>
        <v>229.68426666664891</v>
      </c>
      <c r="AI46" s="6">
        <f>IF(F46="",(G46/$F$57)*$AL$19,(F46/$F$57)*$AL$19)</f>
        <v>54.619140480591497</v>
      </c>
      <c r="AJ46" s="6">
        <f>(AH46-AI46)*70%</f>
        <v>122.54558833024016</v>
      </c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4"/>
    </row>
    <row r="47" spans="1:6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5.341494573642998</v>
      </c>
      <c r="AI47" s="47"/>
      <c r="AJ47" s="47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4"/>
    </row>
    <row r="48" spans="1:61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1.024510483995756E-3</v>
      </c>
      <c r="AI48" s="47"/>
      <c r="AJ48" s="47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4"/>
    </row>
    <row r="49" spans="1:61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4"/>
    </row>
    <row r="50" spans="1:61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4"/>
    </row>
    <row r="51" spans="1:61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269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4"/>
    </row>
    <row r="52" spans="1:61" x14ac:dyDescent="0.35">
      <c r="A52" s="20">
        <v>44939</v>
      </c>
      <c r="B52" s="21" t="s">
        <v>330</v>
      </c>
      <c r="C52" s="21" t="s">
        <v>163</v>
      </c>
      <c r="D52" s="44">
        <v>142194</v>
      </c>
      <c r="E52" s="44"/>
      <c r="F52" s="21">
        <v>7</v>
      </c>
      <c r="G52" s="21"/>
      <c r="H52" s="22">
        <v>3561.04</v>
      </c>
      <c r="I52" s="33">
        <v>0.5</v>
      </c>
      <c r="J52" s="24">
        <f>IFERROR(K52/H52,"")</f>
        <v>0.52807045132882535</v>
      </c>
      <c r="K52" s="22">
        <v>1880.48</v>
      </c>
      <c r="L52" s="21"/>
      <c r="M52" s="21"/>
      <c r="N52" s="21">
        <v>7</v>
      </c>
      <c r="O52" s="21"/>
      <c r="P52" s="21"/>
      <c r="Q52" s="21"/>
      <c r="R52" s="21"/>
      <c r="S52" s="21"/>
      <c r="T52" s="21"/>
      <c r="U52" s="25">
        <v>275</v>
      </c>
      <c r="V52" s="25">
        <f>H52*U52*I52/15</f>
        <v>32642.866666666665</v>
      </c>
      <c r="W52" s="25">
        <v>291.7</v>
      </c>
      <c r="X52" s="25">
        <v>36568.910000000003</v>
      </c>
      <c r="Y52" s="25">
        <f>F52*60</f>
        <v>420</v>
      </c>
      <c r="Z52" s="25">
        <v>1007.79</v>
      </c>
      <c r="AA52" s="25">
        <v>0</v>
      </c>
      <c r="AB52" s="25">
        <v>192.5</v>
      </c>
      <c r="AC52" s="25">
        <f>F52*30</f>
        <v>210</v>
      </c>
      <c r="AD52" s="25">
        <f>IF(F52="",G52*3.83,F52*3.83)</f>
        <v>26.810000000000002</v>
      </c>
      <c r="AE52" s="25">
        <v>73.13</v>
      </c>
      <c r="AF52" s="25">
        <f>V52+Y52+Z52+AA52+AB52+AC52+AD52</f>
        <v>34499.966666666667</v>
      </c>
      <c r="AG52" s="25">
        <f>IFERROR(IFERROR((H52*W52*J52/15)-AE52,""),"")</f>
        <v>36495.93773333334</v>
      </c>
      <c r="AH52" s="26">
        <f>IFERROR(AG52-AF52,"")</f>
        <v>1995.9710666666724</v>
      </c>
      <c r="AI52" s="6">
        <f>IF(F52="",(G52/$F$57)*$AL$19,(F52/$F$57)*$AL$19)</f>
        <v>8.891487985212569</v>
      </c>
      <c r="AJ52" s="6">
        <f>(AH52-AI52)*70%</f>
        <v>1390.9557050770218</v>
      </c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4"/>
    </row>
    <row r="53" spans="1:61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285.13872380952461</v>
      </c>
    </row>
    <row r="54" spans="1:6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5.4690225560190625E-2</v>
      </c>
    </row>
    <row r="55" spans="1:6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61" ht="15" thickBot="1" x14ac:dyDescent="0.4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61" ht="16" thickBot="1" x14ac:dyDescent="0.4">
      <c r="A57" s="377" t="s">
        <v>382</v>
      </c>
      <c r="B57" s="378"/>
      <c r="C57" s="378"/>
      <c r="D57" s="378"/>
      <c r="E57" s="378"/>
      <c r="F57" s="30">
        <f>SUM(F4:G52)</f>
        <v>1082</v>
      </c>
      <c r="G57" s="30"/>
      <c r="H57" s="30"/>
      <c r="I57" s="30"/>
      <c r="J57" s="30"/>
      <c r="K57" s="30"/>
      <c r="L57" s="46"/>
      <c r="M57" s="46"/>
      <c r="N57" s="46"/>
      <c r="O57" s="46"/>
      <c r="P57" s="46"/>
      <c r="Q57" s="46"/>
      <c r="R57" s="46"/>
      <c r="S57" s="46"/>
      <c r="T57" s="46"/>
      <c r="U57" s="30"/>
      <c r="V57" s="31">
        <f>V4+V10+V16+V22+V28+V34+V40+V46+V52</f>
        <v>6102924.4946666667</v>
      </c>
      <c r="W57" s="30"/>
      <c r="X57" s="30"/>
      <c r="Y57" s="31">
        <f>Y4+Y10+Y16+Y22+Y28+Y34+Y40+Y46+Y52</f>
        <v>48000</v>
      </c>
      <c r="Z57" s="31">
        <f>Z4+Z10+Z16+Z22+Z28+Z34+Z40+Z46+Z52</f>
        <v>197380.5</v>
      </c>
      <c r="AA57" s="31">
        <f>AA4+AA10+AA16+AA22+AA28+AA34+AA40+AA46+AA52</f>
        <v>0</v>
      </c>
      <c r="AB57" s="31">
        <f>AB4+AB10+AB16+AB16+AB22+AB28+AB34+AB40+AB46+AB52</f>
        <v>19742.599999999999</v>
      </c>
      <c r="AC57" s="31">
        <f t="shared" ref="AC57:AJ57" si="0">AC4+AC10+AC16+AC22+AC28+AC34+AC40+AC46+AC52</f>
        <v>32460</v>
      </c>
      <c r="AD57" s="31">
        <f t="shared" si="0"/>
        <v>4144.0600000000004</v>
      </c>
      <c r="AE57" s="31">
        <f t="shared" si="0"/>
        <v>13284.11</v>
      </c>
      <c r="AF57" s="31">
        <f t="shared" si="0"/>
        <v>6402961.6546666659</v>
      </c>
      <c r="AG57" s="31">
        <f t="shared" si="0"/>
        <v>6628778.71</v>
      </c>
      <c r="AH57" s="31">
        <f t="shared" si="0"/>
        <v>225817.05533333315</v>
      </c>
      <c r="AI57" s="31">
        <f t="shared" si="0"/>
        <v>1374.3700000000001</v>
      </c>
      <c r="AJ57" s="31">
        <f t="shared" si="0"/>
        <v>157109.87973333319</v>
      </c>
    </row>
    <row r="58" spans="1:61" x14ac:dyDescent="0.35">
      <c r="AI58" s="47"/>
      <c r="AJ58" s="47"/>
    </row>
    <row r="59" spans="1:61" x14ac:dyDescent="0.35">
      <c r="AI59" s="48"/>
      <c r="AJ59" s="47"/>
    </row>
    <row r="60" spans="1:61" x14ac:dyDescent="0.35">
      <c r="AI60" s="47"/>
      <c r="AJ60" s="47"/>
    </row>
    <row r="61" spans="1:61" x14ac:dyDescent="0.35">
      <c r="AI61" s="47"/>
      <c r="AJ61" s="47"/>
    </row>
    <row r="62" spans="1:61" x14ac:dyDescent="0.35">
      <c r="AI62" s="47"/>
      <c r="AJ62" s="47"/>
    </row>
    <row r="63" spans="1:61" x14ac:dyDescent="0.35">
      <c r="AI63" s="47"/>
      <c r="AJ63" s="47"/>
    </row>
    <row r="64" spans="1:61" x14ac:dyDescent="0.35">
      <c r="AI64" s="47"/>
      <c r="AJ64" s="47"/>
    </row>
    <row r="65" spans="35:36" x14ac:dyDescent="0.35">
      <c r="AI65" s="47"/>
      <c r="AJ65" s="47"/>
    </row>
    <row r="66" spans="35:36" x14ac:dyDescent="0.35">
      <c r="AI66" s="47"/>
      <c r="AJ66" s="47"/>
    </row>
    <row r="67" spans="35:36" x14ac:dyDescent="0.35">
      <c r="AI67" s="47"/>
      <c r="AJ67" s="47"/>
    </row>
    <row r="68" spans="35:36" x14ac:dyDescent="0.35">
      <c r="AI68" s="47"/>
      <c r="AJ68" s="47"/>
    </row>
    <row r="69" spans="35:36" x14ac:dyDescent="0.35">
      <c r="AI69" s="47"/>
      <c r="AJ69" s="47"/>
    </row>
    <row r="70" spans="35:36" x14ac:dyDescent="0.35">
      <c r="AI70" s="47"/>
      <c r="AJ70" s="47"/>
    </row>
    <row r="71" spans="35:36" x14ac:dyDescent="0.35">
      <c r="AI71" s="47"/>
      <c r="AJ71" s="47"/>
    </row>
    <row r="72" spans="35:36" x14ac:dyDescent="0.35">
      <c r="AI72" s="47"/>
      <c r="AJ72" s="47"/>
    </row>
    <row r="73" spans="35:36" x14ac:dyDescent="0.35">
      <c r="AI73" s="47"/>
      <c r="AJ73" s="47"/>
    </row>
  </sheetData>
  <mergeCells count="2">
    <mergeCell ref="U2:AC2"/>
    <mergeCell ref="A57:E5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4"/>
  <dimension ref="A1:BI77"/>
  <sheetViews>
    <sheetView topLeftCell="A49" zoomScale="85" zoomScaleNormal="85" workbookViewId="0">
      <selection activeCell="A70" sqref="A70"/>
    </sheetView>
  </sheetViews>
  <sheetFormatPr defaultRowHeight="14.5" x14ac:dyDescent="0.35"/>
  <cols>
    <col min="1" max="1" width="12.1796875" customWidth="1"/>
    <col min="2" max="2" width="21.453125" customWidth="1"/>
    <col min="3" max="3" width="24.26953125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6" width="16.54296875" customWidth="1"/>
    <col min="38" max="38" width="16.453125" bestFit="1" customWidth="1"/>
    <col min="39" max="39" width="15.72656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18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AF75</f>
        <v>3392903.4233333333</v>
      </c>
      <c r="AM3" s="164">
        <f>AH75-AI75</f>
        <v>210072.9346133334</v>
      </c>
    </row>
    <row r="4" spans="1:40" x14ac:dyDescent="0.35">
      <c r="A4" s="20">
        <v>44940</v>
      </c>
      <c r="B4" s="21" t="s">
        <v>330</v>
      </c>
      <c r="C4" s="21" t="s">
        <v>389</v>
      </c>
      <c r="D4" s="44">
        <v>142195</v>
      </c>
      <c r="E4" s="44"/>
      <c r="F4" s="21"/>
      <c r="G4" s="119">
        <v>65</v>
      </c>
      <c r="H4" s="22">
        <v>21940</v>
      </c>
      <c r="I4" s="33">
        <v>0.5</v>
      </c>
      <c r="J4" s="24">
        <f>IFERROR(K4/H4,"")</f>
        <v>0.53723792160437556</v>
      </c>
      <c r="K4" s="22">
        <v>11787</v>
      </c>
      <c r="L4" s="21">
        <v>39</v>
      </c>
      <c r="M4" s="21">
        <v>22</v>
      </c>
      <c r="N4" s="21">
        <v>1</v>
      </c>
      <c r="O4" s="21">
        <v>3</v>
      </c>
      <c r="P4" s="21"/>
      <c r="Q4" s="21"/>
      <c r="R4" s="21"/>
      <c r="S4" s="21"/>
      <c r="T4" s="21"/>
      <c r="U4" s="25">
        <v>260</v>
      </c>
      <c r="V4" s="25">
        <f>H4*U4*I4/15</f>
        <v>190146.66666666666</v>
      </c>
      <c r="W4" s="25">
        <v>293.64999999999998</v>
      </c>
      <c r="X4" s="25">
        <v>230749.21</v>
      </c>
      <c r="Y4" s="25">
        <f>G4*60</f>
        <v>3900</v>
      </c>
      <c r="Z4" s="25">
        <v>9364.2999999999993</v>
      </c>
      <c r="AA4" s="25">
        <v>0</v>
      </c>
      <c r="AB4" s="25">
        <v>1690</v>
      </c>
      <c r="AC4" s="25">
        <f>G4*30</f>
        <v>1950</v>
      </c>
      <c r="AD4" s="25">
        <f>G4*4.11</f>
        <v>267.15000000000003</v>
      </c>
      <c r="AE4" s="25">
        <v>461.49</v>
      </c>
      <c r="AF4" s="25">
        <f>V4+Y4+Z4+AA4+AB4+AC4+AD4</f>
        <v>207318.11666666664</v>
      </c>
      <c r="AG4" s="25">
        <f>IFERROR(IFERROR((H4*W4*J4/15)-AE4,""),"")</f>
        <v>230288.67999999996</v>
      </c>
      <c r="AH4" s="26">
        <f>IFERROR(AG4-AF4,"")</f>
        <v>22970.563333333324</v>
      </c>
      <c r="AI4" s="6">
        <f>IF(F4="",(G4/$F$75)*$AL$19,(F4/$F$75)*$AL$19)</f>
        <v>124.91620111731845</v>
      </c>
      <c r="AJ4" s="6">
        <f>(AH4-AI4)*70%</f>
        <v>15991.952992551203</v>
      </c>
      <c r="AL4" s="166" t="s">
        <v>749</v>
      </c>
      <c r="AM4" s="167">
        <f>AM3/AL3</f>
        <v>6.1915388799056587E-2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IFERROR(AH4/G4,"")</f>
        <v>353.39328205128191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9.9746819224172584E-2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F4+G4+F10+G10+F16+G16+F22+G22+F28+G28+F34+G34+F40+G40+F46+G46+F52+G52+F58+G58+F64+G64+F70+G70</f>
        <v>895</v>
      </c>
      <c r="AM9" s="50" t="s">
        <v>22</v>
      </c>
      <c r="AN9" t="s">
        <v>72</v>
      </c>
    </row>
    <row r="10" spans="1:40" x14ac:dyDescent="0.35">
      <c r="A10" s="20">
        <v>44940</v>
      </c>
      <c r="B10" s="21" t="s">
        <v>390</v>
      </c>
      <c r="C10" s="21" t="s">
        <v>141</v>
      </c>
      <c r="D10" s="44">
        <v>142454</v>
      </c>
      <c r="E10" s="44"/>
      <c r="F10" s="21"/>
      <c r="G10" s="21">
        <v>65</v>
      </c>
      <c r="H10" s="22">
        <v>22340</v>
      </c>
      <c r="I10" s="33">
        <v>0.5</v>
      </c>
      <c r="J10" s="24">
        <f>IFERROR(K10/H10,"")</f>
        <v>0.55176812891674132</v>
      </c>
      <c r="K10" s="22">
        <v>12326.5</v>
      </c>
      <c r="L10" s="21">
        <v>24</v>
      </c>
      <c r="M10" s="21">
        <v>16</v>
      </c>
      <c r="N10" s="21">
        <v>9</v>
      </c>
      <c r="O10" s="21">
        <v>11</v>
      </c>
      <c r="P10" s="21">
        <v>5</v>
      </c>
      <c r="Q10" s="21"/>
      <c r="R10" s="21"/>
      <c r="S10" s="21"/>
      <c r="T10" s="21"/>
      <c r="U10" s="25">
        <v>260</v>
      </c>
      <c r="V10" s="25">
        <f>H10*U10*I10/15</f>
        <v>193613.33333333334</v>
      </c>
      <c r="W10" s="25">
        <v>288.58999999999997</v>
      </c>
      <c r="X10" s="25">
        <v>237151.7</v>
      </c>
      <c r="Y10" s="25">
        <f>G10*30</f>
        <v>1950</v>
      </c>
      <c r="Z10" s="25">
        <v>7477.8</v>
      </c>
      <c r="AA10" s="25">
        <v>0</v>
      </c>
      <c r="AB10" s="25">
        <v>1690</v>
      </c>
      <c r="AC10" s="25">
        <f>G10*30</f>
        <v>1950</v>
      </c>
      <c r="AD10" s="25">
        <f>IF(F10="",G10*4.11,F10*4.11)</f>
        <v>267.15000000000003</v>
      </c>
      <c r="AE10" s="25">
        <v>474.29</v>
      </c>
      <c r="AF10" s="25">
        <f>V10+Y10+Z10+AA10+AB10+AC10+AD10</f>
        <v>206948.28333333333</v>
      </c>
      <c r="AG10" s="25">
        <f>IFERROR(IFERROR((H10*W10*J10/15)-AE10,""),"")</f>
        <v>236679.35233333334</v>
      </c>
      <c r="AH10" s="26">
        <f>IFERROR(AG10-AF10,"")</f>
        <v>29731.069000000018</v>
      </c>
      <c r="AI10" s="6">
        <f>IF(F10="",(G10/$F$75)*$AL$19,(F10/$F$75)*$AL$19)</f>
        <v>124.91620111731845</v>
      </c>
      <c r="AJ10" s="6">
        <f>(AH10-AI10)*70%</f>
        <v>20724.306959217887</v>
      </c>
      <c r="AL10" s="11">
        <f>AH4+AH10+AH16+AH22+AH28+AH34+AH40+AH46+AH52+AH58+AH64+AH70</f>
        <v>211792.9346133334</v>
      </c>
      <c r="AM10" s="11">
        <f>AL10*30%</f>
        <v>63537.880384000018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AH10/G10</f>
        <v>457.40106153846182</v>
      </c>
      <c r="AL11" s="11"/>
      <c r="AM11" s="11"/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0.12561750193623783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4" t="s">
        <v>187</v>
      </c>
      <c r="AM14" t="s">
        <v>680</v>
      </c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99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57">
        <v>420</v>
      </c>
      <c r="AM15" t="s">
        <v>386</v>
      </c>
    </row>
    <row r="16" spans="1:40" x14ac:dyDescent="0.35">
      <c r="A16" s="20">
        <v>44941</v>
      </c>
      <c r="B16" s="21" t="s">
        <v>330</v>
      </c>
      <c r="C16" s="21" t="s">
        <v>391</v>
      </c>
      <c r="D16" s="44">
        <v>142455</v>
      </c>
      <c r="E16" s="44"/>
      <c r="F16" s="21"/>
      <c r="G16" s="98">
        <v>65</v>
      </c>
      <c r="H16" s="22">
        <v>23526.5</v>
      </c>
      <c r="I16" s="33">
        <v>0.5</v>
      </c>
      <c r="J16" s="24">
        <f>IFERROR(K16/H16,"")</f>
        <v>0.52489745606018745</v>
      </c>
      <c r="K16" s="22">
        <v>12349</v>
      </c>
      <c r="L16" s="21">
        <v>30</v>
      </c>
      <c r="M16" s="21">
        <v>30</v>
      </c>
      <c r="N16" s="21">
        <v>5</v>
      </c>
      <c r="O16" s="21"/>
      <c r="P16" s="21"/>
      <c r="Q16" s="21"/>
      <c r="R16" s="21"/>
      <c r="S16" s="21"/>
      <c r="T16" s="21"/>
      <c r="U16" s="25">
        <v>260</v>
      </c>
      <c r="V16" s="25">
        <f>H16*U16*I16/15</f>
        <v>203896.33333333334</v>
      </c>
      <c r="W16" s="25">
        <v>294.47000000000003</v>
      </c>
      <c r="X16" s="25">
        <v>242428.1</v>
      </c>
      <c r="Y16" s="25">
        <f>G16*60</f>
        <v>3900</v>
      </c>
      <c r="Z16" s="25">
        <v>6124</v>
      </c>
      <c r="AA16" s="25">
        <v>0</v>
      </c>
      <c r="AB16" s="25">
        <v>1690</v>
      </c>
      <c r="AC16" s="25">
        <f>G16*30</f>
        <v>1950</v>
      </c>
      <c r="AD16" s="25">
        <f>IF(F16="",G16*4.11,F16*4.11)</f>
        <v>267.15000000000003</v>
      </c>
      <c r="AE16" s="25">
        <v>484.86</v>
      </c>
      <c r="AF16" s="25">
        <f>V16+Y16+Z16+AA16+AB16+AC16+AD16</f>
        <v>217827.48333333334</v>
      </c>
      <c r="AG16" s="25">
        <f>IFERROR(IFERROR((H16*W16*J16/15)-AE16,""),"")</f>
        <v>241942.47533333339</v>
      </c>
      <c r="AH16" s="26">
        <f>IFERROR(AG16-AF16,"")</f>
        <v>24114.992000000057</v>
      </c>
      <c r="AI16" s="6">
        <f>IF(F16="",(G16/$F$75)*$AL$19,(F16/$F$75)*$AL$19)</f>
        <v>124.91620111731845</v>
      </c>
      <c r="AJ16" s="6">
        <f>(AH16-AI16)*70%</f>
        <v>16793.053059217917</v>
      </c>
      <c r="AL16" s="57">
        <v>1300</v>
      </c>
      <c r="AM16" s="6"/>
    </row>
    <row r="17" spans="1:39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370.99987692307781</v>
      </c>
      <c r="AI17" s="47"/>
      <c r="AJ17" s="47"/>
      <c r="AL17" s="57">
        <v>0</v>
      </c>
    </row>
    <row r="18" spans="1:39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9.9672419928645895E-2</v>
      </c>
      <c r="AI18" s="47"/>
      <c r="AJ18" s="47"/>
      <c r="AL18" s="57"/>
    </row>
    <row r="19" spans="1:39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120">
        <f>SUM(AL15:AL18)</f>
        <v>1720</v>
      </c>
      <c r="AM19" s="1" t="s">
        <v>682</v>
      </c>
    </row>
    <row r="20" spans="1:39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</row>
    <row r="21" spans="1:39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95">
        <f>AL10-AL19</f>
        <v>210072.9346133334</v>
      </c>
      <c r="AM21" s="1" t="s">
        <v>423</v>
      </c>
    </row>
    <row r="22" spans="1:39" x14ac:dyDescent="0.35">
      <c r="A22" s="20">
        <v>44942</v>
      </c>
      <c r="B22" s="21" t="s">
        <v>392</v>
      </c>
      <c r="C22" s="21" t="s">
        <v>393</v>
      </c>
      <c r="D22" s="44">
        <v>142461</v>
      </c>
      <c r="E22" s="44"/>
      <c r="F22" s="21"/>
      <c r="G22" s="21">
        <v>130</v>
      </c>
      <c r="H22" s="22">
        <v>51240</v>
      </c>
      <c r="I22" s="33">
        <v>0.5</v>
      </c>
      <c r="J22" s="24">
        <f>IFERROR(K22/H22,"")</f>
        <v>0.49182786885245899</v>
      </c>
      <c r="K22" s="22">
        <v>25201.26</v>
      </c>
      <c r="L22" s="21">
        <v>38</v>
      </c>
      <c r="M22" s="21">
        <v>45</v>
      </c>
      <c r="N22" s="21">
        <v>39</v>
      </c>
      <c r="O22" s="21">
        <v>5</v>
      </c>
      <c r="P22" s="21">
        <v>3</v>
      </c>
      <c r="Q22" s="21"/>
      <c r="R22" s="21"/>
      <c r="S22" s="21"/>
      <c r="T22" s="21"/>
      <c r="U22" s="25">
        <v>260</v>
      </c>
      <c r="V22" s="25">
        <f>H22*U22*I22/15</f>
        <v>444080</v>
      </c>
      <c r="W22" s="25">
        <v>291.29000000000002</v>
      </c>
      <c r="X22" s="25">
        <v>470521</v>
      </c>
      <c r="Y22" s="25">
        <v>0</v>
      </c>
      <c r="Z22" s="25">
        <v>12871</v>
      </c>
      <c r="AA22" s="25">
        <v>0</v>
      </c>
      <c r="AB22" s="25">
        <v>3380</v>
      </c>
      <c r="AC22" s="25">
        <f>G22*30</f>
        <v>3900</v>
      </c>
      <c r="AD22" s="25">
        <f>IF(F22="",G22*4.11,F22*4.11)</f>
        <v>534.30000000000007</v>
      </c>
      <c r="AE22" s="25">
        <v>941.05</v>
      </c>
      <c r="AF22" s="25">
        <f>V22+Y22+Z22+AA22+AB22+AC22+AD22</f>
        <v>464765.3</v>
      </c>
      <c r="AG22" s="25">
        <f>IFERROR(IFERROR((H22*W22*J22/15)-AE22,""),"")</f>
        <v>488450.61836000008</v>
      </c>
      <c r="AH22" s="26">
        <f>IFERROR(AG22-AF22,"")</f>
        <v>23685.318360000092</v>
      </c>
      <c r="AI22" s="6">
        <f>IF(F22="",(G22/$F$75)*$AL$19,(F22/$F$75)*$AL$19)</f>
        <v>249.8324022346369</v>
      </c>
      <c r="AJ22" s="6">
        <f>(AH22-AI22)*70%</f>
        <v>16404.840170435818</v>
      </c>
      <c r="AL22" s="95">
        <f>AL21*30%</f>
        <v>63021.880384000018</v>
      </c>
      <c r="AM22" s="1" t="s">
        <v>424</v>
      </c>
    </row>
    <row r="23" spans="1:39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AH22/G22</f>
        <v>182.19475661538533</v>
      </c>
      <c r="AI23" s="47"/>
      <c r="AJ23" s="47"/>
      <c r="AL23" s="57"/>
      <c r="AM23" s="11"/>
    </row>
    <row r="24" spans="1:39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4.8490712202443012E-2</v>
      </c>
      <c r="AI24" s="47"/>
      <c r="AJ24" s="47"/>
      <c r="AL24" s="57"/>
    </row>
    <row r="25" spans="1:39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  <c r="AI25" s="47"/>
      <c r="AJ25" s="47"/>
      <c r="AL25" s="57"/>
    </row>
    <row r="26" spans="1:39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  <c r="AI26" s="47"/>
      <c r="AJ26" s="47"/>
    </row>
    <row r="27" spans="1:39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</row>
    <row r="28" spans="1:39" x14ac:dyDescent="0.35">
      <c r="A28" s="20">
        <v>44942</v>
      </c>
      <c r="B28" s="21" t="s">
        <v>394</v>
      </c>
      <c r="C28" s="21" t="s">
        <v>395</v>
      </c>
      <c r="D28" s="44">
        <v>142197</v>
      </c>
      <c r="E28" s="44"/>
      <c r="F28" s="21"/>
      <c r="G28" s="21">
        <v>60</v>
      </c>
      <c r="H28" s="22">
        <v>22700</v>
      </c>
      <c r="I28" s="33">
        <v>0.5</v>
      </c>
      <c r="J28" s="24">
        <f>IFERROR(K28/H28,"")</f>
        <v>0.51371057268722464</v>
      </c>
      <c r="K28" s="22">
        <v>11661.23</v>
      </c>
      <c r="L28" s="21">
        <v>19</v>
      </c>
      <c r="M28" s="21">
        <v>22</v>
      </c>
      <c r="N28" s="21">
        <v>11</v>
      </c>
      <c r="O28" s="21">
        <v>8</v>
      </c>
      <c r="P28" s="21"/>
      <c r="Q28" s="21"/>
      <c r="R28" s="21"/>
      <c r="S28" s="21"/>
      <c r="T28" s="21"/>
      <c r="U28" s="25">
        <v>260</v>
      </c>
      <c r="V28" s="25">
        <f>H28*U28*I28/15</f>
        <v>196733.33333333334</v>
      </c>
      <c r="W28" s="25">
        <v>287.06</v>
      </c>
      <c r="X28" s="25">
        <v>241760.43</v>
      </c>
      <c r="Y28" s="25">
        <f>G28*90</f>
        <v>5400</v>
      </c>
      <c r="Z28" s="25">
        <v>2967</v>
      </c>
      <c r="AA28" s="25">
        <v>0</v>
      </c>
      <c r="AB28" s="25">
        <v>1560</v>
      </c>
      <c r="AC28" s="25">
        <v>0</v>
      </c>
      <c r="AD28" s="25">
        <f>IF(F28="",G28*4.11,F28*4.11)</f>
        <v>246.60000000000002</v>
      </c>
      <c r="AE28" s="25">
        <v>483.52</v>
      </c>
      <c r="AF28" s="25">
        <f>V28+Y28+Z28+AA28+AB28+AC28+AD28</f>
        <v>206906.93333333335</v>
      </c>
      <c r="AG28" s="25">
        <f>IFERROR(IFERROR((H28*W28*J28/15)-AE28,""),"")</f>
        <v>222681.32558666667</v>
      </c>
      <c r="AH28" s="26">
        <f>IFERROR(AG28-AF28,"")</f>
        <v>15774.392253333324</v>
      </c>
      <c r="AI28" s="6">
        <f>IF(F28="",(G28/$F$75)*$AL$19,(F28/$F$75)*$AL$19)</f>
        <v>115.3072625698324</v>
      </c>
      <c r="AJ28" s="6">
        <f>(AH28-AI28)*70%</f>
        <v>10961.359493534443</v>
      </c>
    </row>
    <row r="29" spans="1:39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AH28/G28</f>
        <v>262.90653755555542</v>
      </c>
    </row>
    <row r="30" spans="1:39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7.0838415443121625E-2</v>
      </c>
    </row>
    <row r="31" spans="1:39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</row>
    <row r="32" spans="1:39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</row>
    <row r="33" spans="1:6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18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61" x14ac:dyDescent="0.35">
      <c r="A34" s="20">
        <v>44940</v>
      </c>
      <c r="B34" s="21" t="s">
        <v>330</v>
      </c>
      <c r="C34" s="21" t="s">
        <v>389</v>
      </c>
      <c r="D34" s="44">
        <v>142456</v>
      </c>
      <c r="E34" s="44"/>
      <c r="F34" s="21"/>
      <c r="G34" s="119">
        <v>65</v>
      </c>
      <c r="H34" s="22">
        <v>21940</v>
      </c>
      <c r="I34" s="33">
        <v>0.5</v>
      </c>
      <c r="J34" s="24">
        <f>IFERROR(K34/H34,"")</f>
        <v>0.51103008204193257</v>
      </c>
      <c r="K34" s="22">
        <v>11212</v>
      </c>
      <c r="L34" s="21">
        <v>17</v>
      </c>
      <c r="M34" s="21">
        <v>33</v>
      </c>
      <c r="N34" s="21">
        <v>9</v>
      </c>
      <c r="O34" s="21">
        <v>4</v>
      </c>
      <c r="P34" s="21">
        <v>2</v>
      </c>
      <c r="Q34" s="21"/>
      <c r="R34" s="21"/>
      <c r="S34" s="21"/>
      <c r="T34" s="21"/>
      <c r="U34" s="25">
        <v>260</v>
      </c>
      <c r="V34" s="25">
        <f>H34*U34*I34/15</f>
        <v>190146.66666666666</v>
      </c>
      <c r="W34" s="25">
        <v>291.64999999999998</v>
      </c>
      <c r="X34" s="25">
        <v>218000.18</v>
      </c>
      <c r="Y34" s="25">
        <f>G34*60</f>
        <v>3900</v>
      </c>
      <c r="Z34" s="25">
        <v>9364.2999999999993</v>
      </c>
      <c r="AA34" s="25"/>
      <c r="AB34" s="25">
        <v>1690</v>
      </c>
      <c r="AC34" s="25">
        <f>G34*30</f>
        <v>1950</v>
      </c>
      <c r="AD34" s="25">
        <f>IF(F34="",G34*4.11,F34*4.11)</f>
        <v>267.15000000000003</v>
      </c>
      <c r="AE34" s="25">
        <v>435.99</v>
      </c>
      <c r="AF34" s="25">
        <f>V34+Y34+Z34+AA34+AB34+AC34+AD34</f>
        <v>207318.11666666664</v>
      </c>
      <c r="AG34" s="25">
        <f>IFERROR(IFERROR((H34*W34*J34/15)-AE34,""),"")</f>
        <v>217562.66333333333</v>
      </c>
      <c r="AH34" s="26">
        <f>IFERROR(AG34-AF34,"")</f>
        <v>10244.546666666691</v>
      </c>
      <c r="AI34" s="6">
        <f>IF(F34="",(G34/$F$75)*$AL$19,(F34/$F$75)*$AL$19)</f>
        <v>124.91620111731845</v>
      </c>
      <c r="AJ34" s="6">
        <f>(AH34-AI34)*70%</f>
        <v>7083.7413258845609</v>
      </c>
    </row>
    <row r="35" spans="1:6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AH34/G34</f>
        <v>157.60841025641062</v>
      </c>
    </row>
    <row r="36" spans="1:6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4.7087797647387492E-2</v>
      </c>
    </row>
    <row r="37" spans="1:6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61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61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99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47"/>
    </row>
    <row r="40" spans="1:61" x14ac:dyDescent="0.35">
      <c r="A40" s="20">
        <v>44941</v>
      </c>
      <c r="B40" s="21" t="s">
        <v>330</v>
      </c>
      <c r="C40" s="21" t="s">
        <v>391</v>
      </c>
      <c r="D40" s="44">
        <v>142196</v>
      </c>
      <c r="E40" s="44"/>
      <c r="F40" s="21"/>
      <c r="G40" s="98">
        <v>65</v>
      </c>
      <c r="H40" s="22">
        <v>23526.5</v>
      </c>
      <c r="I40" s="33">
        <v>0.5</v>
      </c>
      <c r="J40" s="24">
        <f>IFERROR(K40/H40,"")</f>
        <v>0.5205194142775168</v>
      </c>
      <c r="K40" s="22">
        <v>12246</v>
      </c>
      <c r="L40" s="21">
        <v>26</v>
      </c>
      <c r="M40" s="21">
        <v>33</v>
      </c>
      <c r="N40" s="21">
        <v>5</v>
      </c>
      <c r="O40" s="21">
        <v>1</v>
      </c>
      <c r="P40" s="21"/>
      <c r="Q40" s="21"/>
      <c r="R40" s="21"/>
      <c r="S40" s="21"/>
      <c r="T40" s="21"/>
      <c r="U40" s="25">
        <v>260</v>
      </c>
      <c r="V40" s="25">
        <f>H40*U40*I40/15</f>
        <v>203896.33333333334</v>
      </c>
      <c r="W40" s="25">
        <v>295.08</v>
      </c>
      <c r="X40" s="25">
        <v>240901.36</v>
      </c>
      <c r="Y40" s="25">
        <f>G40*60</f>
        <v>3900</v>
      </c>
      <c r="Z40" s="25">
        <v>6124</v>
      </c>
      <c r="AA40" s="25">
        <v>0</v>
      </c>
      <c r="AB40" s="25">
        <v>1690</v>
      </c>
      <c r="AC40" s="25">
        <f>G40*30</f>
        <v>1950</v>
      </c>
      <c r="AD40" s="25">
        <f>IF(F40="",G40*4.11,F40*4.11)</f>
        <v>267.15000000000003</v>
      </c>
      <c r="AE40" s="25">
        <v>481.8</v>
      </c>
      <c r="AF40" s="25">
        <f>V40+Y40+Z40+AA40+AB40+AC40+AD40</f>
        <v>217827.48333333334</v>
      </c>
      <c r="AG40" s="25">
        <f>IFERROR(IFERROR((H40*W40*J40/15)-AE40,""),"")</f>
        <v>240421.51199999996</v>
      </c>
      <c r="AH40" s="26">
        <f>IFERROR(AG40-AF40,"")</f>
        <v>22594.028666666622</v>
      </c>
      <c r="AI40" s="6">
        <f>IF(F40="",(G40/$F$75)*$AL$19,(F40/$F$75)*$AL$19)</f>
        <v>124.91620111731845</v>
      </c>
      <c r="AJ40" s="6">
        <f>(AH40-AI40)*70%</f>
        <v>15728.378725884511</v>
      </c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47"/>
    </row>
    <row r="41" spans="1:6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AH40/G40</f>
        <v>347.60044102564035</v>
      </c>
      <c r="AI41" s="47"/>
      <c r="AJ41" s="47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4"/>
    </row>
    <row r="42" spans="1:6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9.3976734771831175E-2</v>
      </c>
      <c r="AI42" s="47"/>
      <c r="AJ42" s="47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4"/>
    </row>
    <row r="43" spans="1:61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4"/>
    </row>
    <row r="44" spans="1:61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4"/>
    </row>
    <row r="45" spans="1:61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4"/>
    </row>
    <row r="46" spans="1:61" x14ac:dyDescent="0.35">
      <c r="A46" s="20">
        <v>44943</v>
      </c>
      <c r="B46" s="21" t="s">
        <v>330</v>
      </c>
      <c r="C46" s="21" t="s">
        <v>136</v>
      </c>
      <c r="D46" s="44">
        <v>142198</v>
      </c>
      <c r="E46" s="44"/>
      <c r="F46" s="21">
        <v>50</v>
      </c>
      <c r="G46" s="21"/>
      <c r="H46" s="22">
        <v>31892</v>
      </c>
      <c r="I46" s="33">
        <v>0.55000000000000004</v>
      </c>
      <c r="J46" s="24">
        <f>IFERROR(K46/H46,"")</f>
        <v>0.51023767716041646</v>
      </c>
      <c r="K46" s="22">
        <v>16272.5</v>
      </c>
      <c r="L46" s="21"/>
      <c r="M46" s="21">
        <v>2</v>
      </c>
      <c r="N46" s="21">
        <v>24</v>
      </c>
      <c r="O46" s="21">
        <v>19</v>
      </c>
      <c r="P46" s="21">
        <v>3</v>
      </c>
      <c r="Q46" s="21">
        <v>2</v>
      </c>
      <c r="R46" s="14"/>
      <c r="S46" s="21"/>
      <c r="T46" s="21"/>
      <c r="U46" s="25">
        <v>270</v>
      </c>
      <c r="V46" s="25">
        <f>H46*U46*I46/15</f>
        <v>315730.8</v>
      </c>
      <c r="W46" s="25">
        <v>286.27999999999997</v>
      </c>
      <c r="X46" s="25">
        <v>310568.40999999997</v>
      </c>
      <c r="Y46" s="25">
        <f>F46*60</f>
        <v>3000</v>
      </c>
      <c r="Z46" s="25">
        <v>10802.7</v>
      </c>
      <c r="AA46" s="25"/>
      <c r="AB46" s="25">
        <v>1350</v>
      </c>
      <c r="AC46" s="25">
        <f>F46*30</f>
        <v>1500</v>
      </c>
      <c r="AD46" s="25">
        <f>IF(F46="",G46*4.11,F46*4.11)</f>
        <v>205.50000000000003</v>
      </c>
      <c r="AE46" s="25">
        <v>621.14</v>
      </c>
      <c r="AF46" s="25">
        <f>V46+Y46+Z46+AA46+AB46+AC46+AD46</f>
        <v>332589</v>
      </c>
      <c r="AG46" s="25">
        <f>IFERROR(IFERROR((H46*W46*J46/15)-AE46,""),"")</f>
        <v>309944.94666666671</v>
      </c>
      <c r="AH46" s="26">
        <f>IFERROR(AG46-AF46,"")</f>
        <v>-22644.053333333286</v>
      </c>
      <c r="AI46" s="6">
        <f>IF(F46="",(G46/$F$75)*$AL$19,(F46/$F$75)*$AL$19)</f>
        <v>96.089385474860336</v>
      </c>
      <c r="AJ46" s="6">
        <f>(AH46-AI46)*70%</f>
        <v>-15918.099903165701</v>
      </c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4"/>
    </row>
    <row r="47" spans="1:6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-452.88106666666573</v>
      </c>
      <c r="AI47" s="47"/>
      <c r="AJ47" s="47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4"/>
    </row>
    <row r="48" spans="1:61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-7.3058307860350599E-2</v>
      </c>
      <c r="AI48" s="47"/>
      <c r="AJ48" s="47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4"/>
    </row>
    <row r="49" spans="1:61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4"/>
    </row>
    <row r="50" spans="1:61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4"/>
    </row>
    <row r="51" spans="1:61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11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61" x14ac:dyDescent="0.35">
      <c r="A52" s="20">
        <v>44944</v>
      </c>
      <c r="B52" s="21" t="s">
        <v>396</v>
      </c>
      <c r="C52" s="21" t="s">
        <v>397</v>
      </c>
      <c r="D52" s="44">
        <v>142457</v>
      </c>
      <c r="E52" s="44"/>
      <c r="F52" s="21"/>
      <c r="G52" s="21">
        <v>130</v>
      </c>
      <c r="H52" s="22">
        <v>45440</v>
      </c>
      <c r="I52" s="33">
        <v>0.5</v>
      </c>
      <c r="J52" s="24">
        <f>IFERROR(K52/H52,"")</f>
        <v>0.51367737676056335</v>
      </c>
      <c r="K52" s="22">
        <v>23341.5</v>
      </c>
      <c r="L52" s="21">
        <v>61</v>
      </c>
      <c r="M52" s="21">
        <v>58</v>
      </c>
      <c r="N52" s="21">
        <v>9</v>
      </c>
      <c r="O52" s="21">
        <v>1</v>
      </c>
      <c r="P52" s="21">
        <v>1</v>
      </c>
      <c r="Q52" s="21"/>
      <c r="R52" s="21"/>
      <c r="S52" s="21"/>
      <c r="T52" s="21"/>
      <c r="U52" s="25">
        <v>255</v>
      </c>
      <c r="V52" s="25">
        <f>H52*U52*I52/15</f>
        <v>386240</v>
      </c>
      <c r="W52" s="25">
        <v>290.45</v>
      </c>
      <c r="X52" s="25">
        <v>451960.74</v>
      </c>
      <c r="Y52" s="25">
        <f>G52*30</f>
        <v>3900</v>
      </c>
      <c r="Z52" s="25">
        <v>13669.2</v>
      </c>
      <c r="AA52" s="25"/>
      <c r="AB52" s="25">
        <v>7724.8</v>
      </c>
      <c r="AC52" s="25">
        <f>G52*30</f>
        <v>3900</v>
      </c>
      <c r="AD52" s="25">
        <f>IF(F52="",G52*4.11,F52*4.11)</f>
        <v>534.30000000000007</v>
      </c>
      <c r="AE52" s="25">
        <v>903.91</v>
      </c>
      <c r="AF52" s="25">
        <f>V52+Y52+Z52+AA52+AB52+AC52+AD52</f>
        <v>415968.3</v>
      </c>
      <c r="AG52" s="25">
        <f>IFERROR(IFERROR((H52*W52*J52/15)-AE52,""),"")</f>
        <v>451065.33500000002</v>
      </c>
      <c r="AH52" s="26">
        <f>IFERROR(AG52-AF52,"")</f>
        <v>35097.035000000033</v>
      </c>
      <c r="AI52" s="6">
        <f>IF(F52="",(G52/$F$75)*$AL$19,(F52/$F$75)*$AL$19)</f>
        <v>249.8324022346369</v>
      </c>
      <c r="AJ52" s="6">
        <f>(AH52-AI52)*70%</f>
        <v>24393.041818435777</v>
      </c>
    </row>
    <row r="53" spans="1:61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AH52/G52</f>
        <v>269.97719230769258</v>
      </c>
    </row>
    <row r="54" spans="1:6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3"/>
      <c r="AA54" s="21"/>
      <c r="AB54" s="21"/>
      <c r="AC54" s="21"/>
      <c r="AD54" s="21"/>
      <c r="AE54" s="21"/>
      <c r="AF54" s="21"/>
      <c r="AG54" s="21"/>
      <c r="AH54" s="27">
        <f>IFERROR(AH52/AG52,"")</f>
        <v>7.7809204735274168E-2</v>
      </c>
    </row>
    <row r="55" spans="1:6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4"/>
      <c r="AI55" s="47"/>
      <c r="AJ55" s="47"/>
    </row>
    <row r="56" spans="1:6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3"/>
      <c r="AA56" s="21"/>
      <c r="AB56" s="21"/>
      <c r="AC56" s="21"/>
      <c r="AD56" s="21"/>
      <c r="AE56" s="21"/>
      <c r="AF56" s="21"/>
      <c r="AG56" s="21"/>
      <c r="AH56" s="24"/>
      <c r="AI56" s="47"/>
      <c r="AJ56" s="47"/>
    </row>
    <row r="57" spans="1:61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11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61" x14ac:dyDescent="0.35">
      <c r="A58" s="20">
        <v>44944</v>
      </c>
      <c r="B58" s="21" t="s">
        <v>298</v>
      </c>
      <c r="C58" s="21" t="s">
        <v>398</v>
      </c>
      <c r="D58" s="44">
        <v>142460</v>
      </c>
      <c r="E58" s="44"/>
      <c r="F58" s="21"/>
      <c r="G58" s="21">
        <v>62</v>
      </c>
      <c r="H58" s="22">
        <v>22100</v>
      </c>
      <c r="I58" s="33">
        <v>0.5</v>
      </c>
      <c r="J58" s="24">
        <f>IFERROR(K58/H58,"")</f>
        <v>0.50305429864253393</v>
      </c>
      <c r="K58" s="22">
        <v>11117.5</v>
      </c>
      <c r="L58" s="21">
        <v>27</v>
      </c>
      <c r="M58" s="21">
        <v>32</v>
      </c>
      <c r="N58" s="21">
        <v>3</v>
      </c>
      <c r="O58" s="21"/>
      <c r="P58" s="21"/>
      <c r="Q58" s="21"/>
      <c r="R58" s="21"/>
      <c r="S58" s="21"/>
      <c r="T58" s="21"/>
      <c r="U58" s="25">
        <v>255</v>
      </c>
      <c r="V58" s="25">
        <f>H58*U58*I58/15</f>
        <v>187850</v>
      </c>
      <c r="W58" s="25">
        <v>289.8</v>
      </c>
      <c r="X58" s="25">
        <v>214793.46</v>
      </c>
      <c r="Y58" s="25">
        <v>0</v>
      </c>
      <c r="Z58" s="25">
        <v>6865</v>
      </c>
      <c r="AA58" s="25"/>
      <c r="AB58" s="25">
        <v>1581</v>
      </c>
      <c r="AC58" s="25">
        <f>G58*30</f>
        <v>1860</v>
      </c>
      <c r="AD58" s="25">
        <f>IF(F58="",G58*4.11,F58*4.11)</f>
        <v>254.82000000000002</v>
      </c>
      <c r="AE58" s="25">
        <v>429.57</v>
      </c>
      <c r="AF58" s="25">
        <f>V58+Y58+Z58+AA58+AB58+AC58+AD58</f>
        <v>198410.82</v>
      </c>
      <c r="AG58" s="25">
        <f>IFERROR(IFERROR((H58*W58*J58/15)-AE58,""),"")</f>
        <v>214360.53</v>
      </c>
      <c r="AH58" s="26">
        <f>IFERROR(AG58-AF58,"")</f>
        <v>15949.709999999992</v>
      </c>
      <c r="AI58" s="6">
        <f>IF(F58="",(G58/$F$75)*$AL$19,(F58/$F$75)*$AL$19)</f>
        <v>119.15083798882681</v>
      </c>
      <c r="AJ58" s="6">
        <f>(AH58-AI58)*70%</f>
        <v>11081.391413407815</v>
      </c>
    </row>
    <row r="59" spans="1:6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AH58/G58</f>
        <v>257.25338709677408</v>
      </c>
    </row>
    <row r="60" spans="1:6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7">
        <f>IFERROR(AH58/AG58,"")</f>
        <v>7.4406001888500606E-2</v>
      </c>
    </row>
    <row r="61" spans="1:6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3"/>
      <c r="AA61" s="21"/>
      <c r="AB61" s="21"/>
      <c r="AC61" s="21"/>
      <c r="AD61" s="21"/>
      <c r="AE61" s="21"/>
      <c r="AF61" s="21"/>
      <c r="AG61" s="21"/>
      <c r="AH61" s="24"/>
      <c r="AI61" s="47"/>
      <c r="AJ61" s="47"/>
    </row>
    <row r="62" spans="1:6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3"/>
      <c r="AA62" s="21"/>
      <c r="AB62" s="21"/>
      <c r="AC62" s="21"/>
      <c r="AD62" s="21"/>
      <c r="AE62" s="21"/>
      <c r="AF62" s="21"/>
      <c r="AG62" s="21"/>
      <c r="AH62" s="24"/>
      <c r="AI62" s="47"/>
      <c r="AJ62" s="47"/>
    </row>
    <row r="63" spans="1:61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61" x14ac:dyDescent="0.35">
      <c r="A64" s="20">
        <v>44944</v>
      </c>
      <c r="B64" s="21" t="s">
        <v>330</v>
      </c>
      <c r="C64" s="21" t="s">
        <v>172</v>
      </c>
      <c r="D64" s="44">
        <v>142199</v>
      </c>
      <c r="E64" s="44"/>
      <c r="F64" s="21">
        <v>45</v>
      </c>
      <c r="G64" s="21"/>
      <c r="H64" s="22">
        <v>25360</v>
      </c>
      <c r="I64" s="33">
        <v>0.53</v>
      </c>
      <c r="J64" s="24">
        <f>IFERROR(K64/H64,"")</f>
        <v>0.52716876971608828</v>
      </c>
      <c r="K64" s="22">
        <v>13369</v>
      </c>
      <c r="L64" s="21"/>
      <c r="M64" s="21"/>
      <c r="N64" s="21">
        <v>3</v>
      </c>
      <c r="O64" s="21">
        <v>14</v>
      </c>
      <c r="P64" s="21">
        <v>26</v>
      </c>
      <c r="Q64" s="21">
        <v>2</v>
      </c>
      <c r="R64" s="14"/>
      <c r="S64" s="21"/>
      <c r="T64" s="21"/>
      <c r="U64" s="25">
        <v>263</v>
      </c>
      <c r="V64" s="25">
        <f>H64*U64*I64/15</f>
        <v>235662.0266666667</v>
      </c>
      <c r="W64" s="25">
        <v>277.02</v>
      </c>
      <c r="X64" s="25">
        <v>246899.39</v>
      </c>
      <c r="Y64" s="25">
        <f>F64*60</f>
        <v>2700</v>
      </c>
      <c r="Z64" s="25">
        <v>9038.7999999999993</v>
      </c>
      <c r="AA64" s="25">
        <v>0</v>
      </c>
      <c r="AB64" s="25">
        <v>1183.5</v>
      </c>
      <c r="AC64" s="25">
        <f>F64*30</f>
        <v>1350</v>
      </c>
      <c r="AD64" s="25">
        <f>IF(F64="",G64*4.11,F64*4.11)</f>
        <v>184.95000000000002</v>
      </c>
      <c r="AE64" s="25">
        <v>493.82</v>
      </c>
      <c r="AF64" s="25">
        <f>V64+Y64+Z64+AA64+AB64+AC64+AD64</f>
        <v>250119.2766666667</v>
      </c>
      <c r="AG64" s="25">
        <f>IFERROR(IFERROR((H64*W64*J64/15)-AE64,""),"")</f>
        <v>246404.87199999994</v>
      </c>
      <c r="AH64" s="26">
        <f>IFERROR(AG64-AF64,"")</f>
        <v>-3714.4046666667564</v>
      </c>
      <c r="AI64" s="6">
        <f>IF(F64="",(G64/$F$75)*$AL$19,(F64/$F$75)*$AL$19)</f>
        <v>86.480446927374302</v>
      </c>
      <c r="AJ64" s="6">
        <f>(AH64-AI64)*70%</f>
        <v>-2660.6195795158915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-82.542325925927926</v>
      </c>
      <c r="AI65" s="47"/>
      <c r="AJ65" s="47"/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3"/>
      <c r="AA66" s="21"/>
      <c r="AB66" s="21"/>
      <c r="AC66" s="21"/>
      <c r="AD66" s="21"/>
      <c r="AE66" s="21"/>
      <c r="AF66" s="21"/>
      <c r="AG66" s="21"/>
      <c r="AH66" s="27">
        <f>IFERROR(AH64/AG64,"")</f>
        <v>-1.5074396202144725E-2</v>
      </c>
      <c r="AI66" s="47"/>
      <c r="AJ66" s="47"/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3"/>
      <c r="AA67" s="21"/>
      <c r="AB67" s="21"/>
      <c r="AC67" s="21"/>
      <c r="AD67" s="21"/>
      <c r="AE67" s="21"/>
      <c r="AF67" s="21"/>
      <c r="AG67" s="21"/>
      <c r="AH67" s="24"/>
      <c r="AI67" s="47"/>
      <c r="AJ67" s="47"/>
    </row>
    <row r="68" spans="1:36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3"/>
      <c r="AA68" s="21"/>
      <c r="AB68" s="21"/>
      <c r="AC68" s="21"/>
      <c r="AD68" s="21"/>
      <c r="AE68" s="21"/>
      <c r="AF68" s="21"/>
      <c r="AG68" s="21"/>
      <c r="AH68" s="24"/>
      <c r="AI68" s="47"/>
      <c r="AJ68" s="47"/>
    </row>
    <row r="69" spans="1:36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11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20">
        <v>44944</v>
      </c>
      <c r="B70" s="21" t="s">
        <v>399</v>
      </c>
      <c r="C70" s="21" t="s">
        <v>341</v>
      </c>
      <c r="D70" s="44">
        <v>142459</v>
      </c>
      <c r="E70" s="44"/>
      <c r="F70" s="21">
        <v>93</v>
      </c>
      <c r="G70" s="21"/>
      <c r="H70" s="22">
        <v>47162</v>
      </c>
      <c r="I70" s="33">
        <v>0.53</v>
      </c>
      <c r="J70" s="24">
        <f>IFERROR(K70/H70,"")</f>
        <v>0.54416691404096518</v>
      </c>
      <c r="K70" s="22">
        <v>25664</v>
      </c>
      <c r="L70" s="21">
        <v>29</v>
      </c>
      <c r="M70" s="21">
        <v>53</v>
      </c>
      <c r="N70" s="21">
        <v>10</v>
      </c>
      <c r="O70" s="21">
        <v>1</v>
      </c>
      <c r="P70" s="21"/>
      <c r="Q70" s="21"/>
      <c r="R70" s="21"/>
      <c r="S70" s="21"/>
      <c r="T70" s="21"/>
      <c r="U70" s="25">
        <v>270</v>
      </c>
      <c r="V70" s="25">
        <f>H70*U70*I70/15</f>
        <v>449925.48000000004</v>
      </c>
      <c r="W70" s="25">
        <v>295.69</v>
      </c>
      <c r="X70" s="25">
        <v>505910.95</v>
      </c>
      <c r="Y70" s="25">
        <v>0</v>
      </c>
      <c r="Z70" s="25">
        <v>11295.6</v>
      </c>
      <c r="AA70" s="25"/>
      <c r="AB70" s="25">
        <v>2511</v>
      </c>
      <c r="AC70" s="25">
        <f>F70*30</f>
        <v>2790</v>
      </c>
      <c r="AD70" s="25">
        <f>IF(F70="",G70*4.11,F70*4.11)</f>
        <v>382.23</v>
      </c>
      <c r="AE70" s="25">
        <v>1011.83</v>
      </c>
      <c r="AF70" s="25">
        <f>V70+Y70+Z70+AA70+AB70+AC70+AD70</f>
        <v>466904.31</v>
      </c>
      <c r="AG70" s="25">
        <f>IFERROR(IFERROR((H70*W70*J70/15)-AE70,""),"")</f>
        <v>504894.04733333329</v>
      </c>
      <c r="AH70" s="26">
        <f>IFERROR(AG70-AF70,"")</f>
        <v>37989.737333333294</v>
      </c>
      <c r="AI70" s="6">
        <f>IF(F70="",(G70/$F$75)*$AL$19,(F70/$F$75)*$AL$19)</f>
        <v>178.72625698324023</v>
      </c>
      <c r="AJ70" s="6">
        <f>(AH70-AI70)*70%</f>
        <v>26467.707753445036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AH70/F70</f>
        <v>408.49179928315368</v>
      </c>
      <c r="AI71" s="47"/>
      <c r="AJ71" s="47"/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3"/>
      <c r="AA72" s="21"/>
      <c r="AB72" s="21"/>
      <c r="AC72" s="21"/>
      <c r="AD72" s="21"/>
      <c r="AE72" s="21"/>
      <c r="AF72" s="21"/>
      <c r="AG72" s="21"/>
      <c r="AH72" s="27">
        <f>IFERROR(AH70/AG70,"")</f>
        <v>7.5242989165709651E-2</v>
      </c>
      <c r="AI72" s="47"/>
      <c r="AJ72" s="47"/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3"/>
      <c r="AA73" s="21"/>
      <c r="AB73" s="21"/>
      <c r="AC73" s="21"/>
      <c r="AD73" s="21"/>
      <c r="AE73" s="21"/>
      <c r="AF73" s="21"/>
      <c r="AG73" s="21"/>
      <c r="AH73" s="24"/>
      <c r="AI73" s="24"/>
      <c r="AJ73" s="24"/>
    </row>
    <row r="74" spans="1:36" ht="15" thickBot="1" x14ac:dyDescent="0.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3"/>
      <c r="AA74" s="21"/>
      <c r="AB74" s="21"/>
      <c r="AC74" s="21"/>
      <c r="AD74" s="21"/>
      <c r="AE74" s="21"/>
      <c r="AF74" s="21"/>
      <c r="AG74" s="21"/>
      <c r="AH74" s="24"/>
      <c r="AI74" s="24"/>
      <c r="AJ74" s="24"/>
    </row>
    <row r="75" spans="1:36" ht="16" thickBot="1" x14ac:dyDescent="0.4">
      <c r="A75" s="377" t="s">
        <v>388</v>
      </c>
      <c r="B75" s="378"/>
      <c r="C75" s="378"/>
      <c r="D75" s="378"/>
      <c r="E75" s="378"/>
      <c r="F75" s="30">
        <f>SUM(F4:G70)</f>
        <v>895</v>
      </c>
      <c r="G75" s="30"/>
      <c r="H75" s="30"/>
      <c r="I75" s="30"/>
      <c r="J75" s="30"/>
      <c r="K75" s="30"/>
      <c r="L75" s="46"/>
      <c r="M75" s="46"/>
      <c r="N75" s="46"/>
      <c r="O75" s="46"/>
      <c r="P75" s="46"/>
      <c r="Q75" s="46"/>
      <c r="R75" s="46"/>
      <c r="S75" s="46"/>
      <c r="T75" s="46"/>
      <c r="U75" s="30"/>
      <c r="V75" s="31">
        <f>V4+V10+V16+V22+V28+V34+V40+V46+V52+V58+V64+V70</f>
        <v>3197920.9733333336</v>
      </c>
      <c r="W75" s="30"/>
      <c r="X75" s="30"/>
      <c r="Y75" s="31">
        <f>Y4+Y10+Y16+Y22+Y28+Y34+Y40+Y46+Y52+Y58+Y64+Y70</f>
        <v>32550</v>
      </c>
      <c r="Z75" s="31">
        <f>Z4+Z10+Z16+Z22+Z28+Z34+Z40+Z46+Z52+Z58+Z64+Z70</f>
        <v>105963.7</v>
      </c>
      <c r="AA75" s="31">
        <f>AA4+AA10+AA16+AA22+AA28+AA34+AA40+AA46+AA52+AA58+AA64+AA70</f>
        <v>0</v>
      </c>
      <c r="AB75" s="31">
        <f>AB4+AB10+AB16+AB16+AB22+AB28+AB34+AB40+AB46+AB52+AB58+AB64+AB70</f>
        <v>29430.3</v>
      </c>
      <c r="AC75" s="31">
        <f t="shared" ref="AC75:AJ75" si="0">AC4+AC10+AC16+AC22+AC28+AC34+AC40+AC46+AC52+AC58+AC64+AC70</f>
        <v>25050</v>
      </c>
      <c r="AD75" s="31">
        <f t="shared" si="0"/>
        <v>3678.4500000000003</v>
      </c>
      <c r="AE75" s="31">
        <f t="shared" si="0"/>
        <v>7223.2699999999995</v>
      </c>
      <c r="AF75" s="31">
        <f t="shared" si="0"/>
        <v>3392903.4233333333</v>
      </c>
      <c r="AG75" s="31">
        <f t="shared" si="0"/>
        <v>3604696.357946666</v>
      </c>
      <c r="AH75" s="31">
        <f t="shared" si="0"/>
        <v>211792.9346133334</v>
      </c>
      <c r="AI75" s="31">
        <f t="shared" si="0"/>
        <v>1720.0000000000002</v>
      </c>
      <c r="AJ75" s="31">
        <f t="shared" si="0"/>
        <v>147051.05422933336</v>
      </c>
    </row>
    <row r="77" spans="1:36" x14ac:dyDescent="0.35">
      <c r="AH77" s="6"/>
    </row>
  </sheetData>
  <mergeCells count="2">
    <mergeCell ref="U2:AC2"/>
    <mergeCell ref="A75:E7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5"/>
  <dimension ref="A1:BI53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4.26953125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6" width="16.54296875" customWidth="1"/>
    <col min="38" max="38" width="16.453125" bestFit="1" customWidth="1"/>
    <col min="39" max="39" width="15.7265625" customWidth="1"/>
  </cols>
  <sheetData>
    <row r="1" spans="1:41" ht="15" thickBot="1" x14ac:dyDescent="0.4"/>
    <row r="2" spans="1:41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AF51</f>
        <v>2688421.4766666675</v>
      </c>
      <c r="AM3" s="164">
        <f>AH51-AI51</f>
        <v>56328.533333333078</v>
      </c>
    </row>
    <row r="4" spans="1:41" x14ac:dyDescent="0.35">
      <c r="A4" s="20">
        <v>44948</v>
      </c>
      <c r="B4" s="21" t="s">
        <v>401</v>
      </c>
      <c r="C4" s="21" t="s">
        <v>125</v>
      </c>
      <c r="D4" s="44">
        <v>142492</v>
      </c>
      <c r="E4" s="44"/>
      <c r="F4" s="21"/>
      <c r="G4" s="21">
        <v>63</v>
      </c>
      <c r="H4" s="22">
        <v>22710</v>
      </c>
      <c r="I4" s="33">
        <v>0.5</v>
      </c>
      <c r="J4" s="24">
        <f>IFERROR(K4/H4,"")</f>
        <v>0.50680317040951128</v>
      </c>
      <c r="K4" s="22">
        <v>11509.5</v>
      </c>
      <c r="L4" s="21">
        <v>12</v>
      </c>
      <c r="M4" s="21">
        <v>29</v>
      </c>
      <c r="N4" s="21">
        <v>21</v>
      </c>
      <c r="O4" s="21">
        <v>1</v>
      </c>
      <c r="P4" s="21"/>
      <c r="Q4" s="21"/>
      <c r="R4" s="21"/>
      <c r="S4" s="21"/>
      <c r="T4" s="21"/>
      <c r="U4" s="25">
        <v>250</v>
      </c>
      <c r="V4" s="25">
        <f>H4*U4*I4/15</f>
        <v>189250</v>
      </c>
      <c r="W4" s="25">
        <v>288.98</v>
      </c>
      <c r="X4" s="25">
        <v>221730.9</v>
      </c>
      <c r="Y4" s="25">
        <v>0</v>
      </c>
      <c r="Z4" s="25">
        <v>12179.8</v>
      </c>
      <c r="AA4" s="25">
        <v>0</v>
      </c>
      <c r="AB4" s="25">
        <v>1575</v>
      </c>
      <c r="AC4" s="25">
        <f>G4*30</f>
        <v>1890</v>
      </c>
      <c r="AD4" s="25">
        <f>G4*4.11</f>
        <v>258.93</v>
      </c>
      <c r="AE4" s="25">
        <v>443.46</v>
      </c>
      <c r="AF4" s="25">
        <f>V4+Y4+Z4+AA4+AB4+AC4+AD4</f>
        <v>205153.72999999998</v>
      </c>
      <c r="AG4" s="25">
        <f>IFERROR(IFERROR((H4*W4*J4/15)-AE4,""),"")</f>
        <v>221290.89400000003</v>
      </c>
      <c r="AH4" s="26">
        <f>IFERROR(AG4-AF4,"")</f>
        <v>16137.164000000048</v>
      </c>
      <c r="AI4" s="6">
        <f>IF(F4="",(G4/$F$51)*$AL$19,(F4/$F$51)*$AL$19)</f>
        <v>2235.4990654205608</v>
      </c>
      <c r="AJ4" s="6">
        <f>(AH4-AI4)*70%</f>
        <v>9731.1654542056403</v>
      </c>
      <c r="AL4" s="166" t="s">
        <v>749</v>
      </c>
      <c r="AM4" s="167">
        <f>AM3/AL3</f>
        <v>2.0952270253090658E-2</v>
      </c>
    </row>
    <row r="5" spans="1:41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IFERROR(AH4/G4,"")</f>
        <v>256.14546031746107</v>
      </c>
      <c r="AM5" s="63"/>
    </row>
    <row r="6" spans="1:41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7.2922856012322165E-2</v>
      </c>
      <c r="AM6" s="63"/>
    </row>
    <row r="7" spans="1:41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1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1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F4+G4+F10+G10+F16+G16+F22+G22+F28+G28+F34+G34+F40+G40+F46+G46</f>
        <v>535</v>
      </c>
      <c r="AM9" s="50" t="s">
        <v>22</v>
      </c>
      <c r="AN9" t="s">
        <v>72</v>
      </c>
    </row>
    <row r="10" spans="1:41" x14ac:dyDescent="0.35">
      <c r="A10" s="20">
        <v>44948</v>
      </c>
      <c r="B10" s="21" t="s">
        <v>330</v>
      </c>
      <c r="C10" s="21" t="s">
        <v>335</v>
      </c>
      <c r="D10" s="44">
        <v>142493</v>
      </c>
      <c r="E10" s="44"/>
      <c r="F10" s="21">
        <v>150</v>
      </c>
      <c r="G10" s="21"/>
      <c r="H10" s="22">
        <v>85840</v>
      </c>
      <c r="I10" s="33">
        <v>0.55000000000000004</v>
      </c>
      <c r="J10" s="24">
        <f>IFERROR(K10/H10,"")</f>
        <v>0.55674510717614167</v>
      </c>
      <c r="K10" s="22">
        <v>47791</v>
      </c>
      <c r="L10" s="21">
        <v>5</v>
      </c>
      <c r="M10" s="21">
        <v>41</v>
      </c>
      <c r="N10" s="21">
        <v>72</v>
      </c>
      <c r="O10" s="21">
        <v>31</v>
      </c>
      <c r="P10" s="21">
        <v>1</v>
      </c>
      <c r="Q10" s="21"/>
      <c r="R10" s="21"/>
      <c r="S10" s="21"/>
      <c r="T10" s="21"/>
      <c r="U10" s="25">
        <v>272.5</v>
      </c>
      <c r="V10" s="25">
        <f>H10*U10*I10/15</f>
        <v>857684.66666666674</v>
      </c>
      <c r="W10" s="25">
        <v>290.44</v>
      </c>
      <c r="X10" s="25">
        <v>925372.53</v>
      </c>
      <c r="Y10" s="25">
        <f>F10*60</f>
        <v>9000</v>
      </c>
      <c r="Z10" s="25">
        <v>23192.400000000001</v>
      </c>
      <c r="AA10" s="25">
        <v>0</v>
      </c>
      <c r="AB10" s="25">
        <v>4087.5</v>
      </c>
      <c r="AC10" s="25">
        <f>F10*30</f>
        <v>4500</v>
      </c>
      <c r="AD10" s="25">
        <f>IF(F10="",G10*4.11,F10*4.11)</f>
        <v>616.5</v>
      </c>
      <c r="AE10" s="25">
        <v>1850.75</v>
      </c>
      <c r="AF10" s="25">
        <f>V10+Y10+Z10+AA10+AB10+AC10+AD10</f>
        <v>899081.06666666677</v>
      </c>
      <c r="AG10" s="25">
        <f>IFERROR(IFERROR((H10*W10*J10/15)-AE10,""),"")</f>
        <v>923510.45266666671</v>
      </c>
      <c r="AH10" s="26">
        <f>IFERROR(AG10-AF10,"")</f>
        <v>24429.38599999994</v>
      </c>
      <c r="AI10" s="6">
        <f>IF(F10="",(G10/$F$51)*$AL$19,(F10/$F$51)*$AL$19)</f>
        <v>5322.6168224299063</v>
      </c>
      <c r="AJ10" s="6">
        <f>(AH10-AI10)*70%</f>
        <v>13374.738424299023</v>
      </c>
      <c r="AL10" s="11">
        <f>AH4+AH10+AH16+AH22+AH28+AH34+AH40+AH46</f>
        <v>75312.533333333078</v>
      </c>
      <c r="AM10" s="11">
        <f>AL10*30%</f>
        <v>22593.759999999922</v>
      </c>
    </row>
    <row r="11" spans="1:41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162.86257333333293</v>
      </c>
      <c r="AL11" s="11"/>
      <c r="AM11" s="11"/>
    </row>
    <row r="12" spans="1:4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2.645274444859751E-2</v>
      </c>
    </row>
    <row r="13" spans="1:41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1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83" t="s">
        <v>187</v>
      </c>
      <c r="AM14" s="190" t="s">
        <v>680</v>
      </c>
      <c r="AN14" s="190"/>
      <c r="AO14" s="191"/>
    </row>
    <row r="15" spans="1:41" x14ac:dyDescent="0.35">
      <c r="A15" s="37" t="s">
        <v>1</v>
      </c>
      <c r="B15" s="37" t="s">
        <v>2</v>
      </c>
      <c r="C15" s="37" t="s">
        <v>110</v>
      </c>
      <c r="D15" s="37" t="s">
        <v>66</v>
      </c>
      <c r="E15" s="37"/>
      <c r="F15" s="37" t="s">
        <v>137</v>
      </c>
      <c r="G15" s="37" t="s">
        <v>138</v>
      </c>
      <c r="H15" s="37" t="s">
        <v>4</v>
      </c>
      <c r="I15" s="37" t="s">
        <v>5</v>
      </c>
      <c r="J15" s="37" t="s">
        <v>6</v>
      </c>
      <c r="K15" s="37" t="s">
        <v>7</v>
      </c>
      <c r="L15" s="37" t="s">
        <v>279</v>
      </c>
      <c r="M15" s="37" t="s">
        <v>280</v>
      </c>
      <c r="N15" s="37" t="s">
        <v>281</v>
      </c>
      <c r="O15" s="37" t="s">
        <v>282</v>
      </c>
      <c r="P15" s="37" t="s">
        <v>283</v>
      </c>
      <c r="Q15" s="37" t="s">
        <v>284</v>
      </c>
      <c r="R15" s="37" t="s">
        <v>904</v>
      </c>
      <c r="S15" s="37" t="s">
        <v>285</v>
      </c>
      <c r="T15" s="37" t="s">
        <v>289</v>
      </c>
      <c r="U15" s="37" t="s">
        <v>8</v>
      </c>
      <c r="V15" s="37" t="s">
        <v>9</v>
      </c>
      <c r="W15" s="37" t="s">
        <v>10</v>
      </c>
      <c r="X15" s="37" t="s">
        <v>100</v>
      </c>
      <c r="Y15" s="37" t="s">
        <v>106</v>
      </c>
      <c r="Z15" s="37" t="s">
        <v>12</v>
      </c>
      <c r="AA15" s="37" t="s">
        <v>258</v>
      </c>
      <c r="AB15" s="37" t="s">
        <v>13</v>
      </c>
      <c r="AC15" s="37" t="s">
        <v>74</v>
      </c>
      <c r="AD15" s="37" t="s">
        <v>21</v>
      </c>
      <c r="AE15" s="37" t="s">
        <v>14</v>
      </c>
      <c r="AF15" s="37" t="s">
        <v>15</v>
      </c>
      <c r="AG15" s="37" t="s">
        <v>16</v>
      </c>
      <c r="AH15" s="15" t="s">
        <v>17</v>
      </c>
      <c r="AI15" s="14" t="s">
        <v>679</v>
      </c>
      <c r="AJ15" s="14" t="s">
        <v>678</v>
      </c>
      <c r="AL15" s="178">
        <v>490</v>
      </c>
      <c r="AM15" t="s">
        <v>386</v>
      </c>
      <c r="AO15" s="174"/>
    </row>
    <row r="16" spans="1:41" x14ac:dyDescent="0.35">
      <c r="A16" s="38">
        <v>44949</v>
      </c>
      <c r="B16" s="39" t="s">
        <v>330</v>
      </c>
      <c r="C16" s="39" t="s">
        <v>141</v>
      </c>
      <c r="D16" s="45">
        <v>142498</v>
      </c>
      <c r="E16" s="45"/>
      <c r="F16" s="39"/>
      <c r="G16" s="39">
        <v>65</v>
      </c>
      <c r="H16" s="40">
        <v>22080</v>
      </c>
      <c r="I16" s="53">
        <v>0.5</v>
      </c>
      <c r="J16" s="42">
        <f>IFERROR(K16/H16,"")</f>
        <v>0.51243206521739126</v>
      </c>
      <c r="K16" s="40">
        <v>11314.5</v>
      </c>
      <c r="L16" s="39">
        <v>47</v>
      </c>
      <c r="M16" s="39">
        <v>13</v>
      </c>
      <c r="N16" s="39">
        <v>3</v>
      </c>
      <c r="O16" s="39">
        <v>2</v>
      </c>
      <c r="P16" s="39"/>
      <c r="Q16" s="39"/>
      <c r="R16" s="39"/>
      <c r="S16" s="39"/>
      <c r="T16" s="39"/>
      <c r="U16" s="43">
        <v>255</v>
      </c>
      <c r="V16" s="43">
        <f>H16*U16*I16/15</f>
        <v>187680</v>
      </c>
      <c r="W16" s="43">
        <v>270.22000000000003</v>
      </c>
      <c r="X16" s="43">
        <v>203824.36</v>
      </c>
      <c r="Y16" s="43">
        <f>G16*60</f>
        <v>3900</v>
      </c>
      <c r="Z16" s="43">
        <v>8735.7000000000007</v>
      </c>
      <c r="AA16" s="43">
        <v>0</v>
      </c>
      <c r="AB16" s="43">
        <v>1657.5</v>
      </c>
      <c r="AC16" s="43">
        <f>G16*30</f>
        <v>1950</v>
      </c>
      <c r="AD16" s="43">
        <f>IF(F16="",G16*4.11,F16*4.11)</f>
        <v>267.15000000000003</v>
      </c>
      <c r="AE16" s="43">
        <v>407.66</v>
      </c>
      <c r="AF16" s="43">
        <f>V16+Y16+Z16+AA16+AB16+AC16+AD16</f>
        <v>204190.35</v>
      </c>
      <c r="AG16" s="43">
        <f>IFERROR(IFERROR((H16*W16*J16/15)-AE16,""),"")</f>
        <v>203419.28599999999</v>
      </c>
      <c r="AH16" s="26">
        <f>IFERROR(AG16-AF16,"")</f>
        <v>-771.06400000001304</v>
      </c>
      <c r="AI16" s="6">
        <f>IF(F16="",(G16/$F$51)*$AL$19,(F16/$F$51)*$AL$19)</f>
        <v>2306.467289719626</v>
      </c>
      <c r="AJ16" s="6">
        <f>(AH16-AI16)*70%</f>
        <v>-2154.2719028037473</v>
      </c>
      <c r="AL16" s="178">
        <v>3494</v>
      </c>
      <c r="AM16" s="6" t="s">
        <v>405</v>
      </c>
      <c r="AO16" s="174"/>
    </row>
    <row r="17" spans="1:4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-11.862523076923278</v>
      </c>
      <c r="AI17" s="47"/>
      <c r="AJ17" s="47"/>
      <c r="AL17" s="178">
        <v>15000</v>
      </c>
      <c r="AM17" t="s">
        <v>407</v>
      </c>
      <c r="AO17" s="174"/>
    </row>
    <row r="18" spans="1:41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-3.790515713441316E-3</v>
      </c>
      <c r="AI18" s="47"/>
      <c r="AJ18" s="47"/>
      <c r="AL18" s="178"/>
      <c r="AO18" s="174"/>
    </row>
    <row r="19" spans="1:41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220">
        <f>SUM(AL15:AL18)</f>
        <v>18984</v>
      </c>
      <c r="AM19" s="198" t="s">
        <v>682</v>
      </c>
      <c r="AN19" s="190"/>
      <c r="AO19" s="191"/>
    </row>
    <row r="20" spans="1:4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</row>
    <row r="21" spans="1:41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25">
        <f>AL10-AL19</f>
        <v>56328.533333333078</v>
      </c>
      <c r="AM21" s="124" t="s">
        <v>423</v>
      </c>
    </row>
    <row r="22" spans="1:41" x14ac:dyDescent="0.35">
      <c r="A22" s="20">
        <v>44950</v>
      </c>
      <c r="B22" s="21" t="s">
        <v>402</v>
      </c>
      <c r="C22" s="21" t="s">
        <v>403</v>
      </c>
      <c r="D22" s="44">
        <v>142497</v>
      </c>
      <c r="E22" s="44"/>
      <c r="F22" s="21">
        <v>55</v>
      </c>
      <c r="G22" s="21"/>
      <c r="H22" s="22">
        <v>27650</v>
      </c>
      <c r="I22" s="33">
        <v>0.54</v>
      </c>
      <c r="J22" s="24">
        <f>IFERROR(K22/H22,"")</f>
        <v>0.53264014466546117</v>
      </c>
      <c r="K22" s="22">
        <v>14727.5</v>
      </c>
      <c r="L22" s="21"/>
      <c r="M22" s="21">
        <v>6</v>
      </c>
      <c r="N22" s="21">
        <v>30</v>
      </c>
      <c r="O22" s="21">
        <v>17</v>
      </c>
      <c r="P22" s="21">
        <v>1</v>
      </c>
      <c r="Q22" s="21"/>
      <c r="R22" s="21"/>
      <c r="S22" s="21"/>
      <c r="T22" s="21">
        <v>1</v>
      </c>
      <c r="U22" s="25">
        <v>275</v>
      </c>
      <c r="V22" s="25">
        <f>H22*U22*I22/15</f>
        <v>273735.00000000006</v>
      </c>
      <c r="W22" s="25">
        <v>263.07</v>
      </c>
      <c r="X22" s="25">
        <v>258291.3</v>
      </c>
      <c r="Y22" s="25">
        <v>0</v>
      </c>
      <c r="Z22" s="25">
        <v>2012.4</v>
      </c>
      <c r="AA22" s="25">
        <v>0</v>
      </c>
      <c r="AB22" s="25">
        <v>1512.5</v>
      </c>
      <c r="AC22" s="25">
        <v>0</v>
      </c>
      <c r="AD22" s="25">
        <f>IF(F22="",G22*4.11,F22*4.11)</f>
        <v>226.05</v>
      </c>
      <c r="AE22" s="25">
        <v>516.58000000000004</v>
      </c>
      <c r="AF22" s="25">
        <f>V22+Y22+Z22+AA22+AB22+AC22+AD22</f>
        <v>277485.95000000007</v>
      </c>
      <c r="AG22" s="25">
        <f>IFERROR(IFERROR((H22*W22*J22/15)-AE22,""),"")</f>
        <v>257774.31500000003</v>
      </c>
      <c r="AH22" s="26">
        <f>IFERROR(AG22-AF22,"")</f>
        <v>-19711.635000000038</v>
      </c>
      <c r="AI22" s="6">
        <f>IF(F22="",(G22/$F$51)*$AL$19,(F22/$F$51)*$AL$19)</f>
        <v>1951.6261682242989</v>
      </c>
      <c r="AJ22" s="6">
        <f>(AH22-AI22)*70%</f>
        <v>-15164.282817757035</v>
      </c>
      <c r="AL22" s="126">
        <f>AL21*30%</f>
        <v>16898.559999999921</v>
      </c>
      <c r="AM22" s="104" t="s">
        <v>424</v>
      </c>
    </row>
    <row r="23" spans="1:41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-358.39336363636431</v>
      </c>
      <c r="AI23" s="47"/>
      <c r="AJ23" s="47"/>
    </row>
    <row r="24" spans="1:41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-7.6468576785860276E-2</v>
      </c>
      <c r="AI24" s="47"/>
      <c r="AJ24" s="47"/>
    </row>
    <row r="25" spans="1:4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  <c r="AI25" s="47"/>
      <c r="AJ25" s="47"/>
    </row>
    <row r="26" spans="1:4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  <c r="AI26" s="47"/>
      <c r="AJ26" s="47"/>
    </row>
    <row r="27" spans="1:41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</row>
    <row r="28" spans="1:41" x14ac:dyDescent="0.35">
      <c r="A28" s="20">
        <v>44950</v>
      </c>
      <c r="B28" s="21" t="s">
        <v>330</v>
      </c>
      <c r="C28" s="21" t="s">
        <v>404</v>
      </c>
      <c r="D28" s="44">
        <v>142500</v>
      </c>
      <c r="E28" s="44"/>
      <c r="F28" s="21">
        <v>50</v>
      </c>
      <c r="G28" s="21"/>
      <c r="H28" s="22">
        <v>26100</v>
      </c>
      <c r="I28" s="33">
        <v>0.54</v>
      </c>
      <c r="J28" s="24">
        <f>IFERROR(K28/H28,"")</f>
        <v>0.56936781609195397</v>
      </c>
      <c r="K28" s="22">
        <v>14860.5</v>
      </c>
      <c r="L28" s="21">
        <v>7</v>
      </c>
      <c r="M28" s="21">
        <v>23</v>
      </c>
      <c r="N28" s="21">
        <v>15</v>
      </c>
      <c r="O28" s="21">
        <v>5</v>
      </c>
      <c r="P28" s="21"/>
      <c r="Q28" s="21"/>
      <c r="R28" s="21"/>
      <c r="S28" s="21"/>
      <c r="T28" s="21"/>
      <c r="U28" s="25">
        <v>270</v>
      </c>
      <c r="V28" s="25">
        <f>H28*U28*I28/15</f>
        <v>253692.00000000003</v>
      </c>
      <c r="W28" s="25">
        <v>292.05</v>
      </c>
      <c r="X28" s="25">
        <v>289330.7</v>
      </c>
      <c r="Y28" s="25">
        <f>F28*60</f>
        <v>3000</v>
      </c>
      <c r="Z28" s="25">
        <v>11133.4</v>
      </c>
      <c r="AA28" s="25">
        <v>0</v>
      </c>
      <c r="AB28" s="25">
        <v>1350</v>
      </c>
      <c r="AC28" s="25">
        <f>F28*30</f>
        <v>1500</v>
      </c>
      <c r="AD28" s="25">
        <f>IF(F28="",G28*4.11,F28*4.11)</f>
        <v>205.50000000000003</v>
      </c>
      <c r="AE28" s="25">
        <v>578.66</v>
      </c>
      <c r="AF28" s="25">
        <f>V28+Y28+Z28+AA28+AB28+AC28+AD28</f>
        <v>270880.90000000002</v>
      </c>
      <c r="AG28" s="25">
        <f>IFERROR(IFERROR((H28*W28*J28/15)-AE28,""),"")</f>
        <v>288755.27499999997</v>
      </c>
      <c r="AH28" s="26">
        <f>IFERROR(AG28-AF28,"")</f>
        <v>17874.374999999942</v>
      </c>
      <c r="AI28" s="6">
        <f>IF(F28="",(G28/$F$51)*$AL$19,(F28/$F$51)*$AL$19)</f>
        <v>1774.2056074766354</v>
      </c>
      <c r="AJ28" s="6">
        <f>(AH28-AI28)*70%</f>
        <v>11270.118574766315</v>
      </c>
    </row>
    <row r="29" spans="1:41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357.48749999999882</v>
      </c>
    </row>
    <row r="30" spans="1:4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6.190146656195266E-2</v>
      </c>
      <c r="AL30" s="95"/>
      <c r="AM30" s="11"/>
    </row>
    <row r="31" spans="1:4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7"/>
    </row>
    <row r="32" spans="1:4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6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61" x14ac:dyDescent="0.35">
      <c r="A34" s="20">
        <v>44950</v>
      </c>
      <c r="B34" s="21" t="s">
        <v>330</v>
      </c>
      <c r="C34" s="21" t="s">
        <v>335</v>
      </c>
      <c r="D34" s="44">
        <v>142500</v>
      </c>
      <c r="E34" s="44"/>
      <c r="F34" s="21">
        <v>30</v>
      </c>
      <c r="G34" s="21"/>
      <c r="H34" s="22">
        <v>18340</v>
      </c>
      <c r="I34" s="33">
        <v>0.55000000000000004</v>
      </c>
      <c r="J34" s="24">
        <f>IFERROR(K34/H34,"")</f>
        <v>0.48616684841875679</v>
      </c>
      <c r="K34" s="22">
        <v>8916.2999999999993</v>
      </c>
      <c r="L34" s="21">
        <v>3</v>
      </c>
      <c r="M34" s="21">
        <v>12</v>
      </c>
      <c r="N34" s="21">
        <v>10</v>
      </c>
      <c r="O34" s="21">
        <v>3</v>
      </c>
      <c r="P34" s="21"/>
      <c r="Q34" s="21">
        <v>2</v>
      </c>
      <c r="R34" s="21"/>
      <c r="S34" s="21"/>
      <c r="T34" s="21"/>
      <c r="U34" s="25">
        <v>265</v>
      </c>
      <c r="V34" s="25">
        <f>H34*U34*I34/15</f>
        <v>178203.66666666666</v>
      </c>
      <c r="W34" s="25">
        <v>292.05</v>
      </c>
      <c r="X34" s="25">
        <v>173598.42</v>
      </c>
      <c r="Y34" s="25">
        <f>F34*60</f>
        <v>1800</v>
      </c>
      <c r="Z34" s="25">
        <v>5121.96</v>
      </c>
      <c r="AA34" s="25"/>
      <c r="AB34" s="25">
        <v>792.6</v>
      </c>
      <c r="AC34" s="25">
        <f>F34*30</f>
        <v>900</v>
      </c>
      <c r="AD34" s="25">
        <f>IF(F34="",G34*4.11,F34*4.11)</f>
        <v>123.30000000000001</v>
      </c>
      <c r="AE34" s="25">
        <v>347.19</v>
      </c>
      <c r="AF34" s="25">
        <f>V34+Y34+Z34+AA34+AB34+AC34+AD34</f>
        <v>186941.52666666664</v>
      </c>
      <c r="AG34" s="25">
        <f>IFERROR(IFERROR((H34*W34*J34/15)-AE34,""),"")</f>
        <v>173253.171</v>
      </c>
      <c r="AH34" s="26">
        <f>IFERROR(AG34-AF34,"")</f>
        <v>-13688.355666666641</v>
      </c>
      <c r="AI34" s="6">
        <f>IF(F34="",(G34/$F$51)*$AL$19,(F34/$F$51)*$AL$19)</f>
        <v>1064.5233644859813</v>
      </c>
      <c r="AJ34" s="6">
        <f>(AH34-AI34)*70%</f>
        <v>-10327.015321806835</v>
      </c>
    </row>
    <row r="35" spans="1:6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-456.27852222222134</v>
      </c>
    </row>
    <row r="36" spans="1:6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-7.9007821834710557E-2</v>
      </c>
    </row>
    <row r="37" spans="1:6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61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61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47"/>
    </row>
    <row r="40" spans="1:61" x14ac:dyDescent="0.35">
      <c r="A40" s="20">
        <v>44950</v>
      </c>
      <c r="B40" s="21" t="s">
        <v>330</v>
      </c>
      <c r="C40" s="21" t="s">
        <v>335</v>
      </c>
      <c r="D40" s="44">
        <v>142500</v>
      </c>
      <c r="E40" s="44"/>
      <c r="F40" s="21">
        <v>20</v>
      </c>
      <c r="G40" s="21"/>
      <c r="H40" s="22">
        <v>9560</v>
      </c>
      <c r="I40" s="33">
        <v>0.53</v>
      </c>
      <c r="J40" s="24">
        <f>IFERROR(K40/H40,"")</f>
        <v>0.62177824267782422</v>
      </c>
      <c r="K40" s="22">
        <v>5944.2</v>
      </c>
      <c r="L40" s="21">
        <v>2</v>
      </c>
      <c r="M40" s="21">
        <v>8</v>
      </c>
      <c r="N40" s="21">
        <v>10</v>
      </c>
      <c r="O40" s="21"/>
      <c r="P40" s="21"/>
      <c r="Q40" s="21"/>
      <c r="R40" s="21"/>
      <c r="S40" s="21"/>
      <c r="T40" s="21"/>
      <c r="U40" s="25">
        <v>263</v>
      </c>
      <c r="V40" s="25">
        <f>H40*U40*I40/15</f>
        <v>88837.893333333341</v>
      </c>
      <c r="W40" s="25">
        <v>292.05</v>
      </c>
      <c r="X40" s="25">
        <v>115732.28</v>
      </c>
      <c r="Y40" s="25">
        <f>F40*60</f>
        <v>1200</v>
      </c>
      <c r="Z40" s="25">
        <v>3414.64</v>
      </c>
      <c r="AA40" s="25">
        <v>0</v>
      </c>
      <c r="AB40" s="25">
        <v>528.4</v>
      </c>
      <c r="AC40" s="25">
        <f>F40*30</f>
        <v>600</v>
      </c>
      <c r="AD40" s="25">
        <f>IF(F40="",G40*4.11,F40*4.11)</f>
        <v>82.2</v>
      </c>
      <c r="AE40" s="25">
        <v>231.46</v>
      </c>
      <c r="AF40" s="25">
        <f>V40+Y40+Z40+AA40+AB40+AC40+AD40</f>
        <v>94663.133333333331</v>
      </c>
      <c r="AG40" s="25">
        <f>IFERROR(IFERROR((H40*W40*J40/15)-AE40,""),"")</f>
        <v>115502.11399999999</v>
      </c>
      <c r="AH40" s="26">
        <f>IFERROR(AG40-AF40,"")</f>
        <v>20838.980666666655</v>
      </c>
      <c r="AI40" s="6">
        <f>IF(F40="",(G40/$F$51)*$AL$19,(F40/$F$51)*$AL$19)</f>
        <v>709.68224299065412</v>
      </c>
      <c r="AJ40" s="6">
        <f>(AH40-AI40)*70%</f>
        <v>14090.508896573201</v>
      </c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47"/>
    </row>
    <row r="41" spans="1:6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1041.9490333333329</v>
      </c>
      <c r="AI41" s="47"/>
      <c r="AJ41" s="47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4"/>
    </row>
    <row r="42" spans="1:6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0.18042077278920329</v>
      </c>
      <c r="AI42" s="47"/>
      <c r="AJ42" s="47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4"/>
    </row>
    <row r="43" spans="1:61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4"/>
    </row>
    <row r="44" spans="1:61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4"/>
    </row>
    <row r="45" spans="1:61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4"/>
    </row>
    <row r="46" spans="1:61" x14ac:dyDescent="0.35">
      <c r="A46" s="20">
        <v>44951</v>
      </c>
      <c r="B46" s="21" t="s">
        <v>330</v>
      </c>
      <c r="C46" s="21" t="s">
        <v>404</v>
      </c>
      <c r="D46" s="44">
        <v>142505</v>
      </c>
      <c r="E46" s="44"/>
      <c r="F46" s="21">
        <v>102</v>
      </c>
      <c r="G46" s="21"/>
      <c r="H46" s="22">
        <v>53080</v>
      </c>
      <c r="I46" s="33">
        <v>0.54</v>
      </c>
      <c r="J46" s="24">
        <f>IFERROR(K46/H46,"")</f>
        <v>0.55801620195930668</v>
      </c>
      <c r="K46" s="22">
        <v>29619.5</v>
      </c>
      <c r="L46" s="21"/>
      <c r="M46" s="21">
        <v>27</v>
      </c>
      <c r="N46" s="21">
        <v>68</v>
      </c>
      <c r="O46" s="21">
        <v>7</v>
      </c>
      <c r="P46" s="21"/>
      <c r="Q46" s="21"/>
      <c r="R46" s="21"/>
      <c r="S46" s="21"/>
      <c r="T46" s="21"/>
      <c r="U46" s="25">
        <v>270</v>
      </c>
      <c r="V46" s="25">
        <f>H46*U46*I46/15</f>
        <v>515937.60000000003</v>
      </c>
      <c r="W46" s="25">
        <v>294.43</v>
      </c>
      <c r="X46" s="25">
        <v>581390.21</v>
      </c>
      <c r="Y46" s="25">
        <f>F46*60</f>
        <v>6120</v>
      </c>
      <c r="Z46" s="25">
        <v>21734</v>
      </c>
      <c r="AA46" s="25"/>
      <c r="AB46" s="25">
        <v>2754</v>
      </c>
      <c r="AC46" s="25">
        <f>F46*30</f>
        <v>3060</v>
      </c>
      <c r="AD46" s="25">
        <f>IF(F46="",G46*4.11,F46*4.11)</f>
        <v>419.22</v>
      </c>
      <c r="AE46" s="25">
        <v>1162.79</v>
      </c>
      <c r="AF46" s="25">
        <f>V46+Y46+Z46+AA46+AB46+AC46+AD46</f>
        <v>550024.82000000007</v>
      </c>
      <c r="AG46" s="25">
        <f>IFERROR(IFERROR((H46*W46*J46/15)-AE46,""),"")</f>
        <v>580228.50233333325</v>
      </c>
      <c r="AH46" s="26">
        <f>IFERROR(AG46-AF46,"")</f>
        <v>30203.682333333185</v>
      </c>
      <c r="AI46" s="6">
        <f>IF(F46="",(G46/$F$51)*$AL$19,(F46/$F$51)*$AL$19)</f>
        <v>3619.3794392523369</v>
      </c>
      <c r="AJ46" s="6">
        <f>(AH46-AI46)*70%</f>
        <v>18609.012025856591</v>
      </c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4"/>
    </row>
    <row r="47" spans="1:6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296.11453267973712</v>
      </c>
      <c r="AI47" s="47"/>
      <c r="AJ47" s="47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4"/>
    </row>
    <row r="48" spans="1:61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5.205480635968756E-2</v>
      </c>
      <c r="AI48" s="47"/>
      <c r="AJ48" s="47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4"/>
    </row>
    <row r="49" spans="1:61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4"/>
    </row>
    <row r="50" spans="1:61" ht="15" thickBot="1" x14ac:dyDescent="0.4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4"/>
    </row>
    <row r="51" spans="1:61" ht="16" thickBot="1" x14ac:dyDescent="0.4">
      <c r="A51" s="377" t="s">
        <v>400</v>
      </c>
      <c r="B51" s="378"/>
      <c r="C51" s="378"/>
      <c r="D51" s="378"/>
      <c r="E51" s="378"/>
      <c r="F51" s="30">
        <f>SUM(F4:G46)</f>
        <v>535</v>
      </c>
      <c r="G51" s="30"/>
      <c r="H51" s="30"/>
      <c r="I51" s="30"/>
      <c r="J51" s="30"/>
      <c r="K51" s="30"/>
      <c r="L51" s="46"/>
      <c r="M51" s="46"/>
      <c r="N51" s="46"/>
      <c r="O51" s="46"/>
      <c r="P51" s="46"/>
      <c r="Q51" s="46"/>
      <c r="R51" s="46"/>
      <c r="S51" s="46"/>
      <c r="T51" s="46"/>
      <c r="U51" s="30"/>
      <c r="V51" s="31">
        <f>V4+V10+V16+V22+V28+V34+V40+V46</f>
        <v>2545020.8266666667</v>
      </c>
      <c r="W51" s="30"/>
      <c r="X51" s="30"/>
      <c r="Y51" s="31">
        <f>Y4+Y10+Y16+Y22+Y28+Y34+Y40+Y46</f>
        <v>25020</v>
      </c>
      <c r="Z51" s="31">
        <f>Z4+Z10+Z16+Z22+Z28+Z34+Z40+Z46</f>
        <v>87524.3</v>
      </c>
      <c r="AA51" s="31">
        <f>AA4+AA10+AA16+AA22+AA28+AA34+AA40+AA46</f>
        <v>0</v>
      </c>
      <c r="AB51" s="31">
        <f>AB4+AB10+AB16+AB16+AB22+AB28+AB34+AB40+AB46</f>
        <v>15915</v>
      </c>
      <c r="AC51" s="31">
        <f t="shared" ref="AC51:AJ51" si="0">AC4+AC10+AC16+AC22+AC28+AC34+AC40+AC46</f>
        <v>14400</v>
      </c>
      <c r="AD51" s="31">
        <f t="shared" si="0"/>
        <v>2198.8500000000004</v>
      </c>
      <c r="AE51" s="31">
        <f t="shared" si="0"/>
        <v>5538.5499999999993</v>
      </c>
      <c r="AF51" s="31">
        <f t="shared" si="0"/>
        <v>2688421.4766666675</v>
      </c>
      <c r="AG51" s="31">
        <f t="shared" si="0"/>
        <v>2763734.01</v>
      </c>
      <c r="AH51" s="31">
        <f t="shared" si="0"/>
        <v>75312.533333333078</v>
      </c>
      <c r="AI51" s="31">
        <f t="shared" si="0"/>
        <v>18984</v>
      </c>
      <c r="AJ51" s="31">
        <f t="shared" si="0"/>
        <v>39429.973333333153</v>
      </c>
    </row>
    <row r="53" spans="1:61" x14ac:dyDescent="0.35">
      <c r="AI53" s="6"/>
    </row>
  </sheetData>
  <mergeCells count="2">
    <mergeCell ref="U2:AC2"/>
    <mergeCell ref="A51:E5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6"/>
  <dimension ref="A1:BI51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4.26953125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6" width="16.54296875" customWidth="1"/>
    <col min="38" max="38" width="16.453125" bestFit="1" customWidth="1"/>
    <col min="39" max="39" width="15.72656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37" t="s">
        <v>1</v>
      </c>
      <c r="B3" s="37" t="s">
        <v>2</v>
      </c>
      <c r="C3" s="37" t="s">
        <v>110</v>
      </c>
      <c r="D3" s="37" t="s">
        <v>66</v>
      </c>
      <c r="E3" s="37" t="s">
        <v>32</v>
      </c>
      <c r="F3" s="37" t="s">
        <v>137</v>
      </c>
      <c r="G3" s="37" t="s">
        <v>138</v>
      </c>
      <c r="H3" s="37" t="s">
        <v>4</v>
      </c>
      <c r="I3" s="37" t="s">
        <v>5</v>
      </c>
      <c r="J3" s="37" t="s">
        <v>6</v>
      </c>
      <c r="K3" s="37" t="s">
        <v>7</v>
      </c>
      <c r="L3" s="37" t="s">
        <v>279</v>
      </c>
      <c r="M3" s="37" t="s">
        <v>280</v>
      </c>
      <c r="N3" s="37" t="s">
        <v>281</v>
      </c>
      <c r="O3" s="37" t="s">
        <v>282</v>
      </c>
      <c r="P3" s="37" t="s">
        <v>283</v>
      </c>
      <c r="Q3" s="37" t="s">
        <v>284</v>
      </c>
      <c r="R3" s="37" t="s">
        <v>904</v>
      </c>
      <c r="S3" s="37" t="s">
        <v>285</v>
      </c>
      <c r="T3" s="37" t="s">
        <v>289</v>
      </c>
      <c r="U3" s="37" t="s">
        <v>8</v>
      </c>
      <c r="V3" s="37" t="s">
        <v>9</v>
      </c>
      <c r="W3" s="37" t="s">
        <v>10</v>
      </c>
      <c r="X3" s="37" t="s">
        <v>100</v>
      </c>
      <c r="Y3" s="37" t="s">
        <v>106</v>
      </c>
      <c r="Z3" s="37" t="s">
        <v>12</v>
      </c>
      <c r="AA3" s="37" t="s">
        <v>258</v>
      </c>
      <c r="AB3" s="37" t="s">
        <v>13</v>
      </c>
      <c r="AC3" s="37" t="s">
        <v>74</v>
      </c>
      <c r="AD3" s="37" t="s">
        <v>21</v>
      </c>
      <c r="AE3" s="37" t="s">
        <v>14</v>
      </c>
      <c r="AF3" s="37" t="s">
        <v>15</v>
      </c>
      <c r="AG3" s="37" t="s">
        <v>16</v>
      </c>
      <c r="AH3" s="15" t="s">
        <v>17</v>
      </c>
      <c r="AI3" s="14" t="s">
        <v>679</v>
      </c>
      <c r="AJ3" s="14" t="s">
        <v>678</v>
      </c>
      <c r="AL3" s="164">
        <f>AF51</f>
        <v>1736622.1233333335</v>
      </c>
      <c r="AM3" s="164">
        <f>AH51-AI51</f>
        <v>138405.88909333327</v>
      </c>
    </row>
    <row r="4" spans="1:40" x14ac:dyDescent="0.35">
      <c r="A4" s="38">
        <v>44956</v>
      </c>
      <c r="B4" s="39" t="s">
        <v>330</v>
      </c>
      <c r="C4" s="39" t="s">
        <v>141</v>
      </c>
      <c r="D4" s="45">
        <v>142820</v>
      </c>
      <c r="E4" s="45"/>
      <c r="F4" s="39"/>
      <c r="G4" s="39">
        <v>65</v>
      </c>
      <c r="H4" s="40">
        <v>21880</v>
      </c>
      <c r="I4" s="53">
        <v>0.5</v>
      </c>
      <c r="J4" s="42">
        <f>IFERROR(K4/H4,"")</f>
        <v>0.50994058500914075</v>
      </c>
      <c r="K4" s="40">
        <v>11157.5</v>
      </c>
      <c r="L4" s="39">
        <v>58</v>
      </c>
      <c r="M4" s="39">
        <v>6</v>
      </c>
      <c r="N4" s="39"/>
      <c r="O4" s="39"/>
      <c r="P4" s="39">
        <v>1</v>
      </c>
      <c r="Q4" s="39"/>
      <c r="R4" s="39"/>
      <c r="S4" s="39"/>
      <c r="T4" s="39"/>
      <c r="U4" s="43">
        <v>255</v>
      </c>
      <c r="V4" s="43">
        <f>H4*U4*I4/15</f>
        <v>185980</v>
      </c>
      <c r="W4" s="43">
        <v>295.18</v>
      </c>
      <c r="X4" s="43">
        <v>219565.71</v>
      </c>
      <c r="Y4" s="43">
        <f>G4*60</f>
        <v>3900</v>
      </c>
      <c r="Z4" s="43">
        <v>8858.1</v>
      </c>
      <c r="AA4" s="43">
        <v>0</v>
      </c>
      <c r="AB4" s="43">
        <v>1657.5</v>
      </c>
      <c r="AC4" s="43">
        <f>G4*30</f>
        <v>1950</v>
      </c>
      <c r="AD4" s="43">
        <f>G4*4.11</f>
        <v>267.15000000000003</v>
      </c>
      <c r="AE4" s="43">
        <v>439.13</v>
      </c>
      <c r="AF4" s="43">
        <f>V4+Y4+Z4+AA4+AB4+AC4+AD4</f>
        <v>202612.75</v>
      </c>
      <c r="AG4" s="43">
        <f>IFERROR(IFERROR((H4*W4*J4/15)-AE4,""),"")</f>
        <v>219125.59333333332</v>
      </c>
      <c r="AH4" s="26">
        <f>IFERROR(AG4-AF4,"")</f>
        <v>16512.843333333323</v>
      </c>
      <c r="AI4" s="6">
        <f>IF(F4="",(G4/$F$51)*$AL$18,(F4/$F$51)*$AL$18)</f>
        <v>76.793248945147667</v>
      </c>
      <c r="AJ4" s="6">
        <f>(AH4-AI4)*70%</f>
        <v>11505.235059071721</v>
      </c>
      <c r="AL4" s="166" t="s">
        <v>749</v>
      </c>
      <c r="AM4" s="167">
        <f>AM3/AL3</f>
        <v>7.9698333468004048E-2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IFERROR(AH4/G4,"")</f>
        <v>254.04374358974343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7.5357894448294896E-2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37" t="s">
        <v>1</v>
      </c>
      <c r="B9" s="37" t="s">
        <v>2</v>
      </c>
      <c r="C9" s="37" t="s">
        <v>110</v>
      </c>
      <c r="D9" s="37" t="s">
        <v>66</v>
      </c>
      <c r="E9" s="37"/>
      <c r="F9" s="37" t="s">
        <v>137</v>
      </c>
      <c r="G9" s="37" t="s">
        <v>138</v>
      </c>
      <c r="H9" s="37" t="s">
        <v>4</v>
      </c>
      <c r="I9" s="37" t="s">
        <v>5</v>
      </c>
      <c r="J9" s="37" t="s">
        <v>6</v>
      </c>
      <c r="K9" s="37" t="s">
        <v>7</v>
      </c>
      <c r="L9" s="37" t="s">
        <v>279</v>
      </c>
      <c r="M9" s="37" t="s">
        <v>280</v>
      </c>
      <c r="N9" s="37" t="s">
        <v>281</v>
      </c>
      <c r="O9" s="37" t="s">
        <v>282</v>
      </c>
      <c r="P9" s="37" t="s">
        <v>283</v>
      </c>
      <c r="Q9" s="37" t="s">
        <v>284</v>
      </c>
      <c r="R9" s="37" t="s">
        <v>904</v>
      </c>
      <c r="S9" s="37" t="s">
        <v>285</v>
      </c>
      <c r="T9" s="37" t="s">
        <v>289</v>
      </c>
      <c r="U9" s="37" t="s">
        <v>8</v>
      </c>
      <c r="V9" s="37" t="s">
        <v>9</v>
      </c>
      <c r="W9" s="37" t="s">
        <v>10</v>
      </c>
      <c r="X9" s="37" t="s">
        <v>100</v>
      </c>
      <c r="Y9" s="37" t="s">
        <v>106</v>
      </c>
      <c r="Z9" s="37" t="s">
        <v>12</v>
      </c>
      <c r="AA9" s="37" t="s">
        <v>258</v>
      </c>
      <c r="AB9" s="37" t="s">
        <v>13</v>
      </c>
      <c r="AC9" s="37" t="s">
        <v>74</v>
      </c>
      <c r="AD9" s="37" t="s">
        <v>21</v>
      </c>
      <c r="AE9" s="37" t="s">
        <v>14</v>
      </c>
      <c r="AF9" s="37" t="s">
        <v>15</v>
      </c>
      <c r="AG9" s="37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F4+G4+F10+G10+F16+G16+F22+G22+F28+G28+F34+G34+F40+G40+F46+G46</f>
        <v>474</v>
      </c>
      <c r="AM9" s="50" t="s">
        <v>22</v>
      </c>
      <c r="AN9" t="s">
        <v>72</v>
      </c>
    </row>
    <row r="10" spans="1:40" x14ac:dyDescent="0.35">
      <c r="A10" s="38">
        <v>44956</v>
      </c>
      <c r="B10" s="39" t="s">
        <v>330</v>
      </c>
      <c r="C10" s="39" t="s">
        <v>335</v>
      </c>
      <c r="D10" s="45">
        <v>142817</v>
      </c>
      <c r="E10" s="45"/>
      <c r="F10" s="39">
        <v>50</v>
      </c>
      <c r="G10" s="39"/>
      <c r="H10" s="40">
        <v>26620</v>
      </c>
      <c r="I10" s="53">
        <v>0.54</v>
      </c>
      <c r="J10" s="42">
        <f>IFERROR(K10/H10,"")</f>
        <v>0.55775732531930877</v>
      </c>
      <c r="K10" s="40">
        <v>14847.5</v>
      </c>
      <c r="L10" s="39">
        <v>4</v>
      </c>
      <c r="M10" s="39">
        <v>17</v>
      </c>
      <c r="N10" s="39">
        <v>23</v>
      </c>
      <c r="O10" s="39">
        <v>5</v>
      </c>
      <c r="P10" s="39">
        <v>1</v>
      </c>
      <c r="Q10" s="39"/>
      <c r="R10" s="39"/>
      <c r="S10" s="39"/>
      <c r="T10" s="39"/>
      <c r="U10" s="43">
        <v>273</v>
      </c>
      <c r="V10" s="43">
        <f>H10*U10*I10/15</f>
        <v>261621.36000000002</v>
      </c>
      <c r="W10" s="43">
        <v>299.22000000000003</v>
      </c>
      <c r="X10" s="43">
        <v>296179.63</v>
      </c>
      <c r="Y10" s="43">
        <f>F10*60</f>
        <v>3000</v>
      </c>
      <c r="Z10" s="43">
        <v>7673.4</v>
      </c>
      <c r="AA10" s="43">
        <v>0</v>
      </c>
      <c r="AB10" s="43">
        <v>1365</v>
      </c>
      <c r="AC10" s="43">
        <f>F10*30</f>
        <v>1500</v>
      </c>
      <c r="AD10" s="43">
        <f>IF(F10="",G10*4.11,F10*4.11)</f>
        <v>205.50000000000003</v>
      </c>
      <c r="AE10" s="43">
        <v>592.36</v>
      </c>
      <c r="AF10" s="43">
        <f>V10+Y10+Z10+AA10+AB10+AC10+AD10</f>
        <v>275365.26</v>
      </c>
      <c r="AG10" s="43">
        <f>IFERROR(IFERROR((H10*W10*J10/15)-AE10,""),"")</f>
        <v>295585.57</v>
      </c>
      <c r="AH10" s="26">
        <f>IFERROR(AG10-AF10,"")</f>
        <v>20220.309999999998</v>
      </c>
      <c r="AI10" s="6">
        <f>IF(F10="",(G10/$F$51)*$AL$18,(F10/$F$51)*$AL$18)</f>
        <v>59.071729957805907</v>
      </c>
      <c r="AJ10" s="6">
        <f>(AH10-AI10)*70%</f>
        <v>14112.866789029533</v>
      </c>
      <c r="AL10" s="11">
        <f>AH4+AH10+AH16+AH22+AH28+AH34+AH40+AH46</f>
        <v>138965.88909333327</v>
      </c>
      <c r="AM10" s="11">
        <f>AL10*30%</f>
        <v>41689.766727999981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404.40619999999996</v>
      </c>
      <c r="AL11" s="11"/>
      <c r="AM11" s="11"/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6.840763573133829E-2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77" t="s">
        <v>187</v>
      </c>
      <c r="AM14" s="181" t="s">
        <v>680</v>
      </c>
      <c r="AN14" s="191"/>
    </row>
    <row r="15" spans="1:40" x14ac:dyDescent="0.35">
      <c r="A15" s="37" t="s">
        <v>1</v>
      </c>
      <c r="B15" s="37" t="s">
        <v>2</v>
      </c>
      <c r="C15" s="37" t="s">
        <v>110</v>
      </c>
      <c r="D15" s="37" t="s">
        <v>66</v>
      </c>
      <c r="E15" s="37"/>
      <c r="F15" s="37" t="s">
        <v>137</v>
      </c>
      <c r="G15" s="37" t="s">
        <v>138</v>
      </c>
      <c r="H15" s="37" t="s">
        <v>4</v>
      </c>
      <c r="I15" s="37" t="s">
        <v>5</v>
      </c>
      <c r="J15" s="37" t="s">
        <v>6</v>
      </c>
      <c r="K15" s="37" t="s">
        <v>7</v>
      </c>
      <c r="L15" s="37" t="s">
        <v>279</v>
      </c>
      <c r="M15" s="37" t="s">
        <v>280</v>
      </c>
      <c r="N15" s="37" t="s">
        <v>281</v>
      </c>
      <c r="O15" s="37" t="s">
        <v>282</v>
      </c>
      <c r="P15" s="37" t="s">
        <v>283</v>
      </c>
      <c r="Q15" s="37" t="s">
        <v>284</v>
      </c>
      <c r="R15" s="37" t="s">
        <v>904</v>
      </c>
      <c r="S15" s="37" t="s">
        <v>285</v>
      </c>
      <c r="T15" s="37" t="s">
        <v>289</v>
      </c>
      <c r="U15" s="37" t="s">
        <v>8</v>
      </c>
      <c r="V15" s="37" t="s">
        <v>9</v>
      </c>
      <c r="W15" s="37" t="s">
        <v>10</v>
      </c>
      <c r="X15" s="37" t="s">
        <v>100</v>
      </c>
      <c r="Y15" s="37" t="s">
        <v>106</v>
      </c>
      <c r="Z15" s="37" t="s">
        <v>12</v>
      </c>
      <c r="AA15" s="37" t="s">
        <v>258</v>
      </c>
      <c r="AB15" s="37" t="s">
        <v>13</v>
      </c>
      <c r="AC15" s="37" t="s">
        <v>74</v>
      </c>
      <c r="AD15" s="37" t="s">
        <v>21</v>
      </c>
      <c r="AE15" s="37" t="s">
        <v>14</v>
      </c>
      <c r="AF15" s="37" t="s">
        <v>15</v>
      </c>
      <c r="AG15" s="37" t="s">
        <v>16</v>
      </c>
      <c r="AH15" s="15" t="s">
        <v>17</v>
      </c>
      <c r="AI15" s="14" t="s">
        <v>679</v>
      </c>
      <c r="AJ15" s="14" t="s">
        <v>678</v>
      </c>
      <c r="AL15" s="178">
        <v>560</v>
      </c>
      <c r="AM15" t="s">
        <v>386</v>
      </c>
      <c r="AN15" s="174"/>
    </row>
    <row r="16" spans="1:40" x14ac:dyDescent="0.35">
      <c r="A16" s="38">
        <v>44956</v>
      </c>
      <c r="B16" s="39" t="s">
        <v>408</v>
      </c>
      <c r="C16" s="39" t="s">
        <v>409</v>
      </c>
      <c r="D16" s="45">
        <v>142818</v>
      </c>
      <c r="E16" s="45"/>
      <c r="F16" s="39"/>
      <c r="G16" s="39">
        <v>4</v>
      </c>
      <c r="H16" s="40">
        <v>1396</v>
      </c>
      <c r="I16" s="53">
        <v>0.5</v>
      </c>
      <c r="J16" s="42">
        <f>IFERROR(K16/H16,"")</f>
        <v>0.47491404011461319</v>
      </c>
      <c r="K16" s="40">
        <v>662.98</v>
      </c>
      <c r="L16" s="39"/>
      <c r="M16" s="39"/>
      <c r="N16" s="39"/>
      <c r="O16" s="39">
        <v>4</v>
      </c>
      <c r="P16" s="39"/>
      <c r="Q16" s="39"/>
      <c r="R16" s="39"/>
      <c r="S16" s="39"/>
      <c r="T16" s="39"/>
      <c r="U16" s="43">
        <v>240</v>
      </c>
      <c r="V16" s="43">
        <f>H16*U16*I16/15</f>
        <v>11168</v>
      </c>
      <c r="W16" s="43">
        <v>287.86</v>
      </c>
      <c r="X16" s="43">
        <v>12722.9</v>
      </c>
      <c r="Y16" s="43">
        <f>G16*30</f>
        <v>120</v>
      </c>
      <c r="Z16" s="43">
        <v>630.6</v>
      </c>
      <c r="AA16" s="43">
        <v>0</v>
      </c>
      <c r="AB16" s="43">
        <v>96</v>
      </c>
      <c r="AC16" s="43">
        <f>G16*30</f>
        <v>120</v>
      </c>
      <c r="AD16" s="43">
        <f>IF(F16="",G16*4.11,F16*4.11)</f>
        <v>16.440000000000001</v>
      </c>
      <c r="AE16" s="43">
        <v>25.44</v>
      </c>
      <c r="AF16" s="43">
        <f>V16+Y16+Z16+AA16+AB16+AC16+AD16</f>
        <v>12151.04</v>
      </c>
      <c r="AG16" s="43">
        <f>IFERROR(IFERROR((H16*W16*J16/15)-AE16,""),"")</f>
        <v>12697.588186666666</v>
      </c>
      <c r="AH16" s="26">
        <f>IFERROR(AG16-AF16,"")</f>
        <v>546.54818666666506</v>
      </c>
      <c r="AI16" s="6">
        <f>IF(F16="",(G16/$F$51)*$AL$18,(F16/$F$51)*$AL$18)</f>
        <v>4.7257383966244726</v>
      </c>
      <c r="AJ16" s="6">
        <f>(AH16-AI16)*70%</f>
        <v>379.27571378902837</v>
      </c>
      <c r="AL16" s="178">
        <v>0</v>
      </c>
      <c r="AM16" s="6"/>
      <c r="AN16" s="174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136.63704666666627</v>
      </c>
      <c r="AI17" s="47"/>
      <c r="AJ17" s="47"/>
      <c r="AL17" s="178">
        <v>0</v>
      </c>
      <c r="AN17" s="174"/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4.304346452506453E-2</v>
      </c>
      <c r="AI18" s="47"/>
      <c r="AJ18" s="47"/>
      <c r="AL18" s="179">
        <f>SUM(AL15:AL17)</f>
        <v>560</v>
      </c>
      <c r="AM18" s="181" t="s">
        <v>682</v>
      </c>
      <c r="AN18" s="191"/>
    </row>
    <row r="19" spans="1:40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</row>
    <row r="21" spans="1:40" x14ac:dyDescent="0.35">
      <c r="A21" s="37" t="s">
        <v>1</v>
      </c>
      <c r="B21" s="37" t="s">
        <v>2</v>
      </c>
      <c r="C21" s="37" t="s">
        <v>110</v>
      </c>
      <c r="D21" s="37" t="s">
        <v>66</v>
      </c>
      <c r="E21" s="37"/>
      <c r="F21" s="37" t="s">
        <v>137</v>
      </c>
      <c r="G21" s="37" t="s">
        <v>138</v>
      </c>
      <c r="H21" s="37" t="s">
        <v>4</v>
      </c>
      <c r="I21" s="37" t="s">
        <v>5</v>
      </c>
      <c r="J21" s="37" t="s">
        <v>6</v>
      </c>
      <c r="K21" s="37" t="s">
        <v>7</v>
      </c>
      <c r="L21" s="37" t="s">
        <v>279</v>
      </c>
      <c r="M21" s="37" t="s">
        <v>280</v>
      </c>
      <c r="N21" s="37" t="s">
        <v>281</v>
      </c>
      <c r="O21" s="37" t="s">
        <v>282</v>
      </c>
      <c r="P21" s="37" t="s">
        <v>283</v>
      </c>
      <c r="Q21" s="37" t="s">
        <v>284</v>
      </c>
      <c r="R21" s="37" t="s">
        <v>904</v>
      </c>
      <c r="S21" s="37" t="s">
        <v>285</v>
      </c>
      <c r="T21" s="37" t="s">
        <v>289</v>
      </c>
      <c r="U21" s="37" t="s">
        <v>8</v>
      </c>
      <c r="V21" s="37" t="s">
        <v>9</v>
      </c>
      <c r="W21" s="37" t="s">
        <v>10</v>
      </c>
      <c r="X21" s="37" t="s">
        <v>100</v>
      </c>
      <c r="Y21" s="37" t="s">
        <v>106</v>
      </c>
      <c r="Z21" s="37" t="s">
        <v>12</v>
      </c>
      <c r="AA21" s="37" t="s">
        <v>258</v>
      </c>
      <c r="AB21" s="37" t="s">
        <v>13</v>
      </c>
      <c r="AC21" s="37" t="s">
        <v>74</v>
      </c>
      <c r="AD21" s="37" t="s">
        <v>21</v>
      </c>
      <c r="AE21" s="37" t="s">
        <v>14</v>
      </c>
      <c r="AF21" s="37" t="s">
        <v>15</v>
      </c>
      <c r="AG21" s="37" t="s">
        <v>16</v>
      </c>
      <c r="AH21" s="15" t="s">
        <v>17</v>
      </c>
      <c r="AI21" s="14" t="s">
        <v>679</v>
      </c>
      <c r="AJ21" s="14" t="s">
        <v>678</v>
      </c>
    </row>
    <row r="22" spans="1:40" x14ac:dyDescent="0.35">
      <c r="A22" s="38">
        <v>44956</v>
      </c>
      <c r="B22" s="39" t="s">
        <v>408</v>
      </c>
      <c r="C22" s="39" t="s">
        <v>409</v>
      </c>
      <c r="D22" s="45">
        <v>142818</v>
      </c>
      <c r="E22" s="45"/>
      <c r="F22" s="39"/>
      <c r="G22" s="39">
        <v>122</v>
      </c>
      <c r="H22" s="40">
        <v>42583.8</v>
      </c>
      <c r="I22" s="53">
        <v>0.5</v>
      </c>
      <c r="J22" s="42">
        <f>IFERROR(K22/H22,"")</f>
        <v>0.47485217383136302</v>
      </c>
      <c r="K22" s="40">
        <v>20221.009999999998</v>
      </c>
      <c r="L22" s="39">
        <v>24</v>
      </c>
      <c r="M22" s="39">
        <v>55</v>
      </c>
      <c r="N22" s="39">
        <v>25</v>
      </c>
      <c r="O22" s="39">
        <v>8</v>
      </c>
      <c r="P22" s="39">
        <v>10</v>
      </c>
      <c r="Q22" s="39"/>
      <c r="R22" s="39"/>
      <c r="S22" s="39"/>
      <c r="T22" s="39"/>
      <c r="U22" s="43">
        <v>250</v>
      </c>
      <c r="V22" s="43">
        <f>H22*U22*I22/15</f>
        <v>354865</v>
      </c>
      <c r="W22" s="43">
        <v>287.86</v>
      </c>
      <c r="X22" s="43">
        <v>388048.6</v>
      </c>
      <c r="Y22" s="43">
        <f>G22*30</f>
        <v>3660</v>
      </c>
      <c r="Z22" s="43">
        <v>19233.39</v>
      </c>
      <c r="AA22" s="43">
        <v>0</v>
      </c>
      <c r="AB22" s="43">
        <v>3050</v>
      </c>
      <c r="AC22" s="43">
        <f>G22*30</f>
        <v>3660</v>
      </c>
      <c r="AD22" s="43">
        <f>IF(F22="",G22*4.11,F22*4.11)</f>
        <v>501.42</v>
      </c>
      <c r="AE22" s="43">
        <v>776.1</v>
      </c>
      <c r="AF22" s="43">
        <f>V22+Y22+Z22+AA22+AB22+AC22+AD22</f>
        <v>384969.81</v>
      </c>
      <c r="AG22" s="43">
        <f>IFERROR(IFERROR((H22*W22*J22/15)-AE22,""),"")</f>
        <v>387278.56257333333</v>
      </c>
      <c r="AH22" s="26">
        <f>IFERROR(AG22-AF22,"")</f>
        <v>2308.7525733333314</v>
      </c>
      <c r="AI22" s="6">
        <f>IF(F22="",(G22/$F$51)*$AL$18,(F22/$F$51)*$AL$18)</f>
        <v>144.13502109704643</v>
      </c>
      <c r="AJ22" s="6">
        <f>(AH22-AI22)*70%</f>
        <v>1515.2322865653994</v>
      </c>
    </row>
    <row r="23" spans="1:4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AH22/G22</f>
        <v>18.924201420765012</v>
      </c>
      <c r="AI23" s="47"/>
      <c r="AJ23" s="47"/>
    </row>
    <row r="24" spans="1:40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5.9614778519948581E-3</v>
      </c>
      <c r="AI24" s="47"/>
      <c r="AJ24" s="47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  <c r="AI25" s="47"/>
      <c r="AJ25" s="47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  <c r="AI26" s="47"/>
      <c r="AJ26" s="47"/>
      <c r="AL26" s="120"/>
    </row>
    <row r="27" spans="1:40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  <c r="AL27" s="57"/>
    </row>
    <row r="28" spans="1:40" x14ac:dyDescent="0.35">
      <c r="A28" s="20">
        <v>44957</v>
      </c>
      <c r="B28" s="21" t="s">
        <v>410</v>
      </c>
      <c r="C28" s="21" t="s">
        <v>124</v>
      </c>
      <c r="D28" s="44">
        <v>142824</v>
      </c>
      <c r="E28" s="44"/>
      <c r="F28" s="21"/>
      <c r="G28" s="21">
        <v>64</v>
      </c>
      <c r="H28" s="22">
        <v>22840</v>
      </c>
      <c r="I28" s="33">
        <v>0.5</v>
      </c>
      <c r="J28" s="24">
        <f>IFERROR(K28/H28,"")</f>
        <v>0.48636164623467598</v>
      </c>
      <c r="K28" s="22">
        <v>11108.5</v>
      </c>
      <c r="L28" s="21">
        <v>16</v>
      </c>
      <c r="M28" s="21">
        <v>18</v>
      </c>
      <c r="N28" s="21">
        <v>12</v>
      </c>
      <c r="O28" s="21">
        <v>8</v>
      </c>
      <c r="P28" s="21">
        <v>10</v>
      </c>
      <c r="Q28" s="21"/>
      <c r="R28" s="21"/>
      <c r="S28" s="21"/>
      <c r="T28" s="21"/>
      <c r="U28" s="25">
        <v>250</v>
      </c>
      <c r="V28" s="25">
        <f>H28*U28*I28/15</f>
        <v>190333.33333333334</v>
      </c>
      <c r="W28" s="25">
        <v>287.85000000000002</v>
      </c>
      <c r="X28" s="25">
        <v>213170.27</v>
      </c>
      <c r="Y28" s="25">
        <f>G28*30</f>
        <v>1920</v>
      </c>
      <c r="Z28" s="25">
        <v>10084.4</v>
      </c>
      <c r="AA28" s="25">
        <v>0</v>
      </c>
      <c r="AB28" s="25">
        <v>1600</v>
      </c>
      <c r="AC28" s="25">
        <f>G28*30</f>
        <v>1920</v>
      </c>
      <c r="AD28" s="25">
        <f>IF(F28="",G28*4.11,F28*4.11)</f>
        <v>263.04000000000002</v>
      </c>
      <c r="AE28" s="25">
        <v>426.35</v>
      </c>
      <c r="AF28" s="25">
        <f>V28+Y28+Z28+AA28+AB28+AC28+AD28</f>
        <v>206120.77333333335</v>
      </c>
      <c r="AG28" s="25">
        <f>IFERROR(IFERROR((H28*W28*J28/15)-AE28,""),"")</f>
        <v>212745.76500000001</v>
      </c>
      <c r="AH28" s="26">
        <f>IFERROR(AG28-AF28,"")</f>
        <v>6624.9916666666686</v>
      </c>
      <c r="AI28" s="6">
        <f>IF(F28="",(G28/$F$51)*$AL$18,(F28/$F$51)*$AL$18)</f>
        <v>75.611814345991561</v>
      </c>
      <c r="AJ28" s="6">
        <f>(AH28-AI28)*70%</f>
        <v>4584.5658966244737</v>
      </c>
      <c r="AL28" s="57"/>
    </row>
    <row r="29" spans="1:40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AH28/G28</f>
        <v>103.5154947916667</v>
      </c>
      <c r="AL29" s="95"/>
      <c r="AM29" s="11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3.1140416198962496E-2</v>
      </c>
      <c r="AL30" s="95"/>
      <c r="AM30" s="11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7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6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61" x14ac:dyDescent="0.35">
      <c r="A34" s="20">
        <v>44957</v>
      </c>
      <c r="B34" s="21" t="s">
        <v>411</v>
      </c>
      <c r="C34" s="21" t="s">
        <v>412</v>
      </c>
      <c r="D34" s="44">
        <v>142823</v>
      </c>
      <c r="E34" s="44"/>
      <c r="F34" s="21">
        <v>50</v>
      </c>
      <c r="G34" s="21"/>
      <c r="H34" s="22">
        <v>21820</v>
      </c>
      <c r="I34" s="33">
        <v>0.5</v>
      </c>
      <c r="J34" s="24">
        <f>IFERROR(K34/H34,"")</f>
        <v>0.5418194317140238</v>
      </c>
      <c r="K34" s="22">
        <v>11822.5</v>
      </c>
      <c r="L34" s="21">
        <v>24</v>
      </c>
      <c r="M34" s="21">
        <v>20</v>
      </c>
      <c r="N34" s="21">
        <v>6</v>
      </c>
      <c r="O34" s="21"/>
      <c r="P34" s="21"/>
      <c r="Q34" s="21"/>
      <c r="R34" s="21"/>
      <c r="S34" s="21"/>
      <c r="T34" s="21"/>
      <c r="U34" s="25">
        <v>260</v>
      </c>
      <c r="V34" s="25">
        <f>H34*U34*I34/15</f>
        <v>189106.66666666666</v>
      </c>
      <c r="W34" s="25">
        <v>291.27999999999997</v>
      </c>
      <c r="X34" s="25">
        <v>229575.59</v>
      </c>
      <c r="Y34" s="25">
        <f>F34*30</f>
        <v>1500</v>
      </c>
      <c r="Z34" s="25">
        <v>10343</v>
      </c>
      <c r="AA34" s="25"/>
      <c r="AB34" s="25">
        <v>1300</v>
      </c>
      <c r="AC34" s="25">
        <f>F34*30</f>
        <v>1500</v>
      </c>
      <c r="AD34" s="25">
        <f>IF(F34="",G34*4.11,F34*4.11)</f>
        <v>205.50000000000003</v>
      </c>
      <c r="AE34" s="25">
        <v>459.15</v>
      </c>
      <c r="AF34" s="25">
        <f>V34+Y34+Z34+AA34+AB34+AC34+AD34</f>
        <v>203955.16666666666</v>
      </c>
      <c r="AG34" s="25">
        <f>IFERROR(IFERROR((H34*W34*J34/15)-AE34,""),"")</f>
        <v>229118.03666666665</v>
      </c>
      <c r="AH34" s="26">
        <f>IFERROR(AG34-AF34,"")</f>
        <v>25162.869999999995</v>
      </c>
      <c r="AI34" s="6">
        <f>IF(F34="",(G34/$F$51)*$AL$18,(F34/$F$51)*$AL$18)</f>
        <v>59.071729957805907</v>
      </c>
      <c r="AJ34" s="6">
        <f>(AH34-AI34)*70%</f>
        <v>17572.65878902953</v>
      </c>
    </row>
    <row r="35" spans="1:6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503.2573999999999</v>
      </c>
    </row>
    <row r="36" spans="1:6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0.1098249197927979</v>
      </c>
    </row>
    <row r="37" spans="1:6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61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61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47"/>
    </row>
    <row r="40" spans="1:61" x14ac:dyDescent="0.35">
      <c r="A40" s="20">
        <v>44958</v>
      </c>
      <c r="B40" s="21" t="s">
        <v>413</v>
      </c>
      <c r="C40" s="21" t="s">
        <v>141</v>
      </c>
      <c r="D40" s="44">
        <v>142829</v>
      </c>
      <c r="E40" s="44"/>
      <c r="F40" s="21">
        <v>54</v>
      </c>
      <c r="G40" s="21"/>
      <c r="H40" s="22">
        <v>24180</v>
      </c>
      <c r="I40" s="33">
        <v>0.52</v>
      </c>
      <c r="J40" s="24">
        <f>IFERROR(K40/H40,"")</f>
        <v>0.53432588916459889</v>
      </c>
      <c r="K40" s="22">
        <v>12920</v>
      </c>
      <c r="L40" s="21">
        <v>47</v>
      </c>
      <c r="M40" s="21">
        <v>6</v>
      </c>
      <c r="N40" s="21">
        <v>1</v>
      </c>
      <c r="O40" s="21"/>
      <c r="P40" s="21"/>
      <c r="Q40" s="21"/>
      <c r="R40" s="21"/>
      <c r="S40" s="21"/>
      <c r="T40" s="21"/>
      <c r="U40" s="25">
        <v>260</v>
      </c>
      <c r="V40" s="25">
        <f>H40*U40*I40/15</f>
        <v>217942.39999999999</v>
      </c>
      <c r="W40" s="25">
        <v>300.83999999999997</v>
      </c>
      <c r="X40" s="25">
        <v>259119.1</v>
      </c>
      <c r="Y40" s="25">
        <f>F40*60</f>
        <v>3240</v>
      </c>
      <c r="Z40" s="25">
        <v>8761.7000000000007</v>
      </c>
      <c r="AA40" s="25">
        <v>0</v>
      </c>
      <c r="AB40" s="25">
        <v>1404</v>
      </c>
      <c r="AC40" s="25">
        <f>F40*30</f>
        <v>1620</v>
      </c>
      <c r="AD40" s="25">
        <f>IF(F40="",G40*4.11,F40*4.11)</f>
        <v>221.94000000000003</v>
      </c>
      <c r="AE40" s="25">
        <v>518.25</v>
      </c>
      <c r="AF40" s="25">
        <f>V40+Y40+Z40+AA40+AB40+AC40+AD40</f>
        <v>233190.04</v>
      </c>
      <c r="AG40" s="25">
        <f>IFERROR(IFERROR((H40*W40*J40/15)-AE40,""),"")</f>
        <v>258605.27</v>
      </c>
      <c r="AH40" s="26">
        <f>IFERROR(AG40-AF40,"")</f>
        <v>25415.229999999981</v>
      </c>
      <c r="AI40" s="6">
        <f>IF(F40="",(G40/$F$51)*$AL$18,(F40/$F$51)*$AL$18)</f>
        <v>63.797468354430379</v>
      </c>
      <c r="AJ40" s="6">
        <f>(AH40-AI40)*70%</f>
        <v>17746.002772151885</v>
      </c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47"/>
    </row>
    <row r="41" spans="1:6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470.65240740740705</v>
      </c>
      <c r="AI41" s="47"/>
      <c r="AJ41" s="47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4"/>
    </row>
    <row r="42" spans="1:6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9.82780822680063E-2</v>
      </c>
      <c r="AI42" s="47"/>
      <c r="AJ42" s="47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4"/>
    </row>
    <row r="43" spans="1:61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4"/>
    </row>
    <row r="44" spans="1:61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4"/>
    </row>
    <row r="45" spans="1:61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4"/>
    </row>
    <row r="46" spans="1:61" x14ac:dyDescent="0.35">
      <c r="A46" s="20">
        <v>44958</v>
      </c>
      <c r="B46" s="21" t="s">
        <v>330</v>
      </c>
      <c r="C46" s="21" t="s">
        <v>141</v>
      </c>
      <c r="D46" s="44">
        <v>142830</v>
      </c>
      <c r="E46" s="44"/>
      <c r="F46" s="21"/>
      <c r="G46" s="21">
        <v>65</v>
      </c>
      <c r="H46" s="22">
        <v>24490</v>
      </c>
      <c r="I46" s="33">
        <v>0.5</v>
      </c>
      <c r="J46" s="24">
        <f>IFERROR(K46/H46,"")</f>
        <v>0.53552470396080032</v>
      </c>
      <c r="K46" s="22">
        <v>13115</v>
      </c>
      <c r="L46" s="21">
        <v>34</v>
      </c>
      <c r="M46" s="21">
        <v>31</v>
      </c>
      <c r="N46" s="21"/>
      <c r="O46" s="21"/>
      <c r="P46" s="21"/>
      <c r="Q46" s="21"/>
      <c r="R46" s="21"/>
      <c r="S46" s="21"/>
      <c r="T46" s="21"/>
      <c r="U46" s="25">
        <v>250</v>
      </c>
      <c r="V46" s="25">
        <f>H46*U46*I46/15</f>
        <v>204083.33333333334</v>
      </c>
      <c r="W46" s="25">
        <v>298.45999999999998</v>
      </c>
      <c r="X46" s="25">
        <v>260951.8</v>
      </c>
      <c r="Y46" s="25">
        <f>G46*60</f>
        <v>3900</v>
      </c>
      <c r="Z46" s="25">
        <v>6431.8</v>
      </c>
      <c r="AA46" s="25"/>
      <c r="AB46" s="25">
        <v>1625</v>
      </c>
      <c r="AC46" s="25">
        <f>G46*30</f>
        <v>1950</v>
      </c>
      <c r="AD46" s="25">
        <f>IF(F46="",G46*4.11,F46*4.11)</f>
        <v>267.15000000000003</v>
      </c>
      <c r="AE46" s="25">
        <v>521.9</v>
      </c>
      <c r="AF46" s="25">
        <f>V46+Y46+Z46+AA46+AB46+AC46+AD46</f>
        <v>218257.28333333333</v>
      </c>
      <c r="AG46" s="25">
        <f>IFERROR(IFERROR((H46*W46*J46/15)-AE46,""),"")</f>
        <v>260431.62666666665</v>
      </c>
      <c r="AH46" s="26">
        <f>IFERROR(AG46-AF46,"")</f>
        <v>42174.343333333323</v>
      </c>
      <c r="AI46" s="6">
        <f>IF(F46="",(G46/$F$51)*$AL$18,(F46/$F$51)*$AL$18)</f>
        <v>76.793248945147667</v>
      </c>
      <c r="AJ46" s="6">
        <f>(AH46-AI46)*70%</f>
        <v>29468.285059071721</v>
      </c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4"/>
    </row>
    <row r="47" spans="1:6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AH46/G46</f>
        <v>648.83605128205113</v>
      </c>
      <c r="AI47" s="47"/>
      <c r="AJ47" s="47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4"/>
    </row>
    <row r="48" spans="1:61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0.16194017551990098</v>
      </c>
      <c r="AI48" s="47"/>
      <c r="AJ48" s="47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4"/>
    </row>
    <row r="49" spans="1:61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4"/>
    </row>
    <row r="50" spans="1:61" ht="15" thickBot="1" x14ac:dyDescent="0.4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4"/>
      <c r="AI50" s="24"/>
      <c r="AJ50" s="24"/>
    </row>
    <row r="51" spans="1:61" ht="16" thickBot="1" x14ac:dyDescent="0.4">
      <c r="A51" s="377" t="s">
        <v>406</v>
      </c>
      <c r="B51" s="378"/>
      <c r="C51" s="378"/>
      <c r="D51" s="378"/>
      <c r="E51" s="378"/>
      <c r="F51" s="30">
        <f>SUM(F4:G46)</f>
        <v>474</v>
      </c>
      <c r="G51" s="30"/>
      <c r="H51" s="30"/>
      <c r="I51" s="30"/>
      <c r="J51" s="30"/>
      <c r="K51" s="30"/>
      <c r="L51" s="46"/>
      <c r="M51" s="46"/>
      <c r="N51" s="46"/>
      <c r="O51" s="46"/>
      <c r="P51" s="46"/>
      <c r="Q51" s="46"/>
      <c r="R51" s="46"/>
      <c r="S51" s="46"/>
      <c r="T51" s="46"/>
      <c r="U51" s="30"/>
      <c r="V51" s="31">
        <f>V4+V10+V16+V22+V28+V34+V40+V46</f>
        <v>1615100.0933333333</v>
      </c>
      <c r="W51" s="30"/>
      <c r="X51" s="30"/>
      <c r="Y51" s="31">
        <f>Y4+Y10+Y16+Y22+Y28+Y34+Y40+Y46</f>
        <v>21240</v>
      </c>
      <c r="Z51" s="31">
        <f>Z4+Z10+Z16+Z22+Z28+Z34+Z40+Z46</f>
        <v>72016.39</v>
      </c>
      <c r="AA51" s="31">
        <f>AA4+AA10+AA16+AA22+AA28+AA34+AA40+AA46</f>
        <v>0</v>
      </c>
      <c r="AB51" s="31">
        <f>AB4+AB10+AB16+AB16+AB22+AB28+AB34+AB40+AB46</f>
        <v>12193.5</v>
      </c>
      <c r="AC51" s="31">
        <f t="shared" ref="AC51:AJ51" si="0">AC4+AC10+AC16+AC22+AC28+AC34+AC40+AC46</f>
        <v>14220</v>
      </c>
      <c r="AD51" s="31">
        <f t="shared" si="0"/>
        <v>1948.1400000000003</v>
      </c>
      <c r="AE51" s="31">
        <f t="shared" si="0"/>
        <v>3758.6800000000003</v>
      </c>
      <c r="AF51" s="31">
        <f t="shared" si="0"/>
        <v>1736622.1233333335</v>
      </c>
      <c r="AG51" s="31">
        <f t="shared" si="0"/>
        <v>1875588.0124266667</v>
      </c>
      <c r="AH51" s="31">
        <f t="shared" si="0"/>
        <v>138965.88909333327</v>
      </c>
      <c r="AI51" s="31">
        <f t="shared" si="0"/>
        <v>560</v>
      </c>
      <c r="AJ51" s="31">
        <f t="shared" si="0"/>
        <v>96884.122365333285</v>
      </c>
    </row>
  </sheetData>
  <mergeCells count="2">
    <mergeCell ref="U2:AC2"/>
    <mergeCell ref="A51:E5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7"/>
  <dimension ref="A1:AP27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4.26953125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6" width="16.54296875" customWidth="1"/>
    <col min="38" max="38" width="16.453125" bestFit="1" customWidth="1"/>
    <col min="39" max="39" width="15.7265625" customWidth="1"/>
  </cols>
  <sheetData>
    <row r="1" spans="1:42" ht="15" thickBot="1" x14ac:dyDescent="0.4"/>
    <row r="2" spans="1:42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2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AF27</f>
        <v>3736876.5666666664</v>
      </c>
      <c r="AM3" s="164">
        <f>AH27-AI27</f>
        <v>254581.05533333332</v>
      </c>
    </row>
    <row r="4" spans="1:42" x14ac:dyDescent="0.35">
      <c r="A4" s="20">
        <v>44961</v>
      </c>
      <c r="B4" s="21" t="s">
        <v>330</v>
      </c>
      <c r="C4" s="21" t="s">
        <v>384</v>
      </c>
      <c r="D4" s="44">
        <v>143159</v>
      </c>
      <c r="E4" s="44"/>
      <c r="F4" s="21">
        <v>200</v>
      </c>
      <c r="G4" s="21"/>
      <c r="H4" s="22">
        <v>120600</v>
      </c>
      <c r="I4" s="33">
        <v>0.55000000000000004</v>
      </c>
      <c r="J4" s="24">
        <f>IFERROR(K4/H4,"")</f>
        <v>0.56940298507462683</v>
      </c>
      <c r="K4" s="22">
        <v>68670</v>
      </c>
      <c r="L4" s="21"/>
      <c r="M4" s="21">
        <v>36</v>
      </c>
      <c r="N4" s="21">
        <v>115</v>
      </c>
      <c r="O4" s="21">
        <v>46</v>
      </c>
      <c r="P4" s="21">
        <v>3</v>
      </c>
      <c r="Q4" s="21"/>
      <c r="R4" s="21"/>
      <c r="S4" s="21"/>
      <c r="T4" s="21"/>
      <c r="U4" s="25">
        <v>270</v>
      </c>
      <c r="V4" s="25">
        <f>H4*U4*I4/15</f>
        <v>1193940</v>
      </c>
      <c r="W4" s="25">
        <v>296.23</v>
      </c>
      <c r="X4" s="25">
        <v>1356144.75</v>
      </c>
      <c r="Y4" s="25">
        <f>F4*60</f>
        <v>12000</v>
      </c>
      <c r="Z4" s="25">
        <v>37342.699999999997</v>
      </c>
      <c r="AA4" s="25">
        <v>0</v>
      </c>
      <c r="AB4" s="25">
        <v>5400</v>
      </c>
      <c r="AC4" s="25">
        <f>F4*30</f>
        <v>6000</v>
      </c>
      <c r="AD4" s="25">
        <f>F4*4.11</f>
        <v>822.00000000000011</v>
      </c>
      <c r="AE4" s="25">
        <v>2712.29</v>
      </c>
      <c r="AF4" s="25">
        <f>V4+Y4+Z4+AA4+AB4+AC4+AD4</f>
        <v>1255504.7</v>
      </c>
      <c r="AG4" s="25">
        <f>IFERROR(IFERROR((H4*W4*J4/15)-AE4,""),"")</f>
        <v>1353428.65</v>
      </c>
      <c r="AH4" s="26">
        <f>IFERROR(AG4-AF4,"")</f>
        <v>97923.949999999953</v>
      </c>
      <c r="AI4" s="6">
        <f>IF(F4="",(G4/$F$27)*$AL$20,(F4/$F$27)*$AL$20)</f>
        <v>15242</v>
      </c>
      <c r="AJ4" s="6">
        <f>(AH4-AI4)*70%</f>
        <v>57877.364999999962</v>
      </c>
      <c r="AL4" s="166" t="s">
        <v>749</v>
      </c>
      <c r="AM4" s="167">
        <f>AM3/AL3</f>
        <v>6.8126696397794673E-2</v>
      </c>
    </row>
    <row r="5" spans="1:42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489.61974999999978</v>
      </c>
      <c r="AM5" s="63"/>
    </row>
    <row r="6" spans="1:42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7.2352502660557663E-2</v>
      </c>
      <c r="AM6" s="63"/>
    </row>
    <row r="7" spans="1:42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2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2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</f>
        <v>600</v>
      </c>
      <c r="AM9" s="50" t="s">
        <v>22</v>
      </c>
      <c r="AN9" t="s">
        <v>72</v>
      </c>
    </row>
    <row r="10" spans="1:42" x14ac:dyDescent="0.35">
      <c r="A10" s="20">
        <v>44962</v>
      </c>
      <c r="B10" s="21" t="s">
        <v>330</v>
      </c>
      <c r="C10" s="21" t="s">
        <v>384</v>
      </c>
      <c r="D10" s="44">
        <v>143160</v>
      </c>
      <c r="E10" s="44"/>
      <c r="F10" s="21">
        <v>200</v>
      </c>
      <c r="G10" s="21"/>
      <c r="H10" s="22">
        <v>122120</v>
      </c>
      <c r="I10" s="33">
        <v>0.55000000000000004</v>
      </c>
      <c r="J10" s="24">
        <f>IFERROR(K10/H10,"")</f>
        <v>0.57649033737307565</v>
      </c>
      <c r="K10" s="22">
        <v>70401</v>
      </c>
      <c r="L10" s="21">
        <v>3</v>
      </c>
      <c r="M10" s="21">
        <v>30</v>
      </c>
      <c r="N10" s="21">
        <v>82</v>
      </c>
      <c r="O10" s="21">
        <v>63</v>
      </c>
      <c r="P10" s="21">
        <v>22</v>
      </c>
      <c r="Q10" s="21"/>
      <c r="R10" s="21"/>
      <c r="S10" s="21"/>
      <c r="T10" s="21"/>
      <c r="U10" s="25">
        <v>270</v>
      </c>
      <c r="V10" s="25">
        <f>H10*U10*I10/15</f>
        <v>1208988</v>
      </c>
      <c r="W10" s="25">
        <v>293.48</v>
      </c>
      <c r="X10" s="25">
        <v>1377430.01</v>
      </c>
      <c r="Y10" s="25">
        <f>F10*60</f>
        <v>12000</v>
      </c>
      <c r="Z10" s="25">
        <v>37064.800000000003</v>
      </c>
      <c r="AA10" s="25">
        <v>0</v>
      </c>
      <c r="AB10" s="25">
        <v>5400</v>
      </c>
      <c r="AC10" s="25">
        <f>F10*30</f>
        <v>6000</v>
      </c>
      <c r="AD10" s="25">
        <f>IF(F10="",G10*4.11,F10*4.11)</f>
        <v>822.00000000000011</v>
      </c>
      <c r="AE10" s="25">
        <v>2754.86</v>
      </c>
      <c r="AF10" s="25">
        <f>V10+Y10+Z10+AA10+AB10+AC10+AD10</f>
        <v>1270274.8</v>
      </c>
      <c r="AG10" s="25">
        <f>IFERROR(IFERROR((H10*W10*J10/15)-AE10,""),"")</f>
        <v>1374664.172</v>
      </c>
      <c r="AH10" s="26">
        <f>IFERROR(AG10-AF10,"")</f>
        <v>104389.37199999997</v>
      </c>
      <c r="AI10" s="6">
        <f>IF(F10="",(G10/$F$27)*$AL$20,(F10/$F$27)*$AL$20)</f>
        <v>15242</v>
      </c>
      <c r="AJ10" s="6">
        <f>(AH10-AI10)*70%</f>
        <v>62403.160399999979</v>
      </c>
      <c r="AL10" s="11">
        <f>AH4+AH10+AH16+AH22</f>
        <v>300307.05533333332</v>
      </c>
      <c r="AM10" s="11">
        <f>AL10*30%</f>
        <v>90092.116599999994</v>
      </c>
    </row>
    <row r="11" spans="1:42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521.9468599999999</v>
      </c>
      <c r="AL11" s="11"/>
      <c r="AM11" s="11"/>
    </row>
    <row r="12" spans="1:4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7.5938090281442189E-2</v>
      </c>
    </row>
    <row r="13" spans="1:42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2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80" t="s">
        <v>187</v>
      </c>
      <c r="AM14" s="181" t="s">
        <v>680</v>
      </c>
      <c r="AN14" s="190"/>
      <c r="AO14" s="190"/>
      <c r="AP14" s="191"/>
    </row>
    <row r="15" spans="1:42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187">
        <v>840</v>
      </c>
      <c r="AM15" t="s">
        <v>386</v>
      </c>
      <c r="AP15" s="174"/>
    </row>
    <row r="16" spans="1:42" x14ac:dyDescent="0.35">
      <c r="A16" s="20">
        <v>44963</v>
      </c>
      <c r="B16" s="21" t="s">
        <v>330</v>
      </c>
      <c r="C16" s="21" t="s">
        <v>384</v>
      </c>
      <c r="D16" s="44">
        <v>143161</v>
      </c>
      <c r="E16" s="44"/>
      <c r="F16" s="21">
        <v>100</v>
      </c>
      <c r="G16" s="21"/>
      <c r="H16" s="22">
        <v>59860</v>
      </c>
      <c r="I16" s="33">
        <v>0.55000000000000004</v>
      </c>
      <c r="J16" s="24">
        <f>IFERROR(K16/H16,"")</f>
        <v>0.58459739391914467</v>
      </c>
      <c r="K16" s="22">
        <v>34994</v>
      </c>
      <c r="L16" s="21">
        <v>3</v>
      </c>
      <c r="M16" s="21">
        <v>13</v>
      </c>
      <c r="N16" s="21">
        <v>38</v>
      </c>
      <c r="O16" s="21">
        <v>39</v>
      </c>
      <c r="P16" s="21">
        <v>7</v>
      </c>
      <c r="Q16" s="21"/>
      <c r="R16" s="21"/>
      <c r="S16" s="21"/>
      <c r="T16" s="21"/>
      <c r="U16" s="25">
        <v>270</v>
      </c>
      <c r="V16" s="25">
        <f>H16*U16*I16/15</f>
        <v>592614</v>
      </c>
      <c r="W16" s="25">
        <v>292.35000000000002</v>
      </c>
      <c r="X16" s="25">
        <v>682037.29</v>
      </c>
      <c r="Y16" s="25">
        <f>F16*60</f>
        <v>6000</v>
      </c>
      <c r="Z16" s="25">
        <v>18642.8</v>
      </c>
      <c r="AA16" s="25">
        <v>0</v>
      </c>
      <c r="AB16" s="25">
        <v>2700</v>
      </c>
      <c r="AC16" s="25">
        <f>F16*30</f>
        <v>3000</v>
      </c>
      <c r="AD16" s="25">
        <f>IF(F16="",G16*4.11,F16*4.11)</f>
        <v>411.00000000000006</v>
      </c>
      <c r="AE16" s="25">
        <v>1364.07</v>
      </c>
      <c r="AF16" s="25">
        <f>V16+Y16+Z16+AA16+AB16+AC16+AD16</f>
        <v>623367.80000000005</v>
      </c>
      <c r="AG16" s="25">
        <f>IFERROR(IFERROR((H16*W16*J16/15)-AE16,""),"")</f>
        <v>680668.99000000011</v>
      </c>
      <c r="AH16" s="26">
        <f>IFERROR(AG16-AF16,"")</f>
        <v>57301.190000000061</v>
      </c>
      <c r="AI16" s="6">
        <f>IF(F16="",(G16/$F$27)*$AL$20,(F16/$F$27)*$AL$20)</f>
        <v>7621</v>
      </c>
      <c r="AJ16" s="6">
        <f>(AH16-AI16)*70%</f>
        <v>34776.133000000038</v>
      </c>
      <c r="AL16" s="178">
        <v>1300</v>
      </c>
      <c r="AM16" s="6" t="s">
        <v>417</v>
      </c>
      <c r="AP16" s="174"/>
    </row>
    <row r="17" spans="1:42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573.01190000000065</v>
      </c>
      <c r="AI17" s="47"/>
      <c r="AJ17" s="47"/>
      <c r="AL17" s="178">
        <v>2418</v>
      </c>
      <c r="AM17" t="s">
        <v>418</v>
      </c>
      <c r="AP17" s="174"/>
    </row>
    <row r="18" spans="1:42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8.4183635279168584E-2</v>
      </c>
      <c r="AI18" s="47"/>
      <c r="AJ18" s="47"/>
      <c r="AL18" s="178">
        <v>41168</v>
      </c>
      <c r="AM18" t="s">
        <v>422</v>
      </c>
      <c r="AP18" s="174"/>
    </row>
    <row r="19" spans="1:42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222"/>
      <c r="AP19" s="174"/>
    </row>
    <row r="20" spans="1:42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224">
        <f>SUM(AL15:AL19)</f>
        <v>45726</v>
      </c>
      <c r="AM20" s="225" t="s">
        <v>682</v>
      </c>
      <c r="AN20" s="226"/>
      <c r="AO20" s="226"/>
      <c r="AP20" s="227"/>
    </row>
    <row r="21" spans="1:42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</row>
    <row r="22" spans="1:42" x14ac:dyDescent="0.35">
      <c r="A22" s="20">
        <v>44964</v>
      </c>
      <c r="B22" s="21" t="s">
        <v>415</v>
      </c>
      <c r="C22" s="21" t="s">
        <v>416</v>
      </c>
      <c r="D22" s="44">
        <v>143162</v>
      </c>
      <c r="E22" s="44"/>
      <c r="F22" s="21">
        <v>100</v>
      </c>
      <c r="G22" s="21"/>
      <c r="H22" s="22">
        <v>57760</v>
      </c>
      <c r="I22" s="33">
        <v>0.55000000000000004</v>
      </c>
      <c r="J22" s="24">
        <f>IFERROR(K22/H22,"")</f>
        <v>0.54892659279778389</v>
      </c>
      <c r="K22" s="22">
        <v>31706</v>
      </c>
      <c r="L22" s="21"/>
      <c r="M22" s="21">
        <v>4</v>
      </c>
      <c r="N22" s="21">
        <v>59</v>
      </c>
      <c r="O22" s="21">
        <v>37</v>
      </c>
      <c r="P22" s="21"/>
      <c r="Q22" s="21"/>
      <c r="R22" s="21"/>
      <c r="S22" s="21"/>
      <c r="T22" s="21"/>
      <c r="U22" s="25">
        <v>265</v>
      </c>
      <c r="V22" s="25">
        <f>H22*U22*I22/15</f>
        <v>561234.66666666663</v>
      </c>
      <c r="W22" s="25">
        <v>297.89999999999998</v>
      </c>
      <c r="X22" s="25">
        <v>629675.30000000005</v>
      </c>
      <c r="Y22" s="25">
        <f>F22*30</f>
        <v>3000</v>
      </c>
      <c r="Z22" s="25">
        <v>17433.599999999999</v>
      </c>
      <c r="AA22" s="25">
        <v>0</v>
      </c>
      <c r="AB22" s="25">
        <v>2650</v>
      </c>
      <c r="AC22" s="25">
        <f>F22*30</f>
        <v>3000</v>
      </c>
      <c r="AD22" s="25">
        <f>IF(F22="",G22*4.11,F22*4.11)</f>
        <v>411.00000000000006</v>
      </c>
      <c r="AE22" s="25">
        <v>1259.3499999999999</v>
      </c>
      <c r="AF22" s="25">
        <f>V22+Y22+Z22+AA22+AB22+AC22+AD22</f>
        <v>587729.2666666666</v>
      </c>
      <c r="AG22" s="25">
        <f>IFERROR(IFERROR((H22*W22*J22/15)-AE22,""),"")</f>
        <v>628421.80999999994</v>
      </c>
      <c r="AH22" s="26">
        <f>IFERROR(AG22-AF22,"")</f>
        <v>40692.543333333335</v>
      </c>
      <c r="AI22" s="6">
        <f>IF(F22="",(G22/$F$27)*$AL$20,(F22/$F$27)*$AL$20)</f>
        <v>7621</v>
      </c>
      <c r="AJ22" s="6">
        <f>(AH22-AI22)*70%</f>
        <v>23150.080333333332</v>
      </c>
      <c r="AL22" s="123">
        <f>AL10-AL20</f>
        <v>254581.05533333332</v>
      </c>
      <c r="AM22" s="124" t="s">
        <v>423</v>
      </c>
    </row>
    <row r="23" spans="1:4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406.92543333333333</v>
      </c>
      <c r="AI23" s="47"/>
      <c r="AJ23" s="47"/>
      <c r="AL23" s="121">
        <f>AL22*30%</f>
        <v>76374.316599999991</v>
      </c>
      <c r="AM23" s="122" t="s">
        <v>424</v>
      </c>
    </row>
    <row r="24" spans="1:42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6.4753550379375496E-2</v>
      </c>
      <c r="AI24" s="47"/>
      <c r="AJ24" s="47"/>
    </row>
    <row r="25" spans="1:42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  <c r="AI25" s="47"/>
      <c r="AJ25" s="47"/>
    </row>
    <row r="26" spans="1:42" ht="15" thickBot="1" x14ac:dyDescent="0.4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  <c r="AI26" s="47"/>
      <c r="AJ26" s="47"/>
    </row>
    <row r="27" spans="1:42" ht="16" thickBot="1" x14ac:dyDescent="0.4">
      <c r="A27" s="377" t="s">
        <v>414</v>
      </c>
      <c r="B27" s="378"/>
      <c r="C27" s="378"/>
      <c r="D27" s="378"/>
      <c r="E27" s="378"/>
      <c r="F27" s="30">
        <f>SUM(F4:G22)</f>
        <v>600</v>
      </c>
      <c r="G27" s="30"/>
      <c r="H27" s="30"/>
      <c r="I27" s="30"/>
      <c r="J27" s="30"/>
      <c r="K27" s="30"/>
      <c r="L27" s="46"/>
      <c r="M27" s="46"/>
      <c r="N27" s="46"/>
      <c r="O27" s="46"/>
      <c r="P27" s="46"/>
      <c r="Q27" s="46"/>
      <c r="R27" s="46"/>
      <c r="S27" s="46"/>
      <c r="T27" s="46"/>
      <c r="U27" s="30"/>
      <c r="V27" s="31">
        <f>V4+V10+V16+V22</f>
        <v>3556776.6666666665</v>
      </c>
      <c r="W27" s="30"/>
      <c r="X27" s="30"/>
      <c r="Y27" s="31">
        <f>Y4+Y10+Y16+Y22</f>
        <v>33000</v>
      </c>
      <c r="Z27" s="31">
        <f>Z4+Z10+Z16+Z22</f>
        <v>110483.9</v>
      </c>
      <c r="AA27" s="31">
        <f>AA4+AA10+AA16+AA22</f>
        <v>0</v>
      </c>
      <c r="AB27" s="31">
        <f>AB4+AB10+AB16+AB16+AB22</f>
        <v>18850</v>
      </c>
      <c r="AC27" s="31">
        <f t="shared" ref="AC27:AJ27" si="0">AC4+AC10+AC16+AC22</f>
        <v>18000</v>
      </c>
      <c r="AD27" s="31">
        <f t="shared" si="0"/>
        <v>2466.0000000000005</v>
      </c>
      <c r="AE27" s="31">
        <f t="shared" si="0"/>
        <v>8090.57</v>
      </c>
      <c r="AF27" s="31">
        <f t="shared" si="0"/>
        <v>3736876.5666666664</v>
      </c>
      <c r="AG27" s="31">
        <f t="shared" si="0"/>
        <v>4037183.622</v>
      </c>
      <c r="AH27" s="31">
        <f t="shared" si="0"/>
        <v>300307.05533333332</v>
      </c>
      <c r="AI27" s="31">
        <f t="shared" si="0"/>
        <v>45726</v>
      </c>
      <c r="AJ27" s="31">
        <f t="shared" si="0"/>
        <v>178206.7387333333</v>
      </c>
    </row>
  </sheetData>
  <mergeCells count="2">
    <mergeCell ref="U2:AC2"/>
    <mergeCell ref="A27:E2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8"/>
  <dimension ref="A1:BI45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4.26953125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bestFit="1" customWidth="1"/>
    <col min="39" max="39" width="15.7265625" customWidth="1"/>
  </cols>
  <sheetData>
    <row r="1" spans="1:42" ht="15" thickBot="1" x14ac:dyDescent="0.4"/>
    <row r="2" spans="1:42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2" x14ac:dyDescent="0.35">
      <c r="A3" s="37" t="s">
        <v>1</v>
      </c>
      <c r="B3" s="37" t="s">
        <v>2</v>
      </c>
      <c r="C3" s="37" t="s">
        <v>110</v>
      </c>
      <c r="D3" s="37" t="s">
        <v>66</v>
      </c>
      <c r="E3" s="37" t="s">
        <v>32</v>
      </c>
      <c r="F3" s="37" t="s">
        <v>137</v>
      </c>
      <c r="G3" s="37" t="s">
        <v>138</v>
      </c>
      <c r="H3" s="37" t="s">
        <v>4</v>
      </c>
      <c r="I3" s="37" t="s">
        <v>5</v>
      </c>
      <c r="J3" s="37" t="s">
        <v>6</v>
      </c>
      <c r="K3" s="37" t="s">
        <v>7</v>
      </c>
      <c r="L3" s="37" t="s">
        <v>279</v>
      </c>
      <c r="M3" s="37" t="s">
        <v>280</v>
      </c>
      <c r="N3" s="37" t="s">
        <v>281</v>
      </c>
      <c r="O3" s="37" t="s">
        <v>282</v>
      </c>
      <c r="P3" s="37" t="s">
        <v>283</v>
      </c>
      <c r="Q3" s="37" t="s">
        <v>284</v>
      </c>
      <c r="R3" s="37" t="s">
        <v>904</v>
      </c>
      <c r="S3" s="37" t="s">
        <v>285</v>
      </c>
      <c r="T3" s="37" t="s">
        <v>289</v>
      </c>
      <c r="U3" s="37" t="s">
        <v>8</v>
      </c>
      <c r="V3" s="37" t="s">
        <v>9</v>
      </c>
      <c r="W3" s="37" t="s">
        <v>10</v>
      </c>
      <c r="X3" s="37" t="s">
        <v>100</v>
      </c>
      <c r="Y3" s="37" t="s">
        <v>106</v>
      </c>
      <c r="Z3" s="37" t="s">
        <v>12</v>
      </c>
      <c r="AA3" s="37" t="s">
        <v>258</v>
      </c>
      <c r="AB3" s="37" t="s">
        <v>13</v>
      </c>
      <c r="AC3" s="37" t="s">
        <v>74</v>
      </c>
      <c r="AD3" s="37" t="s">
        <v>21</v>
      </c>
      <c r="AE3" s="37" t="s">
        <v>14</v>
      </c>
      <c r="AF3" s="37" t="s">
        <v>15</v>
      </c>
      <c r="AG3" s="37" t="s">
        <v>16</v>
      </c>
      <c r="AH3" s="15" t="s">
        <v>17</v>
      </c>
      <c r="AI3" s="14" t="s">
        <v>679</v>
      </c>
      <c r="AJ3" s="14" t="s">
        <v>678</v>
      </c>
      <c r="AL3" s="164">
        <f>AF45</f>
        <v>3663915.7133333334</v>
      </c>
      <c r="AM3" s="164">
        <f>AH45-AI45</f>
        <v>450457.50581999979</v>
      </c>
    </row>
    <row r="4" spans="1:42" x14ac:dyDescent="0.35">
      <c r="A4" s="38">
        <v>44968</v>
      </c>
      <c r="B4" s="39" t="s">
        <v>419</v>
      </c>
      <c r="C4" s="39" t="s">
        <v>237</v>
      </c>
      <c r="D4" s="45">
        <v>143715</v>
      </c>
      <c r="E4" s="45"/>
      <c r="F4" s="39">
        <v>190</v>
      </c>
      <c r="G4" s="39"/>
      <c r="H4" s="40">
        <v>87160</v>
      </c>
      <c r="I4" s="53">
        <v>0.54</v>
      </c>
      <c r="J4" s="42">
        <f>IFERROR(K4/H4,"")</f>
        <v>0.56028568150527769</v>
      </c>
      <c r="K4" s="40">
        <v>48834.5</v>
      </c>
      <c r="L4" s="39">
        <v>15</v>
      </c>
      <c r="M4" s="39">
        <v>77</v>
      </c>
      <c r="N4" s="39">
        <v>82</v>
      </c>
      <c r="O4" s="39">
        <v>16</v>
      </c>
      <c r="P4" s="39"/>
      <c r="Q4" s="39"/>
      <c r="R4" s="39"/>
      <c r="S4" s="39"/>
      <c r="T4" s="39"/>
      <c r="U4" s="43">
        <v>270</v>
      </c>
      <c r="V4" s="43">
        <f>H4*U4*I4/15</f>
        <v>847195.2</v>
      </c>
      <c r="W4" s="43">
        <v>305.82</v>
      </c>
      <c r="X4" s="43">
        <v>995640.33</v>
      </c>
      <c r="Y4" s="43">
        <f>F4*60</f>
        <v>11400</v>
      </c>
      <c r="Z4" s="43">
        <v>37549.599999999999</v>
      </c>
      <c r="AA4" s="43">
        <v>0</v>
      </c>
      <c r="AB4" s="43">
        <v>5130</v>
      </c>
      <c r="AC4" s="43">
        <f>F4*30</f>
        <v>5700</v>
      </c>
      <c r="AD4" s="43">
        <f>F4*4.11</f>
        <v>780.90000000000009</v>
      </c>
      <c r="AE4" s="43">
        <v>1991.29</v>
      </c>
      <c r="AF4" s="43">
        <f>V4+Y4+Z4+AA4+AB4+AC4+AD4</f>
        <v>907755.7</v>
      </c>
      <c r="AG4" s="43">
        <f>IFERROR(IFERROR((H4*W4*J4/15)-AE4,""),"")</f>
        <v>993646.49600000004</v>
      </c>
      <c r="AH4" s="26">
        <f>IFERROR(AG4-AF4,"")</f>
        <v>85890.796000000089</v>
      </c>
      <c r="AI4" s="6">
        <f>IF(F4="",(G4/$F$45)*$AL$21,(F4/$F$45)*$AL$21)</f>
        <v>7796.1701282051281</v>
      </c>
      <c r="AJ4" s="6">
        <f>(AH4-AI4)*70%</f>
        <v>54666.238110256476</v>
      </c>
      <c r="AL4" s="166" t="s">
        <v>749</v>
      </c>
      <c r="AM4" s="167">
        <f>AM3/AL3</f>
        <v>0.12294428722274986</v>
      </c>
    </row>
    <row r="5" spans="1:42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452.05682105263207</v>
      </c>
      <c r="AM5" s="63"/>
    </row>
    <row r="6" spans="1:42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8.6439992840270721E-2</v>
      </c>
      <c r="AM6" s="63"/>
    </row>
    <row r="7" spans="1:42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2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2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</f>
        <v>780</v>
      </c>
      <c r="AM9" s="50" t="s">
        <v>22</v>
      </c>
      <c r="AN9" t="s">
        <v>72</v>
      </c>
    </row>
    <row r="10" spans="1:42" x14ac:dyDescent="0.35">
      <c r="A10" s="20">
        <v>44969</v>
      </c>
      <c r="B10" s="21" t="s">
        <v>419</v>
      </c>
      <c r="C10" s="21" t="s">
        <v>237</v>
      </c>
      <c r="D10" s="44">
        <v>143710</v>
      </c>
      <c r="E10" s="44"/>
      <c r="F10" s="21">
        <v>110</v>
      </c>
      <c r="G10" s="21"/>
      <c r="H10" s="22">
        <v>50580</v>
      </c>
      <c r="I10" s="33">
        <v>0.54</v>
      </c>
      <c r="J10" s="24">
        <f>IFERROR(K10/H10,"")</f>
        <v>0.5553776196124951</v>
      </c>
      <c r="K10" s="22">
        <v>28091</v>
      </c>
      <c r="L10" s="21">
        <v>10</v>
      </c>
      <c r="M10" s="21">
        <v>68</v>
      </c>
      <c r="N10" s="21">
        <v>27</v>
      </c>
      <c r="O10" s="21">
        <v>5</v>
      </c>
      <c r="P10" s="21"/>
      <c r="Q10" s="21"/>
      <c r="R10" s="21"/>
      <c r="S10" s="21"/>
      <c r="T10" s="21"/>
      <c r="U10" s="25">
        <v>270</v>
      </c>
      <c r="V10" s="25">
        <f>H10*U10*I10/15</f>
        <v>491637.60000000003</v>
      </c>
      <c r="W10" s="25">
        <v>308.5</v>
      </c>
      <c r="X10" s="25">
        <v>577742.12</v>
      </c>
      <c r="Y10" s="25">
        <f>F10*60</f>
        <v>6600</v>
      </c>
      <c r="Z10" s="25">
        <v>21202</v>
      </c>
      <c r="AA10" s="25">
        <v>0</v>
      </c>
      <c r="AB10" s="25">
        <v>2970</v>
      </c>
      <c r="AC10" s="25">
        <f>F10*30</f>
        <v>3300</v>
      </c>
      <c r="AD10" s="25">
        <f>IF(F10="",G10*4.11,F10*4.11)</f>
        <v>452.1</v>
      </c>
      <c r="AE10" s="25">
        <v>1155.48</v>
      </c>
      <c r="AF10" s="25">
        <f>V10+Y10+Z10+AA10+AB10+AC10+AD10</f>
        <v>526161.70000000007</v>
      </c>
      <c r="AG10" s="25">
        <f>IFERROR(IFERROR((H10*W10*J10/15)-AE10,""),"")</f>
        <v>576582.7533333333</v>
      </c>
      <c r="AH10" s="26">
        <f>IFERROR(AG10-AF10,"")</f>
        <v>50421.053333333228</v>
      </c>
      <c r="AI10" s="6">
        <f>IF(F10="",(G10/$F$45)*$AL$21,(F10/$F$45)*$AL$21)</f>
        <v>4513.5721794871797</v>
      </c>
      <c r="AJ10" s="6">
        <f>(AH10-AI10)*70%</f>
        <v>32135.236807692232</v>
      </c>
      <c r="AL10" s="11">
        <f>AH4+AH10+AH16+AH22+AH28+AH34+AH40</f>
        <v>482462.8358199998</v>
      </c>
      <c r="AM10" s="11">
        <f>AL10*30%</f>
        <v>144738.85074599992</v>
      </c>
    </row>
    <row r="11" spans="1:42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458.37321212121117</v>
      </c>
      <c r="AL11" s="11"/>
      <c r="AM11" s="11"/>
    </row>
    <row r="12" spans="1:4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8.7448077560141432E-2</v>
      </c>
    </row>
    <row r="13" spans="1:42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2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77" t="s">
        <v>187</v>
      </c>
      <c r="AM14" s="181" t="s">
        <v>680</v>
      </c>
      <c r="AN14" s="181"/>
      <c r="AO14" s="181"/>
      <c r="AP14" s="182"/>
    </row>
    <row r="15" spans="1:42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178">
        <v>0</v>
      </c>
      <c r="AP15" s="174"/>
    </row>
    <row r="16" spans="1:42" x14ac:dyDescent="0.35">
      <c r="A16" s="20">
        <v>44970</v>
      </c>
      <c r="B16" s="21" t="s">
        <v>255</v>
      </c>
      <c r="C16" s="21" t="s">
        <v>195</v>
      </c>
      <c r="D16" s="44">
        <v>143712</v>
      </c>
      <c r="E16" s="44"/>
      <c r="F16" s="21"/>
      <c r="G16" s="21">
        <v>65</v>
      </c>
      <c r="H16" s="22">
        <v>21640</v>
      </c>
      <c r="I16" s="33">
        <v>0.5</v>
      </c>
      <c r="J16" s="24">
        <f>IFERROR(K16/H16,"")</f>
        <v>0.50332717190388165</v>
      </c>
      <c r="K16" s="22">
        <v>10892</v>
      </c>
      <c r="L16" s="21">
        <v>46</v>
      </c>
      <c r="M16" s="21">
        <v>19</v>
      </c>
      <c r="N16" s="21"/>
      <c r="O16" s="21"/>
      <c r="P16" s="21"/>
      <c r="Q16" s="21"/>
      <c r="R16" s="21"/>
      <c r="S16" s="21"/>
      <c r="T16" s="21"/>
      <c r="U16" s="25">
        <v>240</v>
      </c>
      <c r="V16" s="25">
        <f>H16*U16*I16/15</f>
        <v>173120</v>
      </c>
      <c r="W16" s="25">
        <v>304</v>
      </c>
      <c r="X16" s="25">
        <v>220744.59</v>
      </c>
      <c r="Y16" s="25">
        <v>0</v>
      </c>
      <c r="Z16" s="25">
        <v>8392.7999999999993</v>
      </c>
      <c r="AA16" s="25">
        <v>0</v>
      </c>
      <c r="AB16" s="25">
        <v>1560</v>
      </c>
      <c r="AC16" s="25">
        <f>G16*30</f>
        <v>1950</v>
      </c>
      <c r="AD16" s="25">
        <f>IF(F16="",G16*4.11,F16*4.11)</f>
        <v>267.15000000000003</v>
      </c>
      <c r="AE16" s="25">
        <v>441.49</v>
      </c>
      <c r="AF16" s="25">
        <f>V16+Y16+Z16+AA16+AB16+AC16+AD16</f>
        <v>185289.94999999998</v>
      </c>
      <c r="AG16" s="25">
        <f>IFERROR(IFERROR((H16*W16*J16/15)-AE16,""),"")</f>
        <v>220303.04333333331</v>
      </c>
      <c r="AH16" s="26">
        <f>IFERROR(AG16-AF16,"")</f>
        <v>35013.093333333323</v>
      </c>
      <c r="AI16" s="6">
        <f>IF(F16="",(G16/$F$45)*$AL$21,(F16/$F$45)*$AL$21)</f>
        <v>2667.1108333333332</v>
      </c>
      <c r="AJ16" s="6">
        <f>(AH16-AI16)*70%</f>
        <v>22642.187749999994</v>
      </c>
      <c r="AL16" s="178">
        <v>14161.77</v>
      </c>
      <c r="AM16" s="6" t="s">
        <v>427</v>
      </c>
      <c r="AP16" s="174"/>
    </row>
    <row r="17" spans="1:42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538.66297435897422</v>
      </c>
      <c r="AI17" s="47"/>
      <c r="AJ17" s="47"/>
      <c r="AL17" s="178">
        <v>11675</v>
      </c>
      <c r="AM17" t="s">
        <v>667</v>
      </c>
      <c r="AP17" s="174"/>
    </row>
    <row r="18" spans="1:42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0.15893150091601849</v>
      </c>
      <c r="AI18" s="47"/>
      <c r="AJ18" s="47"/>
      <c r="AL18" s="178">
        <v>2118.56</v>
      </c>
      <c r="AM18" t="s">
        <v>433</v>
      </c>
      <c r="AP18" s="174"/>
    </row>
    <row r="19" spans="1:42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178">
        <v>4050</v>
      </c>
      <c r="AM19" t="s">
        <v>432</v>
      </c>
      <c r="AP19" s="174"/>
    </row>
    <row r="20" spans="1:42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78"/>
      <c r="AP20" s="174"/>
    </row>
    <row r="21" spans="1:42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223">
        <f>SUM(AL15:AL20)</f>
        <v>32005.33</v>
      </c>
      <c r="AM21" s="228" t="s">
        <v>682</v>
      </c>
      <c r="AN21" s="229"/>
      <c r="AO21" s="229"/>
      <c r="AP21" s="230"/>
    </row>
    <row r="22" spans="1:42" x14ac:dyDescent="0.35">
      <c r="A22" s="20">
        <v>44970</v>
      </c>
      <c r="B22" s="21" t="s">
        <v>419</v>
      </c>
      <c r="C22" s="21" t="s">
        <v>141</v>
      </c>
      <c r="D22" s="44">
        <v>143711</v>
      </c>
      <c r="E22" s="44"/>
      <c r="F22" s="21"/>
      <c r="G22" s="21">
        <v>65</v>
      </c>
      <c r="H22" s="22">
        <v>20320</v>
      </c>
      <c r="I22" s="33">
        <v>0.5</v>
      </c>
      <c r="J22" s="24">
        <f>IFERROR(K22/H22,"")</f>
        <v>0.5183562992125984</v>
      </c>
      <c r="K22" s="22">
        <v>10533</v>
      </c>
      <c r="L22" s="21">
        <v>49</v>
      </c>
      <c r="M22" s="21">
        <v>15</v>
      </c>
      <c r="N22" s="21">
        <v>1</v>
      </c>
      <c r="O22" s="21"/>
      <c r="P22" s="21"/>
      <c r="Q22" s="21"/>
      <c r="R22" s="21"/>
      <c r="S22" s="21"/>
      <c r="T22" s="21"/>
      <c r="U22" s="25">
        <v>240</v>
      </c>
      <c r="V22" s="25">
        <f>H22*U22*I22/15</f>
        <v>162560</v>
      </c>
      <c r="W22" s="25">
        <v>303.01</v>
      </c>
      <c r="X22" s="25">
        <v>212776.53</v>
      </c>
      <c r="Y22" s="25">
        <f>G22*60</f>
        <v>3900</v>
      </c>
      <c r="Z22" s="25">
        <v>7751.3</v>
      </c>
      <c r="AA22" s="25">
        <v>0</v>
      </c>
      <c r="AB22" s="25">
        <v>1560</v>
      </c>
      <c r="AC22" s="25">
        <f>G22*30</f>
        <v>1950</v>
      </c>
      <c r="AD22" s="25">
        <f>IF(F22="",G22*4.11,F22*4.11)</f>
        <v>267.15000000000003</v>
      </c>
      <c r="AE22" s="25">
        <v>425.56</v>
      </c>
      <c r="AF22" s="25">
        <f>V22+Y22+Z22+AA22+AB22+AC22+AD22</f>
        <v>177988.44999999998</v>
      </c>
      <c r="AG22" s="25">
        <f>IFERROR(IFERROR((H22*W22*J22/15)-AE22,""),"")</f>
        <v>212348.06200000001</v>
      </c>
      <c r="AH22" s="26">
        <f>IFERROR(AG22-AF22,"")</f>
        <v>34359.612000000023</v>
      </c>
      <c r="AI22" s="6">
        <f>IF(F22="",(G22/$F$45)*$AL$21,(F22/$F$45)*$AL$21)</f>
        <v>2667.1108333333332</v>
      </c>
      <c r="AJ22" s="6">
        <f>(AH22-AI22)*70%</f>
        <v>22184.750816666681</v>
      </c>
    </row>
    <row r="23" spans="1:4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AH22/G22</f>
        <v>528.60941538461577</v>
      </c>
      <c r="AL23" s="59">
        <f>AL10-AL21</f>
        <v>450457.50581999979</v>
      </c>
      <c r="AM23" s="129" t="s">
        <v>423</v>
      </c>
    </row>
    <row r="24" spans="1:42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0.16180798485460168</v>
      </c>
      <c r="AL24" s="127">
        <f>AL23*30%</f>
        <v>135137.25174599994</v>
      </c>
      <c r="AM24" s="128" t="s">
        <v>424</v>
      </c>
    </row>
    <row r="25" spans="1:42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  <c r="AI25" s="47"/>
      <c r="AJ25" s="47"/>
      <c r="AL25" s="57"/>
    </row>
    <row r="26" spans="1:42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  <c r="AI26" s="47"/>
      <c r="AJ26" s="47"/>
    </row>
    <row r="27" spans="1:42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</row>
    <row r="28" spans="1:42" x14ac:dyDescent="0.35">
      <c r="A28" s="20">
        <v>44970</v>
      </c>
      <c r="B28" s="21" t="s">
        <v>420</v>
      </c>
      <c r="C28" s="21" t="s">
        <v>421</v>
      </c>
      <c r="D28" s="44">
        <v>143714</v>
      </c>
      <c r="E28" s="44"/>
      <c r="F28" s="21">
        <v>200</v>
      </c>
      <c r="G28" s="21"/>
      <c r="H28" s="22">
        <v>104810</v>
      </c>
      <c r="I28" s="33">
        <v>0.54</v>
      </c>
      <c r="J28" s="24">
        <f>IFERROR(K28/H28,"")</f>
        <v>0.55454155137868522</v>
      </c>
      <c r="K28" s="22">
        <v>58121.5</v>
      </c>
      <c r="L28" s="21">
        <v>102</v>
      </c>
      <c r="M28" s="21">
        <v>92</v>
      </c>
      <c r="N28" s="21">
        <v>4</v>
      </c>
      <c r="O28" s="21">
        <v>2</v>
      </c>
      <c r="P28" s="21"/>
      <c r="Q28" s="21"/>
      <c r="R28" s="21"/>
      <c r="S28" s="21"/>
      <c r="T28" s="21"/>
      <c r="U28" s="25">
        <v>245</v>
      </c>
      <c r="V28" s="25">
        <f>H28*U28*I28/15</f>
        <v>924424.2</v>
      </c>
      <c r="W28" s="25">
        <v>311.77</v>
      </c>
      <c r="X28" s="25">
        <v>1208015.6499999999</v>
      </c>
      <c r="Y28" s="25">
        <f>F28*80</f>
        <v>16000</v>
      </c>
      <c r="Z28" s="25">
        <v>89242.9</v>
      </c>
      <c r="AA28" s="25">
        <v>0</v>
      </c>
      <c r="AB28" s="25">
        <v>4900</v>
      </c>
      <c r="AC28" s="25">
        <f>F28*30</f>
        <v>6000</v>
      </c>
      <c r="AD28" s="25">
        <f>IF(F28="",G28*4.11,F28*4.11)</f>
        <v>822.00000000000011</v>
      </c>
      <c r="AE28" s="25">
        <v>2416.02</v>
      </c>
      <c r="AF28" s="25">
        <f>V28+Y28+Z28+AA28+AB28+AC28+AD28</f>
        <v>1041389.1</v>
      </c>
      <c r="AG28" s="25">
        <f>IFERROR(IFERROR((H28*W28*J28/15)-AE28,""),"")</f>
        <v>1205619.9836666666</v>
      </c>
      <c r="AH28" s="26">
        <f>IFERROR(AG28-AF28,"")</f>
        <v>164230.88366666657</v>
      </c>
      <c r="AI28" s="6">
        <f>IF(F28="",(G28/$F$45)*$AL$21,(F28/$F$45)*$AL$21)</f>
        <v>8206.4948717948719</v>
      </c>
      <c r="AJ28" s="6">
        <f>(AH28-AI28)*70%</f>
        <v>109217.07215641017</v>
      </c>
    </row>
    <row r="29" spans="1:42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821.15441833333284</v>
      </c>
      <c r="AI29" s="47"/>
      <c r="AJ29" s="47"/>
    </row>
    <row r="30" spans="1:42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0.13622110274515292</v>
      </c>
      <c r="AI30" s="47"/>
      <c r="AJ30" s="47"/>
    </row>
    <row r="31" spans="1:42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</row>
    <row r="32" spans="1:42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</row>
    <row r="33" spans="1:6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61" x14ac:dyDescent="0.35">
      <c r="A34" s="20">
        <v>44971</v>
      </c>
      <c r="B34" s="21" t="s">
        <v>420</v>
      </c>
      <c r="C34" s="21" t="s">
        <v>421</v>
      </c>
      <c r="D34" s="44">
        <v>143708</v>
      </c>
      <c r="E34" s="44"/>
      <c r="F34" s="21">
        <v>50</v>
      </c>
      <c r="G34" s="21"/>
      <c r="H34" s="22">
        <v>26310</v>
      </c>
      <c r="I34" s="33">
        <v>0.54</v>
      </c>
      <c r="J34" s="24">
        <f>IFERROR(K34/H34,"")</f>
        <v>0.57283656404408967</v>
      </c>
      <c r="K34" s="22">
        <v>15071.33</v>
      </c>
      <c r="L34" s="21"/>
      <c r="M34" s="21">
        <v>50</v>
      </c>
      <c r="N34" s="21"/>
      <c r="O34" s="21"/>
      <c r="P34" s="21"/>
      <c r="Q34" s="21"/>
      <c r="R34" s="21"/>
      <c r="S34" s="21"/>
      <c r="T34" s="21"/>
      <c r="U34" s="25">
        <v>245</v>
      </c>
      <c r="V34" s="25">
        <f>H34*U34*I34/15</f>
        <v>232054.2</v>
      </c>
      <c r="W34" s="25">
        <v>311.77</v>
      </c>
      <c r="X34" s="25">
        <v>313250.98</v>
      </c>
      <c r="Y34" s="25">
        <f>F34*80</f>
        <v>4000</v>
      </c>
      <c r="Z34" s="25">
        <v>24067.759999999998</v>
      </c>
      <c r="AA34" s="25"/>
      <c r="AB34" s="25">
        <v>1225</v>
      </c>
      <c r="AC34" s="25">
        <f>F34*30</f>
        <v>1500</v>
      </c>
      <c r="AD34" s="25">
        <f>IF(F34="",G34*4.11,F34*4.11)</f>
        <v>205.50000000000003</v>
      </c>
      <c r="AE34" s="25">
        <v>626.5</v>
      </c>
      <c r="AF34" s="25">
        <f>V34+Y34+Z34+AA34+AB34+AC34+AD34</f>
        <v>263052.46000000002</v>
      </c>
      <c r="AG34" s="25">
        <f>IFERROR(IFERROR((H34*W34*J34/15)-AE34,""),"")</f>
        <v>312626.07027333329</v>
      </c>
      <c r="AH34" s="26">
        <f>IFERROR(AG34-AF34,"")</f>
        <v>49573.610273333266</v>
      </c>
      <c r="AI34" s="6">
        <f>IF(F34="",(G34/$F$45)*$AL$21,(F34/$F$45)*$AL$21)</f>
        <v>2051.623717948718</v>
      </c>
      <c r="AJ34" s="6">
        <f>(AH34-AI34)*70%</f>
        <v>33265.39058876918</v>
      </c>
    </row>
    <row r="35" spans="1:6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991.47220546666529</v>
      </c>
    </row>
    <row r="36" spans="1:6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0.15857158115441355</v>
      </c>
    </row>
    <row r="37" spans="1:6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61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61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269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47"/>
    </row>
    <row r="40" spans="1:61" x14ac:dyDescent="0.35">
      <c r="A40" s="20">
        <v>44971</v>
      </c>
      <c r="B40" s="21" t="s">
        <v>420</v>
      </c>
      <c r="C40" s="21" t="s">
        <v>421</v>
      </c>
      <c r="D40" s="44">
        <v>143708</v>
      </c>
      <c r="E40" s="44"/>
      <c r="F40" s="21">
        <v>100</v>
      </c>
      <c r="G40" s="21"/>
      <c r="H40" s="22">
        <v>55690</v>
      </c>
      <c r="I40" s="33">
        <v>0.55000000000000004</v>
      </c>
      <c r="J40" s="24">
        <f>IFERROR(K40/H40,"")</f>
        <v>0.54125803555395946</v>
      </c>
      <c r="K40" s="22">
        <v>30142.66</v>
      </c>
      <c r="L40" s="21">
        <v>37</v>
      </c>
      <c r="M40" s="21">
        <v>34</v>
      </c>
      <c r="N40" s="21">
        <v>25</v>
      </c>
      <c r="O40" s="21">
        <v>4</v>
      </c>
      <c r="P40" s="21"/>
      <c r="Q40" s="21"/>
      <c r="R40" s="21"/>
      <c r="S40" s="21"/>
      <c r="T40" s="21"/>
      <c r="U40" s="25">
        <v>245</v>
      </c>
      <c r="V40" s="25">
        <f>H40*U40*I40/15</f>
        <v>500281.83333333337</v>
      </c>
      <c r="W40" s="25">
        <v>311.77</v>
      </c>
      <c r="X40" s="25">
        <v>626501.96</v>
      </c>
      <c r="Y40" s="25">
        <f>F40*80</f>
        <v>8000</v>
      </c>
      <c r="Z40" s="25">
        <v>48135.519999999997</v>
      </c>
      <c r="AA40" s="25">
        <v>0</v>
      </c>
      <c r="AB40" s="25">
        <v>2450</v>
      </c>
      <c r="AC40" s="25">
        <f>F40*30</f>
        <v>3000</v>
      </c>
      <c r="AD40" s="25">
        <f>IF(F40="",G40*4.11,F40*4.11)</f>
        <v>411.00000000000006</v>
      </c>
      <c r="AE40" s="25">
        <v>1253</v>
      </c>
      <c r="AF40" s="25">
        <f>V40+Y40+Z40+AA40+AB40+AC40+AD40</f>
        <v>562278.35333333339</v>
      </c>
      <c r="AG40" s="25">
        <f>IFERROR(IFERROR((H40*W40*J40/15)-AE40,""),"")</f>
        <v>625252.14054666669</v>
      </c>
      <c r="AH40" s="26">
        <f>IFERROR(AG40-AF40,"")</f>
        <v>62973.7872133333</v>
      </c>
      <c r="AI40" s="6">
        <f>IF(F40="",(G40/$F$45)*$AL$21,(F40/$F$45)*$AL$21)</f>
        <v>4103.2474358974359</v>
      </c>
      <c r="AJ40" s="6">
        <f>(AH40-AI40)*70%</f>
        <v>41209.377844205104</v>
      </c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47"/>
    </row>
    <row r="41" spans="1:6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629.73787213333298</v>
      </c>
      <c r="AI41" s="47"/>
      <c r="AJ41" s="47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4"/>
    </row>
    <row r="42" spans="1:6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0.10071742762571663</v>
      </c>
      <c r="AI42" s="47"/>
      <c r="AJ42" s="47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4"/>
    </row>
    <row r="43" spans="1:61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4"/>
    </row>
    <row r="44" spans="1:61" ht="15" thickBot="1" x14ac:dyDescent="0.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4"/>
    </row>
    <row r="45" spans="1:61" ht="16" thickBot="1" x14ac:dyDescent="0.4">
      <c r="A45" s="377" t="s">
        <v>414</v>
      </c>
      <c r="B45" s="378"/>
      <c r="C45" s="378"/>
      <c r="D45" s="378"/>
      <c r="E45" s="378"/>
      <c r="F45" s="30">
        <f>SUM(F4:G40)</f>
        <v>780</v>
      </c>
      <c r="G45" s="30"/>
      <c r="H45" s="30"/>
      <c r="I45" s="30"/>
      <c r="J45" s="30"/>
      <c r="K45" s="30"/>
      <c r="L45" s="46"/>
      <c r="M45" s="46"/>
      <c r="N45" s="46"/>
      <c r="O45" s="46"/>
      <c r="P45" s="46"/>
      <c r="Q45" s="46"/>
      <c r="R45" s="46"/>
      <c r="S45" s="46"/>
      <c r="T45" s="46"/>
      <c r="U45" s="30"/>
      <c r="V45" s="31">
        <f>V4+V10+V16+V22+V28+V34+V40</f>
        <v>3331273.0333333337</v>
      </c>
      <c r="W45" s="30"/>
      <c r="X45" s="30"/>
      <c r="Y45" s="31">
        <f>Y4+Y10+Y16+Y22+Y28+Y34+Y40</f>
        <v>49900</v>
      </c>
      <c r="Z45" s="31">
        <f>Z4+Z10+Z16+Z22+Z28+Z34+Z40</f>
        <v>236341.87999999998</v>
      </c>
      <c r="AA45" s="31">
        <f>AA4+AA10+AA16+AA22+AA28+AA34+AA40</f>
        <v>0</v>
      </c>
      <c r="AB45" s="31">
        <f>AB4+AB10+AB16+AB16+AB22+AB28+AB34+AB40</f>
        <v>21355</v>
      </c>
      <c r="AC45" s="31">
        <f t="shared" ref="AC45:AJ45" si="0">AC4+AC10+AC16+AC22+AC28+AC34+AC40</f>
        <v>23400</v>
      </c>
      <c r="AD45" s="31">
        <f t="shared" si="0"/>
        <v>3205.8</v>
      </c>
      <c r="AE45" s="31">
        <f t="shared" si="0"/>
        <v>8309.34</v>
      </c>
      <c r="AF45" s="31">
        <f t="shared" si="0"/>
        <v>3663915.7133333334</v>
      </c>
      <c r="AG45" s="31">
        <f t="shared" si="0"/>
        <v>4146378.5491533326</v>
      </c>
      <c r="AH45" s="31">
        <f t="shared" si="0"/>
        <v>482462.8358199998</v>
      </c>
      <c r="AI45" s="31">
        <f t="shared" si="0"/>
        <v>32005.329999999998</v>
      </c>
      <c r="AJ45" s="31">
        <f t="shared" si="0"/>
        <v>315320.25407399988</v>
      </c>
    </row>
  </sheetData>
  <mergeCells count="2">
    <mergeCell ref="U2:AC2"/>
    <mergeCell ref="A45:E4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9"/>
  <dimension ref="A1:AO33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4.26953125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bestFit="1" customWidth="1"/>
    <col min="39" max="39" width="15.7265625" customWidth="1"/>
    <col min="41" max="41" width="13.2695312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AF33</f>
        <v>2733142.3000000003</v>
      </c>
      <c r="AM3" s="164">
        <f>AH33-AI33</f>
        <v>118437.33499999973</v>
      </c>
    </row>
    <row r="4" spans="1:40" x14ac:dyDescent="0.35">
      <c r="A4" s="20">
        <v>44975</v>
      </c>
      <c r="B4" s="21" t="s">
        <v>419</v>
      </c>
      <c r="C4" s="21" t="s">
        <v>237</v>
      </c>
      <c r="D4" s="44">
        <v>143982</v>
      </c>
      <c r="E4" s="44"/>
      <c r="F4" s="21">
        <v>100</v>
      </c>
      <c r="G4" s="21"/>
      <c r="H4" s="22">
        <v>46680</v>
      </c>
      <c r="I4" s="33">
        <v>0.55000000000000004</v>
      </c>
      <c r="J4" s="24">
        <f>IFERROR(K4/H4,"")</f>
        <v>0.56830548414738646</v>
      </c>
      <c r="K4" s="22">
        <v>26528.5</v>
      </c>
      <c r="L4" s="21">
        <v>14</v>
      </c>
      <c r="M4" s="21">
        <v>58</v>
      </c>
      <c r="N4" s="21">
        <v>21</v>
      </c>
      <c r="O4" s="21">
        <v>6</v>
      </c>
      <c r="P4" s="21">
        <v>1</v>
      </c>
      <c r="Q4" s="21"/>
      <c r="R4" s="21"/>
      <c r="S4" s="21"/>
      <c r="T4" s="21"/>
      <c r="U4" s="25">
        <v>280</v>
      </c>
      <c r="V4" s="25">
        <f>H4*U4*I4/15</f>
        <v>479248.00000000006</v>
      </c>
      <c r="W4" s="25">
        <v>308.73</v>
      </c>
      <c r="X4" s="25">
        <v>546016.51</v>
      </c>
      <c r="Y4" s="25">
        <f>F4*60</f>
        <v>6000</v>
      </c>
      <c r="Z4" s="25">
        <v>20793.2</v>
      </c>
      <c r="AA4" s="25">
        <v>0</v>
      </c>
      <c r="AB4" s="25">
        <v>2800</v>
      </c>
      <c r="AC4" s="25">
        <f>F4*30</f>
        <v>3000</v>
      </c>
      <c r="AD4" s="25">
        <f>F4*4.11</f>
        <v>411.00000000000006</v>
      </c>
      <c r="AE4" s="25">
        <v>1092.04</v>
      </c>
      <c r="AF4" s="25">
        <f>V4+Y4+Z4+AA4+AB4+AC4+AD4</f>
        <v>512252.20000000007</v>
      </c>
      <c r="AG4" s="25">
        <f>IFERROR(IFERROR((H4*W4*J4/15)-AE4,""),"")</f>
        <v>544917.54700000002</v>
      </c>
      <c r="AH4" s="26">
        <f>IFERROR(AG4-AF4,"")</f>
        <v>32665.346999999951</v>
      </c>
      <c r="AI4" s="6">
        <f>IF(F4="",(G4/$F$33)*$AL$19,(F4/$F$33)*$AL$19)</f>
        <v>0</v>
      </c>
      <c r="AJ4" s="6">
        <f>(AH4-AI4)*70%</f>
        <v>22865.742899999965</v>
      </c>
      <c r="AL4" s="166" t="s">
        <v>749</v>
      </c>
      <c r="AM4" s="167">
        <f>AM3/AL3</f>
        <v>4.3333760924193269E-2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326.65346999999952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5.9945485660787411E-2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</f>
        <v>500</v>
      </c>
      <c r="AM9" s="50" t="s">
        <v>22</v>
      </c>
      <c r="AN9" t="s">
        <v>72</v>
      </c>
    </row>
    <row r="10" spans="1:40" x14ac:dyDescent="0.35">
      <c r="A10" s="20">
        <v>44975</v>
      </c>
      <c r="B10" s="21" t="s">
        <v>419</v>
      </c>
      <c r="C10" s="21" t="s">
        <v>332</v>
      </c>
      <c r="D10" s="44">
        <v>143981</v>
      </c>
      <c r="E10" s="44"/>
      <c r="F10" s="21">
        <v>100</v>
      </c>
      <c r="G10" s="21"/>
      <c r="H10" s="22">
        <v>58170</v>
      </c>
      <c r="I10" s="33">
        <v>0.55000000000000004</v>
      </c>
      <c r="J10" s="24">
        <f>IFERROR(K10/H10,"")</f>
        <v>0.54236719958741619</v>
      </c>
      <c r="K10" s="22">
        <v>31549.5</v>
      </c>
      <c r="L10" s="21">
        <v>20</v>
      </c>
      <c r="M10" s="21">
        <v>60</v>
      </c>
      <c r="N10" s="21">
        <v>19</v>
      </c>
      <c r="O10" s="21">
        <v>1</v>
      </c>
      <c r="P10" s="21"/>
      <c r="Q10" s="21"/>
      <c r="R10" s="21"/>
      <c r="S10" s="21"/>
      <c r="T10" s="21"/>
      <c r="U10" s="25">
        <v>270</v>
      </c>
      <c r="V10" s="25">
        <f>H10*U10*I10/15</f>
        <v>575883</v>
      </c>
      <c r="W10" s="25">
        <v>309.57</v>
      </c>
      <c r="X10" s="25">
        <v>651127.6</v>
      </c>
      <c r="Y10" s="25">
        <f>F10*80</f>
        <v>8000</v>
      </c>
      <c r="Z10" s="25">
        <v>17671.7</v>
      </c>
      <c r="AA10" s="25">
        <v>0</v>
      </c>
      <c r="AB10" s="25">
        <v>2700</v>
      </c>
      <c r="AC10" s="25">
        <f>F10*30</f>
        <v>3000</v>
      </c>
      <c r="AD10" s="25">
        <f>IF(F10="",G10*4.11,F10*4.11)</f>
        <v>411.00000000000006</v>
      </c>
      <c r="AE10" s="25">
        <v>1302.26</v>
      </c>
      <c r="AF10" s="25">
        <f>V10+Y10+Z10+AA10+AB10+AC10+AD10</f>
        <v>607665.69999999995</v>
      </c>
      <c r="AG10" s="25">
        <f>IFERROR(IFERROR((H10*W10*J10/15)-AE10,""),"")</f>
        <v>649816.321</v>
      </c>
      <c r="AH10" s="26">
        <f>IFERROR(AG10-AF10,"")</f>
        <v>42150.621000000043</v>
      </c>
      <c r="AI10" s="6">
        <f>IF(F10="",(G10/$F$33)*$AL$19,(F10/$F$33)*$AL$19)</f>
        <v>0</v>
      </c>
      <c r="AJ10" s="6">
        <f>(AH10-AI10)*70%</f>
        <v>29505.434700000027</v>
      </c>
      <c r="AL10" s="11">
        <f>AH4+AH10+AH16+AH22+AH28</f>
        <v>118437.33499999973</v>
      </c>
      <c r="AM10" s="11">
        <f>AL10*30%</f>
        <v>35531.200499999919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421.50621000000041</v>
      </c>
      <c r="AL11" s="11"/>
      <c r="AM11" s="11"/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6.4865439106137873E-2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77" t="s">
        <v>187</v>
      </c>
      <c r="AM14" s="207" t="s">
        <v>680</v>
      </c>
      <c r="AN14" s="173"/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178">
        <v>0</v>
      </c>
      <c r="AN15" s="174"/>
    </row>
    <row r="16" spans="1:40" x14ac:dyDescent="0.35">
      <c r="A16" s="20">
        <v>44976</v>
      </c>
      <c r="B16" s="21" t="s">
        <v>419</v>
      </c>
      <c r="C16" s="21" t="s">
        <v>237</v>
      </c>
      <c r="D16" s="44">
        <v>143980</v>
      </c>
      <c r="E16" s="44"/>
      <c r="F16" s="21">
        <v>200</v>
      </c>
      <c r="G16" s="21"/>
      <c r="H16" s="22">
        <v>92040</v>
      </c>
      <c r="I16" s="33">
        <v>0.55000000000000004</v>
      </c>
      <c r="J16" s="24">
        <f>IFERROR(K16/H16,"")</f>
        <v>0.57165906127770538</v>
      </c>
      <c r="K16" s="22">
        <v>52615.5</v>
      </c>
      <c r="L16" s="21">
        <v>28</v>
      </c>
      <c r="M16" s="21">
        <v>109</v>
      </c>
      <c r="N16" s="21">
        <v>58</v>
      </c>
      <c r="O16" s="21">
        <v>5</v>
      </c>
      <c r="P16" s="21"/>
      <c r="Q16" s="21"/>
      <c r="R16" s="21"/>
      <c r="S16" s="21"/>
      <c r="T16" s="21"/>
      <c r="U16" s="25">
        <v>280</v>
      </c>
      <c r="V16" s="25">
        <f>H16*U16*I16/15</f>
        <v>944944.00000000012</v>
      </c>
      <c r="W16" s="25">
        <v>309.57</v>
      </c>
      <c r="X16" s="25">
        <v>1085891.56</v>
      </c>
      <c r="Y16" s="25">
        <f>F16*80</f>
        <v>16000</v>
      </c>
      <c r="Z16" s="25">
        <v>43564</v>
      </c>
      <c r="AA16" s="25">
        <v>0</v>
      </c>
      <c r="AB16" s="25">
        <v>5600</v>
      </c>
      <c r="AC16" s="25">
        <f>F16*30</f>
        <v>6000</v>
      </c>
      <c r="AD16" s="25">
        <f>IF(F16="",G16*4.11,F16*4.11)</f>
        <v>822.00000000000011</v>
      </c>
      <c r="AE16" s="25">
        <v>2171.79</v>
      </c>
      <c r="AF16" s="25">
        <f>V16+Y16+Z16+AA16+AB16+AC16+AD16</f>
        <v>1016930.0000000001</v>
      </c>
      <c r="AG16" s="25">
        <f>IFERROR(IFERROR((H16*W16*J16/15)-AE16,""),"")</f>
        <v>1083706.899</v>
      </c>
      <c r="AH16" s="26">
        <f>IFERROR(AG16-AF16,"")</f>
        <v>66776.898999999859</v>
      </c>
      <c r="AI16" s="6">
        <f>IF(F16="",(G16/$F$33)*$AL$19,(F16/$F$33)*$AL$19)</f>
        <v>0</v>
      </c>
      <c r="AJ16" s="6">
        <f>(AH16-AI16)*70%</f>
        <v>46743.829299999896</v>
      </c>
      <c r="AL16" s="178">
        <v>0</v>
      </c>
      <c r="AM16" s="6"/>
      <c r="AN16" s="174"/>
    </row>
    <row r="17" spans="1:4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333.88449499999928</v>
      </c>
      <c r="AI17" s="47"/>
      <c r="AJ17" s="47"/>
      <c r="AL17" s="178">
        <v>0</v>
      </c>
      <c r="AN17" s="174"/>
      <c r="AO17" s="6"/>
    </row>
    <row r="18" spans="1:41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6.1618966402833486E-2</v>
      </c>
      <c r="AI18" s="47"/>
      <c r="AJ18" s="47"/>
      <c r="AL18" s="178"/>
      <c r="AN18" s="174"/>
    </row>
    <row r="19" spans="1:41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209">
        <f>SUM(AL15:AL18)</f>
        <v>0</v>
      </c>
      <c r="AM19" s="181" t="s">
        <v>673</v>
      </c>
      <c r="AN19" s="191"/>
    </row>
    <row r="20" spans="1:4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</row>
    <row r="21" spans="1:41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</row>
    <row r="22" spans="1:41" x14ac:dyDescent="0.35">
      <c r="A22" s="20">
        <v>44979</v>
      </c>
      <c r="B22" s="21" t="s">
        <v>429</v>
      </c>
      <c r="C22" s="21" t="s">
        <v>430</v>
      </c>
      <c r="D22" s="44">
        <v>143975</v>
      </c>
      <c r="E22" s="44"/>
      <c r="F22" s="21">
        <v>50</v>
      </c>
      <c r="G22" s="21"/>
      <c r="H22" s="22">
        <v>28840</v>
      </c>
      <c r="I22" s="33">
        <v>0.55000000000000004</v>
      </c>
      <c r="J22" s="24">
        <f>IFERROR(K22/H22,"")</f>
        <v>0.54046463245492371</v>
      </c>
      <c r="K22" s="22">
        <v>15587</v>
      </c>
      <c r="L22" s="21"/>
      <c r="M22" s="21">
        <v>7</v>
      </c>
      <c r="N22" s="21">
        <v>29</v>
      </c>
      <c r="O22" s="21">
        <v>12</v>
      </c>
      <c r="P22" s="21">
        <v>2</v>
      </c>
      <c r="Q22" s="21"/>
      <c r="R22" s="21"/>
      <c r="S22" s="21"/>
      <c r="T22" s="21"/>
      <c r="U22" s="25">
        <v>270</v>
      </c>
      <c r="V22" s="25">
        <f>H22*U22*I22/15</f>
        <v>285516</v>
      </c>
      <c r="W22" s="25">
        <v>276.33</v>
      </c>
      <c r="X22" s="25">
        <v>287139.21000000002</v>
      </c>
      <c r="Y22" s="25">
        <f>F22*30</f>
        <v>1500</v>
      </c>
      <c r="Z22" s="25">
        <v>10847.7</v>
      </c>
      <c r="AA22" s="25">
        <v>0</v>
      </c>
      <c r="AB22" s="25">
        <v>1350</v>
      </c>
      <c r="AC22" s="25">
        <f>F22*30</f>
        <v>1500</v>
      </c>
      <c r="AD22" s="25">
        <f>IF(F22="",G22*4.11,F22*4.11)</f>
        <v>205.50000000000003</v>
      </c>
      <c r="AE22" s="25">
        <v>574.28</v>
      </c>
      <c r="AF22" s="25">
        <f>V22+Y22+Z22+AA22+AB22+AC22+AD22</f>
        <v>300919.2</v>
      </c>
      <c r="AG22" s="25">
        <f>IFERROR(IFERROR((H22*W22*J22/15)-AE22,""),"")</f>
        <v>286569.43399999995</v>
      </c>
      <c r="AH22" s="26">
        <f>IFERROR(AG22-AF22,"")</f>
        <v>-14349.766000000061</v>
      </c>
      <c r="AI22" s="6">
        <f>IF(F22="",(G22/$F$33)*$AL$19,(F22/$F$33)*$AL$19)</f>
        <v>0</v>
      </c>
      <c r="AJ22" s="6">
        <f>(AH22-AI22)*70%</f>
        <v>-10044.836200000042</v>
      </c>
    </row>
    <row r="23" spans="1:41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-286.99532000000124</v>
      </c>
    </row>
    <row r="24" spans="1:41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-5.0074307645804485E-2</v>
      </c>
    </row>
    <row r="25" spans="1:4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47"/>
      <c r="AI25" s="47"/>
      <c r="AJ25" s="47"/>
    </row>
    <row r="26" spans="1:4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47"/>
      <c r="AI26" s="47"/>
      <c r="AJ26" s="47"/>
    </row>
    <row r="27" spans="1:41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  <c r="AL27" s="57"/>
    </row>
    <row r="28" spans="1:41" x14ac:dyDescent="0.35">
      <c r="A28" s="20">
        <v>44979</v>
      </c>
      <c r="B28" s="21" t="s">
        <v>431</v>
      </c>
      <c r="C28" s="21" t="s">
        <v>430</v>
      </c>
      <c r="D28" s="44">
        <v>143975</v>
      </c>
      <c r="E28" s="44"/>
      <c r="F28" s="21">
        <v>50</v>
      </c>
      <c r="G28" s="21"/>
      <c r="H28" s="22">
        <v>28280</v>
      </c>
      <c r="I28" s="33">
        <v>0.55000000000000004</v>
      </c>
      <c r="J28" s="24">
        <f>IFERROR(K28/H28,"")</f>
        <v>0.55116690240452615</v>
      </c>
      <c r="K28" s="22">
        <v>15587</v>
      </c>
      <c r="L28" s="21"/>
      <c r="M28" s="21">
        <v>6</v>
      </c>
      <c r="N28" s="21">
        <v>30</v>
      </c>
      <c r="O28" s="21">
        <v>12</v>
      </c>
      <c r="P28" s="21">
        <v>2</v>
      </c>
      <c r="Q28" s="21"/>
      <c r="R28" s="21"/>
      <c r="S28" s="21"/>
      <c r="T28" s="21"/>
      <c r="U28" s="25">
        <v>270</v>
      </c>
      <c r="V28" s="25">
        <f>H28*U28*I28/15</f>
        <v>279972</v>
      </c>
      <c r="W28" s="25">
        <v>276.33</v>
      </c>
      <c r="X28" s="25">
        <v>287139.21000000002</v>
      </c>
      <c r="Y28" s="25">
        <f>F28*30</f>
        <v>1500</v>
      </c>
      <c r="Z28" s="25">
        <v>10847.7</v>
      </c>
      <c r="AA28" s="25">
        <v>0</v>
      </c>
      <c r="AB28" s="25">
        <v>1350</v>
      </c>
      <c r="AC28" s="25">
        <f>F28*30</f>
        <v>1500</v>
      </c>
      <c r="AD28" s="25">
        <f>IF(F28="",G28*4.11,F28*4.11)</f>
        <v>205.50000000000003</v>
      </c>
      <c r="AE28" s="25">
        <v>574.28</v>
      </c>
      <c r="AF28" s="25">
        <f>V28+Y28+Z28+AA28+AB28+AC28+AD28</f>
        <v>295375.2</v>
      </c>
      <c r="AG28" s="25">
        <f>IFERROR(IFERROR((H28*W28*J28/15)-AE28,""),"")</f>
        <v>286569.43399999995</v>
      </c>
      <c r="AH28" s="26">
        <f>IFERROR(AG28-AF28,"")</f>
        <v>-8805.7660000000615</v>
      </c>
      <c r="AI28" s="6">
        <f>IF(F28="",(G28/$F$33)*$AL$19,(F28/$F$33)*$AL$19)</f>
        <v>0</v>
      </c>
      <c r="AJ28" s="6">
        <f>(AH28-AI28)*70%</f>
        <v>-6164.0362000000423</v>
      </c>
      <c r="AL28" s="57" t="s">
        <v>435</v>
      </c>
    </row>
    <row r="29" spans="1:41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-176.11532000000122</v>
      </c>
      <c r="AI29" s="47"/>
      <c r="AJ29" s="47"/>
      <c r="AL29" s="95"/>
      <c r="AM29" s="11"/>
    </row>
    <row r="30" spans="1:4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-3.0728210880997388E-2</v>
      </c>
      <c r="AI30" s="47"/>
      <c r="AJ30" s="47"/>
      <c r="AL30" s="95"/>
      <c r="AM30" s="11"/>
    </row>
    <row r="31" spans="1:4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7"/>
    </row>
    <row r="32" spans="1:41" ht="15" thickBot="1" x14ac:dyDescent="0.4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6" ht="16" thickBot="1" x14ac:dyDescent="0.4">
      <c r="A33" s="377" t="s">
        <v>428</v>
      </c>
      <c r="B33" s="378"/>
      <c r="C33" s="378"/>
      <c r="D33" s="378"/>
      <c r="E33" s="378"/>
      <c r="F33" s="30">
        <f>SUM(F4:G28)</f>
        <v>500</v>
      </c>
      <c r="G33" s="30"/>
      <c r="H33" s="30"/>
      <c r="I33" s="30"/>
      <c r="J33" s="30"/>
      <c r="K33" s="30"/>
      <c r="L33" s="46"/>
      <c r="M33" s="46"/>
      <c r="N33" s="46"/>
      <c r="O33" s="46"/>
      <c r="P33" s="46"/>
      <c r="Q33" s="46"/>
      <c r="R33" s="46"/>
      <c r="S33" s="46"/>
      <c r="T33" s="46"/>
      <c r="U33" s="30"/>
      <c r="V33" s="31">
        <f>V4+V10+V16+V22+V28</f>
        <v>2565563</v>
      </c>
      <c r="W33" s="30"/>
      <c r="X33" s="30"/>
      <c r="Y33" s="31">
        <f>Y4+Y10+Y16+Y22+Y28</f>
        <v>33000</v>
      </c>
      <c r="Z33" s="31">
        <f>Z4+Z10+Z16+Z22+Z28</f>
        <v>103724.29999999999</v>
      </c>
      <c r="AA33" s="31">
        <f>AA4+AA10+AA16+AA22+AA28</f>
        <v>0</v>
      </c>
      <c r="AB33" s="31">
        <f>AB4+AB10+AB16+AB16+AB22+AB28</f>
        <v>19400</v>
      </c>
      <c r="AC33" s="31">
        <f t="shared" ref="AC33:AJ33" si="0">AC4+AC10+AC16+AC22+AC28</f>
        <v>15000</v>
      </c>
      <c r="AD33" s="31">
        <f t="shared" si="0"/>
        <v>2055.0000000000005</v>
      </c>
      <c r="AE33" s="31">
        <f t="shared" si="0"/>
        <v>5714.65</v>
      </c>
      <c r="AF33" s="31">
        <f t="shared" si="0"/>
        <v>2733142.3000000003</v>
      </c>
      <c r="AG33" s="31">
        <f t="shared" si="0"/>
        <v>2851579.6349999998</v>
      </c>
      <c r="AH33" s="31">
        <f t="shared" si="0"/>
        <v>118437.33499999973</v>
      </c>
      <c r="AI33" s="31">
        <f t="shared" si="0"/>
        <v>0</v>
      </c>
      <c r="AJ33" s="31">
        <f t="shared" si="0"/>
        <v>82906.134499999796</v>
      </c>
    </row>
  </sheetData>
  <mergeCells count="2">
    <mergeCell ref="U2:AC2"/>
    <mergeCell ref="A33:E3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0"/>
  <dimension ref="A1:AN32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4.26953125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20.1796875" customWidth="1"/>
    <col min="39" max="39" width="26.1796875" customWidth="1"/>
    <col min="40" max="40" width="12.179687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AF22</f>
        <v>1506062.0666666669</v>
      </c>
      <c r="AM3" s="164">
        <f>AH22-AI22</f>
        <v>1450.3751999998931</v>
      </c>
    </row>
    <row r="4" spans="1:40" x14ac:dyDescent="0.35">
      <c r="A4" s="20">
        <v>44982</v>
      </c>
      <c r="B4" s="21" t="s">
        <v>419</v>
      </c>
      <c r="C4" s="21" t="s">
        <v>237</v>
      </c>
      <c r="D4" s="44">
        <v>144283</v>
      </c>
      <c r="E4" s="44"/>
      <c r="F4" s="21">
        <v>100</v>
      </c>
      <c r="G4" s="21"/>
      <c r="H4" s="22">
        <v>46760</v>
      </c>
      <c r="I4" s="33">
        <v>0.55000000000000004</v>
      </c>
      <c r="J4" s="24">
        <f>IFERROR(K4/H4,"")</f>
        <v>0.57403763900769889</v>
      </c>
      <c r="K4" s="22">
        <v>26842</v>
      </c>
      <c r="L4" s="21"/>
      <c r="M4" s="21">
        <v>57</v>
      </c>
      <c r="N4" s="21">
        <v>40</v>
      </c>
      <c r="O4" s="21">
        <v>2</v>
      </c>
      <c r="P4" s="21">
        <v>1</v>
      </c>
      <c r="Q4" s="21"/>
      <c r="R4" s="21"/>
      <c r="S4" s="21"/>
      <c r="T4" s="21"/>
      <c r="U4" s="25">
        <v>280</v>
      </c>
      <c r="V4" s="25">
        <f>H4*U4*I4/15</f>
        <v>480069.33333333337</v>
      </c>
      <c r="W4" s="25">
        <v>286.55</v>
      </c>
      <c r="X4" s="25">
        <v>512774.86</v>
      </c>
      <c r="Y4" s="25">
        <f>F4*60</f>
        <v>6000</v>
      </c>
      <c r="Z4" s="25">
        <v>18871.8</v>
      </c>
      <c r="AA4" s="25">
        <v>0</v>
      </c>
      <c r="AB4" s="25">
        <v>2800</v>
      </c>
      <c r="AC4" s="25">
        <f>F4*30</f>
        <v>3000</v>
      </c>
      <c r="AD4" s="25">
        <f>F4*4.11</f>
        <v>411.00000000000006</v>
      </c>
      <c r="AE4" s="25">
        <v>1025.55</v>
      </c>
      <c r="AF4" s="25">
        <f>V4+Y4+Z4+AA4+AB4+AC4+AD4</f>
        <v>511152.13333333336</v>
      </c>
      <c r="AG4" s="25">
        <f>IFERROR(IFERROR((H4*W4*J4/15)-AE4,""),"")</f>
        <v>511746.12333333329</v>
      </c>
      <c r="AH4" s="26">
        <f>IFERROR(AG4-AF4,"")</f>
        <v>593.98999999993248</v>
      </c>
      <c r="AI4" s="6">
        <f>IF(F4="",(G4/$F$22)*$AL$17,(F4/$F$22)*$AL$17)</f>
        <v>1553.3333333333333</v>
      </c>
      <c r="AJ4" s="6">
        <f>(AH4-AI4)*70%</f>
        <v>-671.54033333338054</v>
      </c>
      <c r="AL4" s="166" t="s">
        <v>749</v>
      </c>
      <c r="AM4" s="167">
        <f>AM3/AL3</f>
        <v>9.6302485276053443E-4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5.9398999999993247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1.1607122612495658E-3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37" t="s">
        <v>1</v>
      </c>
      <c r="B9" s="37" t="s">
        <v>2</v>
      </c>
      <c r="C9" s="37" t="s">
        <v>110</v>
      </c>
      <c r="D9" s="37" t="s">
        <v>66</v>
      </c>
      <c r="E9" s="37"/>
      <c r="F9" s="37" t="s">
        <v>137</v>
      </c>
      <c r="G9" s="37" t="s">
        <v>138</v>
      </c>
      <c r="H9" s="37" t="s">
        <v>4</v>
      </c>
      <c r="I9" s="37" t="s">
        <v>5</v>
      </c>
      <c r="J9" s="37" t="s">
        <v>6</v>
      </c>
      <c r="K9" s="37" t="s">
        <v>7</v>
      </c>
      <c r="L9" s="37" t="s">
        <v>279</v>
      </c>
      <c r="M9" s="37" t="s">
        <v>280</v>
      </c>
      <c r="N9" s="37" t="s">
        <v>281</v>
      </c>
      <c r="O9" s="37" t="s">
        <v>282</v>
      </c>
      <c r="P9" s="37" t="s">
        <v>283</v>
      </c>
      <c r="Q9" s="37" t="s">
        <v>284</v>
      </c>
      <c r="R9" s="37" t="s">
        <v>904</v>
      </c>
      <c r="S9" s="37" t="s">
        <v>285</v>
      </c>
      <c r="T9" s="37" t="s">
        <v>289</v>
      </c>
      <c r="U9" s="37" t="s">
        <v>8</v>
      </c>
      <c r="V9" s="37" t="s">
        <v>9</v>
      </c>
      <c r="W9" s="37" t="s">
        <v>10</v>
      </c>
      <c r="X9" s="37" t="s">
        <v>100</v>
      </c>
      <c r="Y9" s="37" t="s">
        <v>106</v>
      </c>
      <c r="Z9" s="37" t="s">
        <v>12</v>
      </c>
      <c r="AA9" s="37" t="s">
        <v>258</v>
      </c>
      <c r="AB9" s="37" t="s">
        <v>13</v>
      </c>
      <c r="AC9" s="37" t="s">
        <v>74</v>
      </c>
      <c r="AD9" s="37" t="s">
        <v>21</v>
      </c>
      <c r="AE9" s="37" t="s">
        <v>14</v>
      </c>
      <c r="AF9" s="37" t="s">
        <v>15</v>
      </c>
      <c r="AG9" s="37" t="s">
        <v>16</v>
      </c>
      <c r="AH9" s="15" t="s">
        <v>17</v>
      </c>
      <c r="AI9" s="14" t="s">
        <v>679</v>
      </c>
      <c r="AJ9" s="14" t="s">
        <v>678</v>
      </c>
      <c r="AL9">
        <f>F4+G4+F10+G10+F16+G16</f>
        <v>300</v>
      </c>
      <c r="AM9" s="50" t="s">
        <v>22</v>
      </c>
      <c r="AN9" t="s">
        <v>72</v>
      </c>
    </row>
    <row r="10" spans="1:40" x14ac:dyDescent="0.35">
      <c r="A10" s="38">
        <v>44982</v>
      </c>
      <c r="B10" s="39" t="s">
        <v>419</v>
      </c>
      <c r="C10" s="39" t="s">
        <v>237</v>
      </c>
      <c r="D10" s="45">
        <v>386751</v>
      </c>
      <c r="E10" s="45"/>
      <c r="F10" s="39">
        <v>100</v>
      </c>
      <c r="G10" s="39"/>
      <c r="H10" s="40">
        <v>45800</v>
      </c>
      <c r="I10" s="53">
        <v>0.55000000000000004</v>
      </c>
      <c r="J10" s="42">
        <f>IFERROR(K10/H10,"")</f>
        <v>0.56545851528384283</v>
      </c>
      <c r="K10" s="40">
        <v>25898</v>
      </c>
      <c r="L10" s="39">
        <v>10</v>
      </c>
      <c r="M10" s="39">
        <v>86</v>
      </c>
      <c r="N10" s="39">
        <v>4</v>
      </c>
      <c r="O10" s="39"/>
      <c r="P10" s="39"/>
      <c r="Q10" s="39"/>
      <c r="R10" s="39"/>
      <c r="S10" s="39"/>
      <c r="T10" s="39"/>
      <c r="U10" s="43">
        <v>280</v>
      </c>
      <c r="V10" s="43">
        <f>H10*U10*I10/15</f>
        <v>470213.33333333337</v>
      </c>
      <c r="W10" s="43">
        <v>296.74</v>
      </c>
      <c r="X10" s="43">
        <v>512353.37</v>
      </c>
      <c r="Y10" s="43">
        <f>F10*60</f>
        <v>6000</v>
      </c>
      <c r="Z10" s="43">
        <v>18829.3</v>
      </c>
      <c r="AA10" s="43">
        <v>0</v>
      </c>
      <c r="AB10" s="43">
        <v>2800</v>
      </c>
      <c r="AC10" s="43">
        <f>F10*30</f>
        <v>3000</v>
      </c>
      <c r="AD10" s="43">
        <f>IF(F10="",G10*4.11,F10*4.11)</f>
        <v>411.00000000000006</v>
      </c>
      <c r="AE10" s="43">
        <v>1024.71</v>
      </c>
      <c r="AF10" s="43">
        <f>V10+Y10+Z10+AA10+AB10+AC10+AD10</f>
        <v>501253.63333333336</v>
      </c>
      <c r="AG10" s="43">
        <f>IFERROR(IFERROR((H10*W10*J10/15)-AE10,""),"")</f>
        <v>511306.79133333336</v>
      </c>
      <c r="AH10" s="26">
        <f>IFERROR(AG10-AF10,"")</f>
        <v>10053.157999999996</v>
      </c>
      <c r="AI10" s="6">
        <f>IF(F10="",(G10/$F$22)*$AL$17,(F10/$F$22)*$AL$17)</f>
        <v>1553.3333333333333</v>
      </c>
      <c r="AJ10" s="6">
        <f>(AH10-AI10)*70%</f>
        <v>5949.8772666666628</v>
      </c>
      <c r="AL10" s="11">
        <f>AH4+AH10+AH16</f>
        <v>6110.3751999998931</v>
      </c>
      <c r="AM10" s="11">
        <f>AL10*30%</f>
        <v>1833.112559999968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100.53157999999996</v>
      </c>
      <c r="AL11" s="11"/>
      <c r="AM11" s="11"/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1.9661694642827649E-2</v>
      </c>
      <c r="AL12" s="177" t="s">
        <v>187</v>
      </c>
      <c r="AM12" s="172" t="s">
        <v>680</v>
      </c>
      <c r="AN12" s="173"/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78">
        <v>500</v>
      </c>
      <c r="AM13" t="s">
        <v>437</v>
      </c>
      <c r="AN13" s="174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78">
        <v>4160</v>
      </c>
      <c r="AM14" s="6" t="s">
        <v>438</v>
      </c>
      <c r="AN14" s="174"/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178">
        <v>0</v>
      </c>
      <c r="AN15" s="174"/>
    </row>
    <row r="16" spans="1:40" x14ac:dyDescent="0.35">
      <c r="A16" s="20">
        <v>44982</v>
      </c>
      <c r="B16" s="21" t="s">
        <v>419</v>
      </c>
      <c r="C16" s="21" t="s">
        <v>237</v>
      </c>
      <c r="D16" s="44">
        <v>386878</v>
      </c>
      <c r="E16" s="44"/>
      <c r="F16" s="21">
        <v>100</v>
      </c>
      <c r="G16" s="21"/>
      <c r="H16" s="22">
        <v>45060</v>
      </c>
      <c r="I16" s="33">
        <v>0.55000000000000004</v>
      </c>
      <c r="J16" s="24">
        <f>IFERROR(K16/H16,"")</f>
        <v>0.56361296049711496</v>
      </c>
      <c r="K16" s="22">
        <v>25396.400000000001</v>
      </c>
      <c r="L16" s="21">
        <v>9</v>
      </c>
      <c r="M16" s="21">
        <v>88</v>
      </c>
      <c r="N16" s="21">
        <v>3</v>
      </c>
      <c r="O16" s="21"/>
      <c r="P16" s="21"/>
      <c r="Q16" s="21"/>
      <c r="R16" s="21"/>
      <c r="S16" s="21"/>
      <c r="T16" s="21"/>
      <c r="U16" s="25">
        <v>280</v>
      </c>
      <c r="V16" s="25">
        <f>H16*U16*I16/15</f>
        <v>462616.00000000006</v>
      </c>
      <c r="W16" s="25">
        <v>289.47000000000003</v>
      </c>
      <c r="X16" s="25">
        <v>490101.35</v>
      </c>
      <c r="Y16" s="25">
        <f>F16*60</f>
        <v>6000</v>
      </c>
      <c r="Z16" s="25">
        <v>18829.3</v>
      </c>
      <c r="AA16" s="25">
        <v>0</v>
      </c>
      <c r="AB16" s="25">
        <v>2800</v>
      </c>
      <c r="AC16" s="25">
        <f>F16*30</f>
        <v>3000</v>
      </c>
      <c r="AD16" s="25">
        <f>IF(F16="",G16*4.11,F16*4.11)</f>
        <v>411.00000000000006</v>
      </c>
      <c r="AE16" s="25">
        <v>980.2</v>
      </c>
      <c r="AF16" s="25">
        <f>V16+Y16+Z16+AA16+AB16+AC16+AD16</f>
        <v>493656.30000000005</v>
      </c>
      <c r="AG16" s="25">
        <f>IFERROR(IFERROR((H16*W16*J16/15)-AE16,""),"")</f>
        <v>489119.52720000001</v>
      </c>
      <c r="AH16" s="26">
        <f>IFERROR(AG16-AF16,"")</f>
        <v>-4536.7728000000352</v>
      </c>
      <c r="AI16" s="6">
        <f>IF(F16="",(G16/$F$22)*$AL$17,(F16/$F$22)*$AL$17)</f>
        <v>1553.3333333333333</v>
      </c>
      <c r="AJ16" s="6">
        <f>(AH16-AI16)*70%</f>
        <v>-4263.0742933333577</v>
      </c>
      <c r="AL16" s="178">
        <v>0</v>
      </c>
      <c r="AN16" s="174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-45.367728000000355</v>
      </c>
      <c r="AI17" s="47"/>
      <c r="AJ17" s="47"/>
      <c r="AL17" s="197">
        <f>SUM(AL13:AL16)</f>
        <v>4660</v>
      </c>
      <c r="AM17" s="198" t="s">
        <v>682</v>
      </c>
      <c r="AN17" s="199"/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-9.2753867872974079E-3</v>
      </c>
      <c r="AI18" s="47"/>
      <c r="AJ18" s="47"/>
    </row>
    <row r="19" spans="1:40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</row>
    <row r="21" spans="1:40" ht="15" thickBot="1" x14ac:dyDescent="0.4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3"/>
      <c r="AA21" s="21"/>
      <c r="AB21" s="21"/>
      <c r="AC21" s="21"/>
      <c r="AD21" s="21"/>
      <c r="AE21" s="21"/>
      <c r="AF21" s="21"/>
      <c r="AG21" s="21"/>
      <c r="AH21" s="24"/>
      <c r="AI21" s="24"/>
      <c r="AJ21" s="24"/>
      <c r="AL21" s="59">
        <f>AL10-AL17</f>
        <v>1450.3751999998931</v>
      </c>
      <c r="AM21" s="200" t="s">
        <v>423</v>
      </c>
      <c r="AN21" s="201"/>
    </row>
    <row r="22" spans="1:40" ht="16" thickBot="1" x14ac:dyDescent="0.4">
      <c r="A22" s="377" t="s">
        <v>436</v>
      </c>
      <c r="B22" s="378"/>
      <c r="C22" s="378"/>
      <c r="D22" s="378"/>
      <c r="E22" s="378"/>
      <c r="F22" s="30">
        <f>SUM(F4:G16)</f>
        <v>300</v>
      </c>
      <c r="G22" s="30"/>
      <c r="H22" s="30"/>
      <c r="I22" s="30"/>
      <c r="J22" s="30"/>
      <c r="K22" s="30"/>
      <c r="L22" s="46"/>
      <c r="M22" s="46"/>
      <c r="N22" s="46"/>
      <c r="O22" s="46"/>
      <c r="P22" s="46"/>
      <c r="Q22" s="46"/>
      <c r="R22" s="46"/>
      <c r="S22" s="46"/>
      <c r="T22" s="46"/>
      <c r="U22" s="30"/>
      <c r="V22" s="31">
        <f>V4+V10+V16</f>
        <v>1412898.6666666667</v>
      </c>
      <c r="W22" s="30"/>
      <c r="X22" s="30"/>
      <c r="Y22" s="31">
        <f>Y4+Y10+Y16</f>
        <v>18000</v>
      </c>
      <c r="Z22" s="31">
        <f>Z4+Z10+Z16</f>
        <v>56530.399999999994</v>
      </c>
      <c r="AA22" s="31">
        <f>AA4+AA10+AA16</f>
        <v>0</v>
      </c>
      <c r="AB22" s="31">
        <f>AB4+AB10+AB16+AB16</f>
        <v>11200</v>
      </c>
      <c r="AC22" s="31">
        <f t="shared" ref="AC22:AJ22" si="0">AC4+AC10+AC16</f>
        <v>9000</v>
      </c>
      <c r="AD22" s="31">
        <f t="shared" si="0"/>
        <v>1233.0000000000002</v>
      </c>
      <c r="AE22" s="31">
        <f t="shared" si="0"/>
        <v>3030.46</v>
      </c>
      <c r="AF22" s="31">
        <f t="shared" si="0"/>
        <v>1506062.0666666669</v>
      </c>
      <c r="AG22" s="31">
        <f t="shared" si="0"/>
        <v>1512172.4418666665</v>
      </c>
      <c r="AH22" s="31">
        <f t="shared" si="0"/>
        <v>6110.3751999998931</v>
      </c>
      <c r="AI22" s="31">
        <f t="shared" si="0"/>
        <v>4660</v>
      </c>
      <c r="AJ22" s="31">
        <f t="shared" si="0"/>
        <v>1015.2626399999244</v>
      </c>
      <c r="AL22" s="126">
        <f>AL21*30%</f>
        <v>435.11255999996791</v>
      </c>
      <c r="AM22" s="104" t="s">
        <v>424</v>
      </c>
      <c r="AN22" s="202"/>
    </row>
    <row r="29" spans="1:40" x14ac:dyDescent="0.35">
      <c r="AL29" s="95"/>
      <c r="AM29" s="11"/>
    </row>
    <row r="30" spans="1:40" x14ac:dyDescent="0.35">
      <c r="AL30" s="95"/>
      <c r="AM30" s="11"/>
    </row>
    <row r="31" spans="1:40" x14ac:dyDescent="0.35">
      <c r="AL31" s="57"/>
    </row>
    <row r="32" spans="1:40" x14ac:dyDescent="0.35">
      <c r="AL32" s="57"/>
    </row>
  </sheetData>
  <mergeCells count="2">
    <mergeCell ref="U2:AC2"/>
    <mergeCell ref="A22:E2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1"/>
  <dimension ref="A1:AP46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4.26953125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1.7265625" bestFit="1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bestFit="1" customWidth="1"/>
    <col min="39" max="39" width="15.7265625" customWidth="1"/>
  </cols>
  <sheetData>
    <row r="1" spans="1:42" ht="15" thickBot="1" x14ac:dyDescent="0.4"/>
    <row r="2" spans="1:42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2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AF39</f>
        <v>2384465.8417333337</v>
      </c>
      <c r="AM3" s="164">
        <f>AH39-AI39</f>
        <v>110987.27573333289</v>
      </c>
    </row>
    <row r="4" spans="1:42" x14ac:dyDescent="0.35">
      <c r="A4" s="20">
        <v>44992</v>
      </c>
      <c r="B4" s="21" t="s">
        <v>330</v>
      </c>
      <c r="C4" s="21" t="s">
        <v>141</v>
      </c>
      <c r="D4" s="44">
        <v>1703</v>
      </c>
      <c r="E4" s="44"/>
      <c r="F4" s="98">
        <v>49</v>
      </c>
      <c r="G4" s="21"/>
      <c r="H4" s="22">
        <v>22402.799999999999</v>
      </c>
      <c r="I4" s="33">
        <v>0.52</v>
      </c>
      <c r="J4" s="24">
        <f>IFERROR(K4/H4,"")</f>
        <v>0.53537950613316199</v>
      </c>
      <c r="K4" s="22">
        <v>11994</v>
      </c>
      <c r="L4" s="21">
        <v>21</v>
      </c>
      <c r="M4" s="21">
        <v>3</v>
      </c>
      <c r="N4" s="21">
        <v>25</v>
      </c>
      <c r="O4" s="21"/>
      <c r="P4" s="21"/>
      <c r="Q4" s="21"/>
      <c r="R4" s="21"/>
      <c r="S4" s="21"/>
      <c r="T4" s="21"/>
      <c r="U4" s="25">
        <v>255</v>
      </c>
      <c r="V4" s="25">
        <f>H4*U4*I4/15</f>
        <v>198040.75200000001</v>
      </c>
      <c r="W4" s="25">
        <v>285.77999999999997</v>
      </c>
      <c r="X4" s="25">
        <v>261082.93</v>
      </c>
      <c r="Y4" s="25">
        <f>F4*80</f>
        <v>3920</v>
      </c>
      <c r="Z4" s="25">
        <v>7482.6</v>
      </c>
      <c r="AA4" s="25">
        <v>0</v>
      </c>
      <c r="AB4" s="25">
        <v>1275</v>
      </c>
      <c r="AC4" s="25">
        <f>F4*30</f>
        <v>1470</v>
      </c>
      <c r="AD4" s="25">
        <f>F4*4.11</f>
        <v>201.39000000000001</v>
      </c>
      <c r="AE4" s="25">
        <v>522.16</v>
      </c>
      <c r="AF4" s="25">
        <f>V4+Y4+Z4+AA4+AB4+AC4+AD4</f>
        <v>212389.74200000003</v>
      </c>
      <c r="AG4" s="25">
        <f>IFERROR(IFERROR((H4*W4*J4/15)-AE4,""),"")</f>
        <v>227987.52800000002</v>
      </c>
      <c r="AH4" s="26">
        <f>IFERROR(AG4-AF4,"")</f>
        <v>15597.785999999993</v>
      </c>
      <c r="AI4" s="6">
        <f>IF(F4="",(G4/$F$39)*$AL$20,(F4/$F$39)*$AL$20)</f>
        <v>519.22331236897276</v>
      </c>
      <c r="AJ4" s="6">
        <f>(AH4-AI4)*70%</f>
        <v>10554.993881341714</v>
      </c>
      <c r="AL4" s="166" t="s">
        <v>749</v>
      </c>
      <c r="AM4" s="167">
        <f>AM3/AL3</f>
        <v>4.6545970083032601E-2</v>
      </c>
    </row>
    <row r="5" spans="1:42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318.32216326530596</v>
      </c>
      <c r="AM5" s="63"/>
    </row>
    <row r="6" spans="1:42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6.8415084530413395E-2</v>
      </c>
      <c r="AM6" s="63"/>
    </row>
    <row r="7" spans="1:42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2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2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</f>
        <v>477</v>
      </c>
      <c r="AM9" s="50" t="s">
        <v>22</v>
      </c>
      <c r="AN9" t="s">
        <v>72</v>
      </c>
    </row>
    <row r="10" spans="1:42" x14ac:dyDescent="0.35">
      <c r="A10" s="20">
        <v>44992</v>
      </c>
      <c r="B10" s="21" t="s">
        <v>330</v>
      </c>
      <c r="C10" s="21" t="s">
        <v>440</v>
      </c>
      <c r="D10" s="44">
        <v>1703</v>
      </c>
      <c r="E10" s="44"/>
      <c r="F10" s="21">
        <v>50</v>
      </c>
      <c r="G10" s="21"/>
      <c r="H10" s="22">
        <v>30625</v>
      </c>
      <c r="I10" s="33">
        <v>0.54</v>
      </c>
      <c r="J10" s="24">
        <f>IFERROR(K10/H10,"")</f>
        <v>0.53217306122448982</v>
      </c>
      <c r="K10" s="22">
        <v>16297.8</v>
      </c>
      <c r="L10" s="21">
        <v>19</v>
      </c>
      <c r="M10" s="21">
        <v>4</v>
      </c>
      <c r="N10" s="21">
        <v>26</v>
      </c>
      <c r="O10" s="21">
        <v>1</v>
      </c>
      <c r="P10" s="21"/>
      <c r="Q10" s="21"/>
      <c r="R10" s="21"/>
      <c r="S10" s="21"/>
      <c r="T10" s="21"/>
      <c r="U10" s="25">
        <v>260</v>
      </c>
      <c r="V10" s="25">
        <f>H10*U10*I10/15</f>
        <v>286650</v>
      </c>
      <c r="W10" s="25">
        <v>285.77999999999997</v>
      </c>
      <c r="X10" s="25">
        <v>266411.15999999997</v>
      </c>
      <c r="Y10" s="25">
        <f>F10*80</f>
        <v>4000</v>
      </c>
      <c r="Z10" s="25">
        <v>9119.5</v>
      </c>
      <c r="AA10" s="25">
        <v>0</v>
      </c>
      <c r="AB10" s="25">
        <v>1300</v>
      </c>
      <c r="AC10" s="25">
        <f>F10*30</f>
        <v>1500</v>
      </c>
      <c r="AD10" s="25">
        <f>IF(F10="",G10*4.11,F10*4.11)</f>
        <v>205.50000000000003</v>
      </c>
      <c r="AE10" s="25">
        <v>532.82000000000005</v>
      </c>
      <c r="AF10" s="25">
        <f>V10+Y10+Z10+AA10+AB10+AC10+AD10</f>
        <v>302775</v>
      </c>
      <c r="AG10" s="25">
        <f>IFERROR(IFERROR((H10*W10*J10/15)-AE10,""),"")</f>
        <v>309972.86560000002</v>
      </c>
      <c r="AH10" s="26">
        <f>IFERROR(AG10-AF10,"")</f>
        <v>7197.8656000000192</v>
      </c>
      <c r="AI10" s="6">
        <f>IF(F10="",(G10/$F$39)*$AL$20,(F10/$F$39)*$AL$20)</f>
        <v>529.81970649895175</v>
      </c>
      <c r="AJ10" s="6">
        <f>(AH10-AI10)*70%</f>
        <v>4667.6321254507466</v>
      </c>
      <c r="AL10" s="11">
        <f>AH4+AH10+AH16+AH22+AH28+AH34</f>
        <v>116041.75573333289</v>
      </c>
      <c r="AM10" s="11">
        <f>AL10*30%</f>
        <v>34812.526719999863</v>
      </c>
    </row>
    <row r="11" spans="1:42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143.95731200000037</v>
      </c>
      <c r="AL11" s="11">
        <v>1917</v>
      </c>
      <c r="AM11" s="11" t="s">
        <v>452</v>
      </c>
    </row>
    <row r="12" spans="1:4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2.3220953827901826E-2</v>
      </c>
    </row>
    <row r="13" spans="1:42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2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83" t="s">
        <v>187</v>
      </c>
      <c r="AM14" s="181" t="s">
        <v>680</v>
      </c>
      <c r="AN14" s="190"/>
      <c r="AO14" s="190"/>
      <c r="AP14" s="191"/>
    </row>
    <row r="15" spans="1:42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187">
        <v>160</v>
      </c>
      <c r="AM15" s="172" t="s">
        <v>386</v>
      </c>
      <c r="AN15" s="172"/>
      <c r="AO15" s="172"/>
      <c r="AP15" s="173"/>
    </row>
    <row r="16" spans="1:42" x14ac:dyDescent="0.35">
      <c r="A16" s="20">
        <v>44992</v>
      </c>
      <c r="B16" s="21" t="s">
        <v>441</v>
      </c>
      <c r="C16" s="21" t="s">
        <v>163</v>
      </c>
      <c r="D16" s="44">
        <v>144701</v>
      </c>
      <c r="E16" s="44"/>
      <c r="F16" s="21"/>
      <c r="G16" s="21">
        <v>65</v>
      </c>
      <c r="H16" s="22">
        <v>23540</v>
      </c>
      <c r="I16" s="33">
        <v>0.5</v>
      </c>
      <c r="J16" s="24">
        <f>IFERROR(K16/H16,"")</f>
        <v>0.50832625318606628</v>
      </c>
      <c r="K16" s="22">
        <v>11966</v>
      </c>
      <c r="L16" s="21">
        <v>9</v>
      </c>
      <c r="M16" s="21">
        <v>36</v>
      </c>
      <c r="N16" s="21">
        <v>20</v>
      </c>
      <c r="O16" s="21"/>
      <c r="P16" s="21"/>
      <c r="Q16" s="21"/>
      <c r="R16" s="21"/>
      <c r="S16" s="21"/>
      <c r="T16" s="21"/>
      <c r="U16" s="25">
        <v>231</v>
      </c>
      <c r="V16" s="25">
        <f>H16*U16*I16/15</f>
        <v>181258</v>
      </c>
      <c r="W16" s="25">
        <v>270.37</v>
      </c>
      <c r="X16" s="25">
        <v>215684.37</v>
      </c>
      <c r="Y16" s="25">
        <f>G16*60</f>
        <v>3900</v>
      </c>
      <c r="Z16" s="25">
        <v>7775.2</v>
      </c>
      <c r="AA16" s="25">
        <v>0</v>
      </c>
      <c r="AB16" s="25">
        <v>1501.5</v>
      </c>
      <c r="AC16" s="25">
        <f>G16*30</f>
        <v>1950</v>
      </c>
      <c r="AD16" s="25">
        <f>IF(F16="",G16*4.11,F16*4.11)</f>
        <v>267.15000000000003</v>
      </c>
      <c r="AE16" s="25">
        <v>431.37</v>
      </c>
      <c r="AF16" s="25">
        <f>V16+Y16+Z16+AA16+AB16+AC16+AD16</f>
        <v>196651.85</v>
      </c>
      <c r="AG16" s="25">
        <f>IFERROR(IFERROR((H16*W16*J16/15)-AE16,""),"")</f>
        <v>215251.79133333333</v>
      </c>
      <c r="AH16" s="26">
        <f>IFERROR(AG16-AF16,"")</f>
        <v>18599.941333333321</v>
      </c>
      <c r="AI16" s="6">
        <f>IF(F16="",(G16/$F$39)*$AL$20,(F16/$F$39)*$AL$20)</f>
        <v>688.76561844863716</v>
      </c>
      <c r="AJ16" s="6">
        <f>(AH16-AI16)*70%</f>
        <v>12537.823000419279</v>
      </c>
      <c r="AL16" s="178">
        <v>70</v>
      </c>
      <c r="AM16" s="6" t="s">
        <v>386</v>
      </c>
      <c r="AP16" s="174"/>
    </row>
    <row r="17" spans="1:42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286.15294358974342</v>
      </c>
      <c r="AL17" s="178">
        <v>490</v>
      </c>
      <c r="AM17" t="s">
        <v>386</v>
      </c>
      <c r="AP17" s="174"/>
    </row>
    <row r="18" spans="1:42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8.641015815998454E-2</v>
      </c>
      <c r="AL18" s="178">
        <v>4334.4799999999996</v>
      </c>
      <c r="AM18" s="101" t="s">
        <v>453</v>
      </c>
      <c r="AN18" s="101"/>
      <c r="AO18" s="101"/>
      <c r="AP18" s="231"/>
    </row>
    <row r="19" spans="1:42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222"/>
      <c r="AP19" s="174"/>
    </row>
    <row r="20" spans="1:42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221">
        <f>SUM(AL15:AL19)</f>
        <v>5054.4799999999996</v>
      </c>
      <c r="AM20" s="198" t="s">
        <v>682</v>
      </c>
      <c r="AN20" s="190"/>
      <c r="AO20" s="190"/>
      <c r="AP20" s="191"/>
    </row>
    <row r="21" spans="1:42" x14ac:dyDescent="0.35">
      <c r="A21" s="37" t="s">
        <v>1</v>
      </c>
      <c r="B21" s="37" t="s">
        <v>2</v>
      </c>
      <c r="C21" s="37" t="s">
        <v>110</v>
      </c>
      <c r="D21" s="37" t="s">
        <v>66</v>
      </c>
      <c r="E21" s="37"/>
      <c r="F21" s="37" t="s">
        <v>137</v>
      </c>
      <c r="G21" s="37" t="s">
        <v>138</v>
      </c>
      <c r="H21" s="37" t="s">
        <v>4</v>
      </c>
      <c r="I21" s="37" t="s">
        <v>5</v>
      </c>
      <c r="J21" s="37" t="s">
        <v>6</v>
      </c>
      <c r="K21" s="37" t="s">
        <v>7</v>
      </c>
      <c r="L21" s="37" t="s">
        <v>279</v>
      </c>
      <c r="M21" s="37" t="s">
        <v>280</v>
      </c>
      <c r="N21" s="37" t="s">
        <v>281</v>
      </c>
      <c r="O21" s="37" t="s">
        <v>282</v>
      </c>
      <c r="P21" s="37" t="s">
        <v>283</v>
      </c>
      <c r="Q21" s="37" t="s">
        <v>284</v>
      </c>
      <c r="R21" s="37" t="s">
        <v>904</v>
      </c>
      <c r="S21" s="37" t="s">
        <v>285</v>
      </c>
      <c r="T21" s="37" t="s">
        <v>289</v>
      </c>
      <c r="U21" s="37" t="s">
        <v>8</v>
      </c>
      <c r="V21" s="37" t="s">
        <v>9</v>
      </c>
      <c r="W21" s="37" t="s">
        <v>10</v>
      </c>
      <c r="X21" s="37" t="s">
        <v>100</v>
      </c>
      <c r="Y21" s="37" t="s">
        <v>106</v>
      </c>
      <c r="Z21" s="37" t="s">
        <v>12</v>
      </c>
      <c r="AA21" s="37" t="s">
        <v>258</v>
      </c>
      <c r="AB21" s="37" t="s">
        <v>13</v>
      </c>
      <c r="AC21" s="37" t="s">
        <v>74</v>
      </c>
      <c r="AD21" s="37" t="s">
        <v>21</v>
      </c>
      <c r="AE21" s="37" t="s">
        <v>14</v>
      </c>
      <c r="AF21" s="37" t="s">
        <v>15</v>
      </c>
      <c r="AG21" s="37" t="s">
        <v>16</v>
      </c>
      <c r="AH21" s="15" t="s">
        <v>17</v>
      </c>
      <c r="AI21" s="14" t="s">
        <v>679</v>
      </c>
      <c r="AJ21" s="14" t="s">
        <v>678</v>
      </c>
    </row>
    <row r="22" spans="1:42" x14ac:dyDescent="0.35">
      <c r="A22" s="38">
        <v>44993</v>
      </c>
      <c r="B22" s="39" t="s">
        <v>442</v>
      </c>
      <c r="C22" s="39" t="s">
        <v>174</v>
      </c>
      <c r="D22" s="45">
        <v>144703</v>
      </c>
      <c r="E22" s="45"/>
      <c r="F22" s="39"/>
      <c r="G22" s="39">
        <v>60</v>
      </c>
      <c r="H22" s="40">
        <v>22230</v>
      </c>
      <c r="I22" s="53">
        <v>0.5</v>
      </c>
      <c r="J22" s="42">
        <f>IFERROR(K22/H22,"")</f>
        <v>0.50919928025191186</v>
      </c>
      <c r="K22" s="40">
        <v>11319.5</v>
      </c>
      <c r="L22" s="39">
        <v>2</v>
      </c>
      <c r="M22" s="39">
        <v>25</v>
      </c>
      <c r="N22" s="39">
        <v>29</v>
      </c>
      <c r="O22" s="39">
        <v>4</v>
      </c>
      <c r="P22" s="39"/>
      <c r="Q22" s="39"/>
      <c r="R22" s="39"/>
      <c r="S22" s="39"/>
      <c r="T22" s="39"/>
      <c r="U22" s="43">
        <v>230</v>
      </c>
      <c r="V22" s="43">
        <f>H22*U22*I22/15</f>
        <v>170430</v>
      </c>
      <c r="W22" s="43">
        <v>270.39999999999998</v>
      </c>
      <c r="X22" s="43">
        <v>204054.86</v>
      </c>
      <c r="Y22" s="43">
        <f>G22*60</f>
        <v>3600</v>
      </c>
      <c r="Z22" s="43">
        <v>13085.6</v>
      </c>
      <c r="AA22" s="43">
        <v>0</v>
      </c>
      <c r="AB22" s="43">
        <v>1380</v>
      </c>
      <c r="AC22" s="43">
        <f>G22*30</f>
        <v>1800</v>
      </c>
      <c r="AD22" s="43">
        <f>IF(F22="",G22*4.11,F22*4.11)</f>
        <v>246.60000000000002</v>
      </c>
      <c r="AE22" s="43">
        <v>408.12</v>
      </c>
      <c r="AF22" s="43">
        <f>V22+Y22+Z22+AA22+AB22+AC22+AD22</f>
        <v>190542.2</v>
      </c>
      <c r="AG22" s="43">
        <f>IFERROR(IFERROR((H22*W22*J22/15)-AE22,""),"")</f>
        <v>203644.73333333334</v>
      </c>
      <c r="AH22" s="26">
        <f>IFERROR(AG22-AF22,"")</f>
        <v>13102.533333333326</v>
      </c>
      <c r="AI22" s="6">
        <f>IF(F22="",(G22/$F$39)*$AL$20,(F22/$F$39)*$AL$20)</f>
        <v>635.78364779874209</v>
      </c>
      <c r="AJ22" s="6">
        <f>(AH22-AI22)*70%</f>
        <v>8726.7247798742083</v>
      </c>
      <c r="AL22" s="59">
        <f>AL10+AL11-AL20</f>
        <v>112904.27573333289</v>
      </c>
      <c r="AM22" s="130" t="s">
        <v>423</v>
      </c>
    </row>
    <row r="23" spans="1:4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AH22/G22</f>
        <v>218.37555555555542</v>
      </c>
      <c r="AL23" s="127">
        <f>AL22*30%</f>
        <v>33871.282719999865</v>
      </c>
      <c r="AM23" s="128" t="s">
        <v>424</v>
      </c>
    </row>
    <row r="24" spans="1:42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6.4340153162157201E-2</v>
      </c>
    </row>
    <row r="25" spans="1:42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</row>
    <row r="26" spans="1:42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</row>
    <row r="27" spans="1:42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</row>
    <row r="28" spans="1:42" x14ac:dyDescent="0.35">
      <c r="A28" s="20">
        <v>44995</v>
      </c>
      <c r="B28" s="21" t="s">
        <v>330</v>
      </c>
      <c r="C28" s="21" t="s">
        <v>141</v>
      </c>
      <c r="D28" s="44">
        <v>1704</v>
      </c>
      <c r="E28" s="44"/>
      <c r="F28" s="21">
        <v>50</v>
      </c>
      <c r="G28" s="21"/>
      <c r="H28" s="22">
        <v>28430</v>
      </c>
      <c r="I28" s="33">
        <v>0.5</v>
      </c>
      <c r="J28" s="24">
        <f>IFERROR(K28/H28,"")</f>
        <v>0.51523742525501237</v>
      </c>
      <c r="K28" s="22">
        <v>14648.2</v>
      </c>
      <c r="L28" s="21">
        <v>1</v>
      </c>
      <c r="M28" s="21">
        <v>15</v>
      </c>
      <c r="N28" s="21">
        <v>32</v>
      </c>
      <c r="O28" s="21">
        <v>2</v>
      </c>
      <c r="P28" s="21"/>
      <c r="Q28" s="21"/>
      <c r="R28" s="21"/>
      <c r="S28" s="21"/>
      <c r="T28" s="21"/>
      <c r="U28" s="25">
        <v>260</v>
      </c>
      <c r="V28" s="25">
        <f>H28*U28*I28/15</f>
        <v>246393.33333333334</v>
      </c>
      <c r="W28" s="25">
        <v>282.36</v>
      </c>
      <c r="X28" s="25">
        <v>295582.33</v>
      </c>
      <c r="Y28" s="25">
        <f>F28*80</f>
        <v>4000</v>
      </c>
      <c r="Z28" s="25">
        <v>8471.5</v>
      </c>
      <c r="AA28" s="25">
        <v>0</v>
      </c>
      <c r="AB28" s="25">
        <v>1300</v>
      </c>
      <c r="AC28" s="25">
        <f>F28*30</f>
        <v>1500</v>
      </c>
      <c r="AD28" s="25">
        <f>IF(F28="",G28*4.11,F28*4.11)</f>
        <v>205.50000000000003</v>
      </c>
      <c r="AE28" s="25">
        <v>591.16</v>
      </c>
      <c r="AF28" s="25">
        <f>V28+Y28+Z28+AA28+AB28+AC28+AD28</f>
        <v>261870.33333333334</v>
      </c>
      <c r="AG28" s="25">
        <f>IFERROR(IFERROR((H28*W28*J28/15)-AE28,""),"")</f>
        <v>275146.55680000008</v>
      </c>
      <c r="AH28" s="26">
        <f>IFERROR(AG28-AF28,"")</f>
        <v>13276.223466666735</v>
      </c>
      <c r="AI28" s="6">
        <f>IF(F28="",(G28/$F$39)*$AL$20,(F28/$F$39)*$AL$20)</f>
        <v>529.81970649895175</v>
      </c>
      <c r="AJ28" s="6">
        <f>(AH28-AI28)*70%</f>
        <v>8922.4826321174478</v>
      </c>
    </row>
    <row r="29" spans="1:42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265.52446933333471</v>
      </c>
    </row>
    <row r="30" spans="1:42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4.8251461406864066E-2</v>
      </c>
      <c r="AL30" s="95"/>
      <c r="AM30" s="11"/>
    </row>
    <row r="31" spans="1:42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7"/>
    </row>
    <row r="32" spans="1:42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6" x14ac:dyDescent="0.35">
      <c r="A34" s="20">
        <v>44995</v>
      </c>
      <c r="B34" s="21" t="s">
        <v>443</v>
      </c>
      <c r="C34" s="21" t="s">
        <v>444</v>
      </c>
      <c r="D34" s="44">
        <v>1704</v>
      </c>
      <c r="E34" s="44"/>
      <c r="F34" s="98">
        <v>203</v>
      </c>
      <c r="G34" s="21"/>
      <c r="H34" s="22">
        <v>122207.99</v>
      </c>
      <c r="I34" s="33">
        <v>0.54</v>
      </c>
      <c r="J34" s="24">
        <f>IFERROR(K34/H34,"")</f>
        <v>0.55246060425345345</v>
      </c>
      <c r="K34" s="22">
        <v>67515.100000000006</v>
      </c>
      <c r="L34" s="21">
        <v>13</v>
      </c>
      <c r="M34" s="21">
        <v>81</v>
      </c>
      <c r="N34" s="21">
        <v>108</v>
      </c>
      <c r="O34" s="21">
        <v>1</v>
      </c>
      <c r="P34" s="21"/>
      <c r="Q34" s="21"/>
      <c r="R34" s="21"/>
      <c r="S34" s="21"/>
      <c r="T34" s="21"/>
      <c r="U34" s="25">
        <v>260</v>
      </c>
      <c r="V34" s="25">
        <f>H34*U34*I34/15</f>
        <v>1143866.7864000003</v>
      </c>
      <c r="W34" s="25">
        <v>282.36</v>
      </c>
      <c r="X34" s="25">
        <v>1200064.27</v>
      </c>
      <c r="Y34" s="25">
        <f>F34*80</f>
        <v>16240</v>
      </c>
      <c r="Z34" s="25">
        <v>47901.599999999999</v>
      </c>
      <c r="AA34" s="25">
        <v>0</v>
      </c>
      <c r="AB34" s="25">
        <v>5304</v>
      </c>
      <c r="AC34" s="25">
        <f>F34*30</f>
        <v>6090</v>
      </c>
      <c r="AD34" s="25">
        <f>IF(F34="",G34*4.11,F34*4.11)</f>
        <v>834.33</v>
      </c>
      <c r="AE34" s="25">
        <v>2400.12</v>
      </c>
      <c r="AF34" s="25">
        <f>V34+Y34+Z34+AA34+AB34+AC34+AD34</f>
        <v>1220236.7164000005</v>
      </c>
      <c r="AG34" s="25">
        <f>IFERROR(IFERROR((H34*W34*J34/15)-AE34,""),"")</f>
        <v>1268504.1224</v>
      </c>
      <c r="AH34" s="26">
        <f>IFERROR(AG34-AF34,"")</f>
        <v>48267.405999999493</v>
      </c>
      <c r="AI34" s="6">
        <f>IF(F34="",(G34/$F$39)*$AL$20,(F34/$F$39)*$AL$20)</f>
        <v>2151.0680083857437</v>
      </c>
      <c r="AJ34" s="6">
        <f>(AH34-AI34)*70%</f>
        <v>32281.436594129624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237.77047290640144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3.8050649696492855E-2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3"/>
      <c r="AA37" s="21"/>
      <c r="AB37" s="21"/>
      <c r="AC37" s="21"/>
      <c r="AD37" s="21"/>
      <c r="AE37" s="21"/>
      <c r="AF37" s="21"/>
      <c r="AG37" s="21"/>
      <c r="AH37" s="24"/>
      <c r="AI37" s="47"/>
      <c r="AJ37" s="47"/>
    </row>
    <row r="38" spans="1:36" ht="15" thickBot="1" x14ac:dyDescent="0.4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3"/>
      <c r="AA38" s="21"/>
      <c r="AB38" s="21"/>
      <c r="AC38" s="21"/>
      <c r="AD38" s="21"/>
      <c r="AE38" s="21"/>
      <c r="AF38" s="21"/>
      <c r="AG38" s="21"/>
      <c r="AH38" s="24"/>
      <c r="AI38" s="47"/>
      <c r="AJ38" s="47"/>
    </row>
    <row r="39" spans="1:36" ht="16" thickBot="1" x14ac:dyDescent="0.4">
      <c r="A39" s="377" t="s">
        <v>439</v>
      </c>
      <c r="B39" s="378"/>
      <c r="C39" s="378"/>
      <c r="D39" s="378"/>
      <c r="E39" s="378"/>
      <c r="F39" s="30">
        <f>SUM(F4:G34)</f>
        <v>477</v>
      </c>
      <c r="G39" s="30"/>
      <c r="H39" s="30"/>
      <c r="I39" s="30"/>
      <c r="J39" s="30"/>
      <c r="K39" s="30"/>
      <c r="L39" s="46"/>
      <c r="M39" s="46"/>
      <c r="N39" s="46"/>
      <c r="O39" s="46"/>
      <c r="P39" s="46"/>
      <c r="Q39" s="46"/>
      <c r="R39" s="46"/>
      <c r="S39" s="46"/>
      <c r="T39" s="46"/>
      <c r="U39" s="30"/>
      <c r="V39" s="31">
        <f>V4+V10+V16+V22+V28+V34</f>
        <v>2226638.8717333339</v>
      </c>
      <c r="W39" s="30"/>
      <c r="X39" s="30"/>
      <c r="Y39" s="31">
        <f>Y4+Y10+Y16+Y22+Y28+Y34</f>
        <v>35660</v>
      </c>
      <c r="Z39" s="31">
        <f>Z4+Z10+Z16+Z22+Z28+Z34</f>
        <v>93836</v>
      </c>
      <c r="AA39" s="31">
        <f>AA4+AA10+AA16+AA22+AA28+AA34</f>
        <v>0</v>
      </c>
      <c r="AB39" s="31">
        <f>AB4+AB10+AB16+AB16+AB22+AB28+AB34</f>
        <v>13562</v>
      </c>
      <c r="AC39" s="31">
        <f t="shared" ref="AC39:AJ39" si="0">AC4+AC10+AC16+AC22+AC28+AC34</f>
        <v>14310</v>
      </c>
      <c r="AD39" s="31">
        <f t="shared" si="0"/>
        <v>1960.4700000000003</v>
      </c>
      <c r="AE39" s="31">
        <f t="shared" si="0"/>
        <v>4885.75</v>
      </c>
      <c r="AF39" s="31">
        <f t="shared" si="0"/>
        <v>2384465.8417333337</v>
      </c>
      <c r="AG39" s="31">
        <f t="shared" si="0"/>
        <v>2500507.5974666672</v>
      </c>
      <c r="AH39" s="31">
        <f t="shared" si="0"/>
        <v>116041.75573333289</v>
      </c>
      <c r="AI39" s="31">
        <f t="shared" si="0"/>
        <v>5054.4799999999996</v>
      </c>
      <c r="AJ39" s="31">
        <f t="shared" si="0"/>
        <v>77691.093013333026</v>
      </c>
    </row>
    <row r="40" spans="1:36" x14ac:dyDescent="0.35">
      <c r="AI40" s="6"/>
      <c r="AJ40" s="6"/>
    </row>
    <row r="43" spans="1:36" x14ac:dyDescent="0.35">
      <c r="AI43" s="47"/>
      <c r="AJ43" s="47"/>
    </row>
    <row r="44" spans="1:36" x14ac:dyDescent="0.35">
      <c r="AI44" s="47"/>
      <c r="AJ44" s="47"/>
    </row>
    <row r="45" spans="1:36" x14ac:dyDescent="0.35">
      <c r="AI45" s="14"/>
      <c r="AJ45" s="14"/>
    </row>
    <row r="46" spans="1:36" x14ac:dyDescent="0.35">
      <c r="AI46" s="6"/>
      <c r="AJ46" s="6"/>
    </row>
  </sheetData>
  <mergeCells count="2">
    <mergeCell ref="U2:AC2"/>
    <mergeCell ref="A39:E3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2"/>
  <dimension ref="A1:AP124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6.7265625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bestFit="1" customWidth="1"/>
    <col min="39" max="39" width="15.7265625" customWidth="1"/>
  </cols>
  <sheetData>
    <row r="1" spans="1:42" ht="15" thickBot="1" x14ac:dyDescent="0.4"/>
    <row r="2" spans="1:42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2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AF122</f>
        <v>4812404.2166666668</v>
      </c>
      <c r="AM3" s="164">
        <f>AH122-AI122</f>
        <v>217830.81553333308</v>
      </c>
    </row>
    <row r="4" spans="1:42" x14ac:dyDescent="0.35">
      <c r="A4" s="20">
        <v>44996</v>
      </c>
      <c r="B4" s="21" t="s">
        <v>446</v>
      </c>
      <c r="C4" s="21" t="s">
        <v>119</v>
      </c>
      <c r="D4" s="44">
        <v>145098</v>
      </c>
      <c r="E4" s="44"/>
      <c r="F4" s="21"/>
      <c r="G4" s="21">
        <v>110</v>
      </c>
      <c r="H4" s="22">
        <v>35960</v>
      </c>
      <c r="I4" s="33">
        <v>0.5</v>
      </c>
      <c r="J4" s="24">
        <f>IFERROR(K4/H4,"")</f>
        <v>0.51112347052280316</v>
      </c>
      <c r="K4" s="22">
        <v>18380</v>
      </c>
      <c r="L4" s="21">
        <v>71</v>
      </c>
      <c r="M4" s="21">
        <v>28</v>
      </c>
      <c r="N4" s="21">
        <v>6</v>
      </c>
      <c r="O4" s="21">
        <v>4</v>
      </c>
      <c r="P4" s="21">
        <v>1</v>
      </c>
      <c r="Q4" s="21"/>
      <c r="R4" s="21"/>
      <c r="S4" s="21"/>
      <c r="T4" s="21"/>
      <c r="U4" s="25">
        <v>235</v>
      </c>
      <c r="V4" s="25">
        <f>H4*U4*I4/15</f>
        <v>281686.66666666669</v>
      </c>
      <c r="W4" s="25">
        <v>274.07</v>
      </c>
      <c r="X4" s="25">
        <v>335829.38</v>
      </c>
      <c r="Y4" s="25">
        <f>G4*60</f>
        <v>6600</v>
      </c>
      <c r="Z4" s="25">
        <v>13663.28</v>
      </c>
      <c r="AA4" s="25">
        <v>0</v>
      </c>
      <c r="AB4" s="25">
        <v>2585</v>
      </c>
      <c r="AC4" s="25">
        <f>G4*30</f>
        <v>3300</v>
      </c>
      <c r="AD4" s="25">
        <f>G4*4.11</f>
        <v>452.1</v>
      </c>
      <c r="AE4" s="25">
        <v>671.67</v>
      </c>
      <c r="AF4" s="25">
        <f>V4+Y4+Z4+AA4+AB4+AC4+AD4</f>
        <v>308287.04666666669</v>
      </c>
      <c r="AG4" s="25">
        <f>IFERROR(IFERROR((H4*W4*J4/15)-AE4,""),"")</f>
        <v>335155.43666666665</v>
      </c>
      <c r="AH4" s="26">
        <f>IFERROR(AG4-AF4,"")</f>
        <v>26868.389999999956</v>
      </c>
      <c r="AI4" s="6">
        <f>IF(F4="",(G4/$F$122)*$AL$21,(F4/$F$122)*$AL$21)</f>
        <v>874.99070631970255</v>
      </c>
      <c r="AJ4" s="6">
        <f>(AH4-AI4)*70%</f>
        <v>18195.379505576177</v>
      </c>
      <c r="AL4" s="166" t="s">
        <v>749</v>
      </c>
      <c r="AM4" s="167">
        <f>AM3/AL3</f>
        <v>4.5264446984508412E-2</v>
      </c>
    </row>
    <row r="5" spans="1:42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IFERROR(AH4/G4,"")</f>
        <v>244.2580909090905</v>
      </c>
      <c r="AM5" s="63"/>
    </row>
    <row r="6" spans="1:42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8.0166952585412704E-2</v>
      </c>
      <c r="AM6" s="63"/>
    </row>
    <row r="7" spans="1:42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2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2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F4+G4+F10+G10+F16+G16+F22+G22+F28+G28+F34+G34+F40+G40+F46+G46+F52+G52+F58+G58+F64+G64+F70+G70+F76+G76+F82+G82+F88+G88+F94+G94+F100+G100+F106+G106+F111+G111+F117+G117</f>
        <v>1076</v>
      </c>
      <c r="AM9" s="50" t="s">
        <v>22</v>
      </c>
      <c r="AN9" t="s">
        <v>72</v>
      </c>
    </row>
    <row r="10" spans="1:42" x14ac:dyDescent="0.35">
      <c r="A10" s="20">
        <v>44996</v>
      </c>
      <c r="B10" s="21" t="s">
        <v>330</v>
      </c>
      <c r="C10" s="21" t="s">
        <v>119</v>
      </c>
      <c r="D10" s="44">
        <v>144888</v>
      </c>
      <c r="E10" s="44"/>
      <c r="F10" s="21"/>
      <c r="G10" s="21">
        <v>10</v>
      </c>
      <c r="H10" s="22">
        <v>4140</v>
      </c>
      <c r="I10" s="33">
        <v>0.5</v>
      </c>
      <c r="J10" s="24">
        <f>IFERROR(K10/H10,"")</f>
        <v>0.50917874396135265</v>
      </c>
      <c r="K10" s="22">
        <v>2108</v>
      </c>
      <c r="L10" s="21">
        <v>1</v>
      </c>
      <c r="M10" s="21">
        <v>2</v>
      </c>
      <c r="N10" s="21">
        <v>2</v>
      </c>
      <c r="O10" s="21">
        <v>5</v>
      </c>
      <c r="P10" s="21"/>
      <c r="Q10" s="21"/>
      <c r="R10" s="21"/>
      <c r="S10" s="21"/>
      <c r="T10" s="21"/>
      <c r="U10" s="25">
        <v>210</v>
      </c>
      <c r="V10" s="25">
        <f>H10*U10*I10/15</f>
        <v>28980</v>
      </c>
      <c r="W10" s="25">
        <v>261.51</v>
      </c>
      <c r="X10" s="25">
        <v>36751.019999999997</v>
      </c>
      <c r="Y10" s="25">
        <f>G10*60</f>
        <v>600</v>
      </c>
      <c r="Z10" s="25">
        <v>1242.1099999999999</v>
      </c>
      <c r="AA10" s="25">
        <v>0</v>
      </c>
      <c r="AB10" s="25">
        <v>210</v>
      </c>
      <c r="AC10" s="25">
        <f>G10*30</f>
        <v>300</v>
      </c>
      <c r="AD10" s="25">
        <f>IF(F10="",G10*4.11,F10*4.11)</f>
        <v>41.1</v>
      </c>
      <c r="AE10" s="25">
        <v>73.5</v>
      </c>
      <c r="AF10" s="25">
        <f>V10+Y10+Z10+AA10+AB10+AC10+AD10</f>
        <v>31373.21</v>
      </c>
      <c r="AG10" s="25">
        <f>IFERROR(IFERROR((H10*W10*J10/15)-AE10,""),"")</f>
        <v>36677.371999999996</v>
      </c>
      <c r="AH10" s="26">
        <f>IFERROR(AG10-AF10,"")</f>
        <v>5304.1619999999966</v>
      </c>
      <c r="AI10" s="6">
        <f>IF(F10="",(G10/$F$122)*$AL$21,(F10/$F$122)*$AL$21)</f>
        <v>79.544609665427515</v>
      </c>
      <c r="AJ10" s="6">
        <f>(AH10-AI10)*70%</f>
        <v>3657.2321732341979</v>
      </c>
      <c r="AL10" s="11">
        <f>AH4+AH10+AH16+AH22+AH28+AH34+AH40+AH46+AH52+AH58+AH64+AH70+AH76+AH82+AH88+AH94+AH100+AH106+AH111+AH117</f>
        <v>226389.81553333308</v>
      </c>
      <c r="AM10" s="11">
        <f>AL10*30%</f>
        <v>67916.944659999921</v>
      </c>
    </row>
    <row r="11" spans="1:42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AH10/G10</f>
        <v>530.41619999999966</v>
      </c>
      <c r="AL11" s="11"/>
      <c r="AM11" s="11"/>
    </row>
    <row r="12" spans="1:4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0.14461674080683853</v>
      </c>
    </row>
    <row r="13" spans="1:42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2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77" t="s">
        <v>187</v>
      </c>
      <c r="AM14" s="206" t="s">
        <v>680</v>
      </c>
      <c r="AN14" s="190"/>
      <c r="AO14" s="190"/>
      <c r="AP14" s="191"/>
    </row>
    <row r="15" spans="1:42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178">
        <v>190</v>
      </c>
      <c r="AM15" t="s">
        <v>386</v>
      </c>
      <c r="AP15" s="174"/>
    </row>
    <row r="16" spans="1:42" x14ac:dyDescent="0.35">
      <c r="A16" s="20">
        <v>44996</v>
      </c>
      <c r="B16" s="21" t="s">
        <v>447</v>
      </c>
      <c r="C16" s="21" t="s">
        <v>319</v>
      </c>
      <c r="D16" s="44">
        <v>1704</v>
      </c>
      <c r="E16" s="44"/>
      <c r="F16" s="21">
        <v>20</v>
      </c>
      <c r="G16" s="21"/>
      <c r="H16" s="22">
        <v>10600</v>
      </c>
      <c r="I16" s="33">
        <v>0.5</v>
      </c>
      <c r="J16" s="24">
        <f>IFERROR(K16/H16,"")</f>
        <v>0.46086792452830189</v>
      </c>
      <c r="K16" s="22">
        <v>4885.2</v>
      </c>
      <c r="L16" s="21"/>
      <c r="M16" s="21">
        <v>5</v>
      </c>
      <c r="N16" s="21">
        <v>15</v>
      </c>
      <c r="O16" s="21"/>
      <c r="P16" s="21"/>
      <c r="Q16" s="21"/>
      <c r="R16" s="21"/>
      <c r="S16" s="21"/>
      <c r="T16" s="21"/>
      <c r="U16" s="25">
        <v>250</v>
      </c>
      <c r="V16" s="25">
        <f>H16*U16*I16/15</f>
        <v>88333.333333333328</v>
      </c>
      <c r="W16" s="25">
        <v>282.36</v>
      </c>
      <c r="X16" s="25">
        <v>118232.93</v>
      </c>
      <c r="Y16" s="25">
        <f>F16*30</f>
        <v>600</v>
      </c>
      <c r="Z16" s="25">
        <v>3145</v>
      </c>
      <c r="AA16" s="25">
        <v>0</v>
      </c>
      <c r="AB16" s="25">
        <v>500</v>
      </c>
      <c r="AC16" s="25">
        <f>F16*30</f>
        <v>600</v>
      </c>
      <c r="AD16" s="25">
        <f>IF(F16="",G16*4.11,F16*4.11)</f>
        <v>82.2</v>
      </c>
      <c r="AE16" s="25">
        <v>236.46</v>
      </c>
      <c r="AF16" s="25">
        <f>V16+Y16+Z16+AA16+AB16+AC16+AD16</f>
        <v>93260.533333333326</v>
      </c>
      <c r="AG16" s="25">
        <f>IFERROR(IFERROR((H16*W16*J16/15)-AE16,""),"")</f>
        <v>91722.544799999989</v>
      </c>
      <c r="AH16" s="26">
        <f>IFERROR(AG16-AF16,"")</f>
        <v>-1537.9885333333368</v>
      </c>
      <c r="AI16" s="6">
        <f>IF(F16="",(G16/$F$122)*$AL$21,(F16/$F$122)*$AL$21)</f>
        <v>159.08921933085503</v>
      </c>
      <c r="AJ16" s="6">
        <f>(AH16-AI16)*70%</f>
        <v>-1187.9544268649342</v>
      </c>
      <c r="AL16" s="178">
        <v>2399</v>
      </c>
      <c r="AM16" s="6" t="s">
        <v>456</v>
      </c>
      <c r="AP16" s="174"/>
    </row>
    <row r="17" spans="1:42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-76.899426666666841</v>
      </c>
      <c r="AL17" s="178">
        <v>1520</v>
      </c>
      <c r="AM17" t="s">
        <v>457</v>
      </c>
      <c r="AP17" s="174"/>
    </row>
    <row r="18" spans="1:42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-1.6767835396269304E-2</v>
      </c>
      <c r="AL18" s="178">
        <v>2900</v>
      </c>
      <c r="AM18" t="s">
        <v>457</v>
      </c>
      <c r="AP18" s="174"/>
    </row>
    <row r="19" spans="1:42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205">
        <v>1550</v>
      </c>
      <c r="AM19" t="s">
        <v>458</v>
      </c>
      <c r="AP19" s="174"/>
    </row>
    <row r="20" spans="1:42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78"/>
      <c r="AP20" s="174"/>
    </row>
    <row r="21" spans="1:42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79">
        <f>SUM(AL15:AL20)</f>
        <v>8559</v>
      </c>
      <c r="AM21" s="181" t="s">
        <v>682</v>
      </c>
      <c r="AN21" s="190"/>
      <c r="AO21" s="190"/>
      <c r="AP21" s="191"/>
    </row>
    <row r="22" spans="1:42" x14ac:dyDescent="0.35">
      <c r="A22" s="20">
        <v>44996</v>
      </c>
      <c r="B22" s="21" t="s">
        <v>448</v>
      </c>
      <c r="C22" s="21" t="s">
        <v>319</v>
      </c>
      <c r="D22" s="44">
        <v>1704</v>
      </c>
      <c r="E22" s="44"/>
      <c r="F22" s="21">
        <v>30</v>
      </c>
      <c r="G22" s="21"/>
      <c r="H22" s="22">
        <v>16120</v>
      </c>
      <c r="I22" s="33">
        <v>0.5</v>
      </c>
      <c r="J22" s="24">
        <f>IFERROR(K22/H22,"")</f>
        <v>0.50304590570719609</v>
      </c>
      <c r="K22" s="22">
        <v>8109.1</v>
      </c>
      <c r="L22" s="21"/>
      <c r="M22" s="21">
        <v>11</v>
      </c>
      <c r="N22" s="21">
        <v>19</v>
      </c>
      <c r="O22" s="21"/>
      <c r="P22" s="21"/>
      <c r="Q22" s="21"/>
      <c r="R22" s="21"/>
      <c r="S22" s="21"/>
      <c r="T22" s="21"/>
      <c r="U22" s="25">
        <v>250</v>
      </c>
      <c r="V22" s="25">
        <f>H22*U22*I22/15</f>
        <v>134333.33333333334</v>
      </c>
      <c r="W22" s="25">
        <v>282.36</v>
      </c>
      <c r="X22" s="25">
        <v>177349.39</v>
      </c>
      <c r="Y22" s="25">
        <f>F22*30</f>
        <v>900</v>
      </c>
      <c r="Z22" s="25">
        <v>4717.5</v>
      </c>
      <c r="AA22" s="25">
        <v>0</v>
      </c>
      <c r="AB22" s="25">
        <v>750</v>
      </c>
      <c r="AC22" s="25">
        <f>F22*30</f>
        <v>900</v>
      </c>
      <c r="AD22" s="25">
        <f>IF(F22="",G22*4.11,F22*4.11)</f>
        <v>123.30000000000001</v>
      </c>
      <c r="AE22" s="25">
        <v>354.69</v>
      </c>
      <c r="AF22" s="25">
        <f>V22+Y22+Z22+AA22+AB22+AC22+AD22</f>
        <v>141724.13333333333</v>
      </c>
      <c r="AG22" s="25">
        <f>IFERROR(IFERROR((H22*W22*J22/15)-AE22,""),"")</f>
        <v>152291.00840000002</v>
      </c>
      <c r="AH22" s="26">
        <f>IFERROR(AG22-AF22,"")</f>
        <v>10566.875066666689</v>
      </c>
      <c r="AI22" s="6">
        <f>IF(F22="",(G22/$F$122)*$AL$21,(F22/$F$122)*$AL$21)</f>
        <v>238.63382899628252</v>
      </c>
      <c r="AJ22" s="6">
        <f>(AH22-AI22)*70%</f>
        <v>7229.7688663692843</v>
      </c>
    </row>
    <row r="23" spans="1:4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352.22916888888966</v>
      </c>
      <c r="AL23" s="11">
        <f>AL10-AL21</f>
        <v>217830.81553333308</v>
      </c>
      <c r="AM23" s="11" t="s">
        <v>471</v>
      </c>
    </row>
    <row r="24" spans="1:42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6.9386073266467965E-2</v>
      </c>
      <c r="AL24" s="127">
        <f>AL23*30%</f>
        <v>65349.244659999924</v>
      </c>
      <c r="AM24" s="128" t="s">
        <v>424</v>
      </c>
    </row>
    <row r="25" spans="1:42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</row>
    <row r="26" spans="1:42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</row>
    <row r="27" spans="1:42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</row>
    <row r="28" spans="1:42" x14ac:dyDescent="0.35">
      <c r="A28" s="20">
        <v>44997</v>
      </c>
      <c r="B28" s="21" t="s">
        <v>330</v>
      </c>
      <c r="C28" s="21" t="s">
        <v>449</v>
      </c>
      <c r="D28" s="44">
        <v>1705</v>
      </c>
      <c r="E28" s="44"/>
      <c r="F28" s="21">
        <v>100</v>
      </c>
      <c r="G28" s="21"/>
      <c r="H28" s="22">
        <v>50890</v>
      </c>
      <c r="I28" s="33">
        <v>0.54</v>
      </c>
      <c r="J28" s="24">
        <f>IFERROR(K28/H28,"")</f>
        <v>0.51291412851247786</v>
      </c>
      <c r="K28" s="22">
        <v>26102.2</v>
      </c>
      <c r="L28" s="21"/>
      <c r="M28" s="21">
        <v>49</v>
      </c>
      <c r="N28" s="21">
        <v>51</v>
      </c>
      <c r="O28" s="21"/>
      <c r="P28" s="21"/>
      <c r="Q28" s="21"/>
      <c r="R28" s="21"/>
      <c r="S28" s="21"/>
      <c r="T28" s="21"/>
      <c r="U28" s="25">
        <v>260</v>
      </c>
      <c r="V28" s="25">
        <f>H28*U28*I28/15</f>
        <v>476330.40000000008</v>
      </c>
      <c r="W28" s="25">
        <v>284.76</v>
      </c>
      <c r="X28" s="25">
        <v>543916.67000000004</v>
      </c>
      <c r="Y28" s="25">
        <f>F28*60</f>
        <v>6000</v>
      </c>
      <c r="Z28" s="25">
        <v>21908</v>
      </c>
      <c r="AA28" s="25">
        <v>0</v>
      </c>
      <c r="AB28" s="25">
        <v>2600</v>
      </c>
      <c r="AC28" s="25">
        <f>F28*30</f>
        <v>3000</v>
      </c>
      <c r="AD28" s="25">
        <f>IF(F28="",G28*4.11,F28*4.11)</f>
        <v>411.00000000000006</v>
      </c>
      <c r="AE28" s="25">
        <v>1087.83</v>
      </c>
      <c r="AF28" s="25">
        <f>V28+Y28+Z28+AA28+AB28+AC28+AD28</f>
        <v>510249.40000000008</v>
      </c>
      <c r="AG28" s="25">
        <f>IFERROR(IFERROR((H28*W28*J28/15)-AE28,""),"")</f>
        <v>494436.33480000001</v>
      </c>
      <c r="AH28" s="26">
        <f>IFERROR(AG28-AF28,"")</f>
        <v>-15813.06520000007</v>
      </c>
      <c r="AI28" s="6">
        <f>IF(F28="",(G28/$F$122)*$AL$21,(F28/$F$122)*$AL$21)</f>
        <v>795.44609665427504</v>
      </c>
      <c r="AJ28" s="6">
        <f>(AH28-AI28)*70%</f>
        <v>-11625.957907658041</v>
      </c>
    </row>
    <row r="29" spans="1:42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-158.13065200000071</v>
      </c>
    </row>
    <row r="30" spans="1:42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-3.198200473352443E-2</v>
      </c>
    </row>
    <row r="31" spans="1:42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7"/>
    </row>
    <row r="32" spans="1:42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6" x14ac:dyDescent="0.35">
      <c r="A34" s="20">
        <v>44997</v>
      </c>
      <c r="B34" s="21" t="s">
        <v>330</v>
      </c>
      <c r="C34" s="21" t="s">
        <v>332</v>
      </c>
      <c r="D34" s="44">
        <v>1705</v>
      </c>
      <c r="E34" s="44"/>
      <c r="F34" s="21">
        <v>50</v>
      </c>
      <c r="G34" s="21"/>
      <c r="H34" s="22">
        <v>25700</v>
      </c>
      <c r="I34" s="33">
        <v>0.54</v>
      </c>
      <c r="J34" s="24">
        <f>IFERROR(K34/H34,"")</f>
        <v>0.54238132295719843</v>
      </c>
      <c r="K34" s="22">
        <v>13939.2</v>
      </c>
      <c r="L34" s="21">
        <v>2</v>
      </c>
      <c r="M34" s="21">
        <v>25</v>
      </c>
      <c r="N34" s="21">
        <v>23</v>
      </c>
      <c r="O34" s="21"/>
      <c r="P34" s="21"/>
      <c r="Q34" s="21"/>
      <c r="R34" s="21"/>
      <c r="S34" s="21"/>
      <c r="T34" s="21"/>
      <c r="U34" s="25">
        <v>260</v>
      </c>
      <c r="V34" s="25">
        <f>H34*U34*I34/15</f>
        <v>240552.00000000003</v>
      </c>
      <c r="W34" s="25">
        <v>284.76</v>
      </c>
      <c r="X34" s="25">
        <v>271958.33</v>
      </c>
      <c r="Y34" s="25">
        <f>F34*60</f>
        <v>3000</v>
      </c>
      <c r="Z34" s="25">
        <v>9936.4</v>
      </c>
      <c r="AA34" s="25">
        <v>0</v>
      </c>
      <c r="AB34" s="25">
        <v>1300</v>
      </c>
      <c r="AC34" s="25">
        <f>F34*30</f>
        <v>1500</v>
      </c>
      <c r="AD34" s="25">
        <f>IF(F34="",G34*4.11,F34*4.11)</f>
        <v>205.50000000000003</v>
      </c>
      <c r="AE34" s="25">
        <v>543.91</v>
      </c>
      <c r="AF34" s="25">
        <f>V34+Y34+Z34+AA34+AB34+AC34+AD34</f>
        <v>256493.90000000002</v>
      </c>
      <c r="AG34" s="25">
        <f>IFERROR(IFERROR((H34*W34*J34/15)-AE34,""),"")</f>
        <v>264077.8628</v>
      </c>
      <c r="AH34" s="26">
        <f>IFERROR(AG34-AF34,"")</f>
        <v>7583.9627999999793</v>
      </c>
      <c r="AI34" s="6">
        <f>IF(F34="",(G34/$F$122)*$AL$21,(F34/$F$122)*$AL$21)</f>
        <v>397.72304832713752</v>
      </c>
      <c r="AJ34" s="6">
        <f>(AH34-AI34)*70%</f>
        <v>5030.3678261709883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151.67925599999958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2.8718661684049268E-2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6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6" x14ac:dyDescent="0.35">
      <c r="A39" s="37" t="s">
        <v>1</v>
      </c>
      <c r="B39" s="37" t="s">
        <v>2</v>
      </c>
      <c r="C39" s="37" t="s">
        <v>110</v>
      </c>
      <c r="D39" s="37" t="s">
        <v>66</v>
      </c>
      <c r="E39" s="37"/>
      <c r="F39" s="37" t="s">
        <v>137</v>
      </c>
      <c r="G39" s="37" t="s">
        <v>138</v>
      </c>
      <c r="H39" s="37" t="s">
        <v>4</v>
      </c>
      <c r="I39" s="37" t="s">
        <v>5</v>
      </c>
      <c r="J39" s="37" t="s">
        <v>6</v>
      </c>
      <c r="K39" s="37" t="s">
        <v>7</v>
      </c>
      <c r="L39" s="37" t="s">
        <v>279</v>
      </c>
      <c r="M39" s="37" t="s">
        <v>280</v>
      </c>
      <c r="N39" s="37" t="s">
        <v>281</v>
      </c>
      <c r="O39" s="37" t="s">
        <v>282</v>
      </c>
      <c r="P39" s="37" t="s">
        <v>283</v>
      </c>
      <c r="Q39" s="37" t="s">
        <v>284</v>
      </c>
      <c r="R39" s="37" t="s">
        <v>904</v>
      </c>
      <c r="S39" s="37" t="s">
        <v>285</v>
      </c>
      <c r="T39" s="37" t="s">
        <v>289</v>
      </c>
      <c r="U39" s="37" t="s">
        <v>8</v>
      </c>
      <c r="V39" s="37" t="s">
        <v>9</v>
      </c>
      <c r="W39" s="37" t="s">
        <v>10</v>
      </c>
      <c r="X39" s="37" t="s">
        <v>100</v>
      </c>
      <c r="Y39" s="37" t="s">
        <v>106</v>
      </c>
      <c r="Z39" s="37" t="s">
        <v>12</v>
      </c>
      <c r="AA39" s="37" t="s">
        <v>258</v>
      </c>
      <c r="AB39" s="37" t="s">
        <v>13</v>
      </c>
      <c r="AC39" s="37" t="s">
        <v>74</v>
      </c>
      <c r="AD39" s="37" t="s">
        <v>21</v>
      </c>
      <c r="AE39" s="37" t="s">
        <v>14</v>
      </c>
      <c r="AF39" s="37" t="s">
        <v>15</v>
      </c>
      <c r="AG39" s="37" t="s">
        <v>16</v>
      </c>
      <c r="AH39" s="15" t="s">
        <v>17</v>
      </c>
      <c r="AI39" s="14" t="s">
        <v>679</v>
      </c>
      <c r="AJ39" s="14" t="s">
        <v>678</v>
      </c>
    </row>
    <row r="40" spans="1:36" x14ac:dyDescent="0.35">
      <c r="A40" s="38">
        <v>44997</v>
      </c>
      <c r="B40" s="39" t="s">
        <v>330</v>
      </c>
      <c r="C40" s="39" t="s">
        <v>332</v>
      </c>
      <c r="D40" s="45">
        <v>145038</v>
      </c>
      <c r="E40" s="45"/>
      <c r="F40" s="39">
        <v>50</v>
      </c>
      <c r="G40" s="39"/>
      <c r="H40" s="40">
        <v>26980</v>
      </c>
      <c r="I40" s="53">
        <v>0.54</v>
      </c>
      <c r="J40" s="42">
        <f>IFERROR(K40/H40,"")</f>
        <v>0.54640474425500374</v>
      </c>
      <c r="K40" s="40">
        <v>14742</v>
      </c>
      <c r="L40" s="39">
        <v>2</v>
      </c>
      <c r="M40" s="39">
        <v>28</v>
      </c>
      <c r="N40" s="39">
        <v>18</v>
      </c>
      <c r="O40" s="39">
        <v>2</v>
      </c>
      <c r="P40" s="39"/>
      <c r="Q40" s="39"/>
      <c r="R40" s="39"/>
      <c r="S40" s="39"/>
      <c r="T40" s="39"/>
      <c r="U40" s="43">
        <v>260</v>
      </c>
      <c r="V40" s="43">
        <f>H40*U40*I40/15</f>
        <v>252532.80000000002</v>
      </c>
      <c r="W40" s="43">
        <v>285.87</v>
      </c>
      <c r="X40" s="43">
        <v>280952.39</v>
      </c>
      <c r="Y40" s="43">
        <f>F40*60</f>
        <v>3000</v>
      </c>
      <c r="Z40" s="43">
        <v>10603</v>
      </c>
      <c r="AA40" s="43">
        <v>0</v>
      </c>
      <c r="AB40" s="43">
        <v>1300</v>
      </c>
      <c r="AC40" s="43">
        <f>F40*30</f>
        <v>1500</v>
      </c>
      <c r="AD40" s="43">
        <f>IF(F40="",G40*4.11,F40*4.11)</f>
        <v>205.50000000000003</v>
      </c>
      <c r="AE40" s="43">
        <v>561.9</v>
      </c>
      <c r="AF40" s="43">
        <f>V40+Y40+Z40+AA40+AB40+AC40+AD40</f>
        <v>269141.30000000005</v>
      </c>
      <c r="AG40" s="43">
        <f>IFERROR(IFERROR((H40*W40*J40/15)-AE40,""),"")</f>
        <v>280391.13600000006</v>
      </c>
      <c r="AH40" s="26">
        <f>IFERROR(AG40-AF40,"")</f>
        <v>11249.83600000001</v>
      </c>
      <c r="AI40" s="6">
        <f>IF(F40="",(G40/$F$122)*$AL$21,(F40/$F$122)*$AL$21)</f>
        <v>397.72304832713752</v>
      </c>
      <c r="AJ40" s="6">
        <f>(AH40-AI40)*70%</f>
        <v>7596.4790661710103</v>
      </c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224.99672000000021</v>
      </c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4.0121938804798765E-2</v>
      </c>
    </row>
    <row r="43" spans="1:36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6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6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6" x14ac:dyDescent="0.35">
      <c r="A46" s="20">
        <v>44998</v>
      </c>
      <c r="B46" s="21" t="s">
        <v>450</v>
      </c>
      <c r="C46" s="21" t="s">
        <v>136</v>
      </c>
      <c r="D46" s="44">
        <v>1705</v>
      </c>
      <c r="E46" s="44"/>
      <c r="F46" s="21">
        <v>50</v>
      </c>
      <c r="G46" s="21"/>
      <c r="H46" s="22">
        <v>27240</v>
      </c>
      <c r="I46" s="33">
        <v>0.53</v>
      </c>
      <c r="J46" s="24">
        <f>IFERROR(K46/H46,"")</f>
        <v>0.53140234948604992</v>
      </c>
      <c r="K46" s="22">
        <v>14475.4</v>
      </c>
      <c r="L46" s="21">
        <v>5</v>
      </c>
      <c r="M46" s="21">
        <v>24</v>
      </c>
      <c r="N46" s="21">
        <v>21</v>
      </c>
      <c r="O46" s="21"/>
      <c r="P46" s="21"/>
      <c r="Q46" s="21"/>
      <c r="R46" s="21"/>
      <c r="S46" s="21"/>
      <c r="T46" s="21"/>
      <c r="U46" s="25">
        <v>260</v>
      </c>
      <c r="V46" s="25">
        <f>H46*U46*I46/15</f>
        <v>250244.8</v>
      </c>
      <c r="W46" s="25">
        <v>284.76</v>
      </c>
      <c r="X46" s="25">
        <v>271958.33</v>
      </c>
      <c r="Y46" s="25">
        <f>G46*60</f>
        <v>0</v>
      </c>
      <c r="Z46" s="25">
        <v>10784.7</v>
      </c>
      <c r="AA46" s="25">
        <v>0</v>
      </c>
      <c r="AB46" s="25">
        <v>1300</v>
      </c>
      <c r="AC46" s="25">
        <f>F46*30</f>
        <v>1500</v>
      </c>
      <c r="AD46" s="25">
        <f>IF(F46="",G46*4.11,F46*4.11)</f>
        <v>205.50000000000003</v>
      </c>
      <c r="AE46" s="25">
        <v>543.91</v>
      </c>
      <c r="AF46" s="25">
        <f>V46+Y46+Z46+AA46+AB46+AC46+AD46</f>
        <v>264035</v>
      </c>
      <c r="AG46" s="25">
        <f>IFERROR(IFERROR((H46*W46*J46/15)-AE46,""),"")</f>
        <v>274257.08360000001</v>
      </c>
      <c r="AH46" s="26">
        <f>IFERROR(AG46-AF46,"")</f>
        <v>10222.083600000013</v>
      </c>
      <c r="AI46" s="6">
        <f>IF(F46="",(G46/$F$122)*$AL$21,(F46/$F$122)*$AL$21)</f>
        <v>397.72304832713752</v>
      </c>
      <c r="AJ46" s="6">
        <f>(AH46-AI46)*70%</f>
        <v>6877.0523861710117</v>
      </c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204.44167200000027</v>
      </c>
    </row>
    <row r="48" spans="1:36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3.727190366724957E-2</v>
      </c>
    </row>
    <row r="49" spans="1:36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6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6" x14ac:dyDescent="0.35">
      <c r="A52" s="20">
        <v>44998</v>
      </c>
      <c r="B52" s="21" t="s">
        <v>330</v>
      </c>
      <c r="C52" s="21" t="s">
        <v>440</v>
      </c>
      <c r="D52" s="44">
        <v>1705</v>
      </c>
      <c r="E52" s="44"/>
      <c r="F52" s="117">
        <v>99</v>
      </c>
      <c r="G52" s="21"/>
      <c r="H52" s="22">
        <v>54915.3</v>
      </c>
      <c r="I52" s="33">
        <v>0.54</v>
      </c>
      <c r="J52" s="24">
        <f>IFERROR(K52/H52,"")</f>
        <v>0.56727360134607296</v>
      </c>
      <c r="K52" s="22">
        <v>31152</v>
      </c>
      <c r="L52" s="21"/>
      <c r="M52" s="21">
        <v>56</v>
      </c>
      <c r="N52" s="21">
        <v>43</v>
      </c>
      <c r="O52" s="21"/>
      <c r="P52" s="21"/>
      <c r="Q52" s="21"/>
      <c r="R52" s="21"/>
      <c r="S52" s="21"/>
      <c r="T52" s="21"/>
      <c r="U52" s="25">
        <v>260</v>
      </c>
      <c r="V52" s="25">
        <f>H52*U52*I52/15</f>
        <v>514007.20799999998</v>
      </c>
      <c r="W52" s="25">
        <v>284.76</v>
      </c>
      <c r="X52" s="25">
        <v>538477.51</v>
      </c>
      <c r="Y52" s="25">
        <f>F52*60</f>
        <v>5940</v>
      </c>
      <c r="Z52" s="25">
        <v>15696</v>
      </c>
      <c r="AA52" s="25">
        <v>0</v>
      </c>
      <c r="AB52" s="25">
        <v>2600</v>
      </c>
      <c r="AC52" s="25">
        <f>F52*30</f>
        <v>2970</v>
      </c>
      <c r="AD52" s="25">
        <f>IF(F52="",G52*4.11,F52*4.11)</f>
        <v>406.89000000000004</v>
      </c>
      <c r="AE52" s="25">
        <v>1076.95</v>
      </c>
      <c r="AF52" s="25">
        <f>V52+Y52+Z52+AA52+AB52+AC52+AD52</f>
        <v>541620.098</v>
      </c>
      <c r="AG52" s="25">
        <f>IFERROR(IFERROR((H52*W52*J52/15)-AE52,""),"")</f>
        <v>590312.61800000002</v>
      </c>
      <c r="AH52" s="26">
        <f>IFERROR(AG52-AF52,"")</f>
        <v>48692.520000000019</v>
      </c>
      <c r="AI52" s="6">
        <f>IF(F52="",(G52/$F$122)*$AL$21,(F52/$F$122)*$AL$21)</f>
        <v>787.49163568773236</v>
      </c>
      <c r="AJ52" s="6">
        <f>(AH52-AI52)*70%</f>
        <v>33533.519855018603</v>
      </c>
    </row>
    <row r="53" spans="1:36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491.84363636363656</v>
      </c>
    </row>
    <row r="54" spans="1:36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8.2485988805341817E-2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6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36" x14ac:dyDescent="0.35">
      <c r="A58" s="20">
        <v>44998</v>
      </c>
      <c r="B58" s="21" t="s">
        <v>451</v>
      </c>
      <c r="C58" s="21" t="s">
        <v>412</v>
      </c>
      <c r="D58" s="44">
        <v>145036</v>
      </c>
      <c r="E58" s="44"/>
      <c r="F58" s="21"/>
      <c r="G58" s="21">
        <v>63</v>
      </c>
      <c r="H58" s="22">
        <v>21050</v>
      </c>
      <c r="I58" s="33">
        <v>0.5</v>
      </c>
      <c r="J58" s="24">
        <f>IFERROR(K58/H58,"")</f>
        <v>0.49845605700712586</v>
      </c>
      <c r="K58" s="22">
        <v>10492.5</v>
      </c>
      <c r="L58" s="21">
        <v>42</v>
      </c>
      <c r="M58" s="21">
        <v>19</v>
      </c>
      <c r="N58" s="21">
        <v>2</v>
      </c>
      <c r="O58" s="21"/>
      <c r="P58" s="21"/>
      <c r="Q58" s="21"/>
      <c r="R58" s="21"/>
      <c r="S58" s="21"/>
      <c r="T58" s="21"/>
      <c r="U58" s="25">
        <v>225</v>
      </c>
      <c r="V58" s="25">
        <f>H58*U58*I58/15</f>
        <v>157875</v>
      </c>
      <c r="W58" s="25">
        <v>279.69</v>
      </c>
      <c r="X58" s="25">
        <v>195642.21</v>
      </c>
      <c r="Y58" s="25">
        <f>G58*30</f>
        <v>1890</v>
      </c>
      <c r="Z58" s="25">
        <v>8691.1</v>
      </c>
      <c r="AA58" s="25">
        <v>0</v>
      </c>
      <c r="AB58" s="25">
        <v>1417.5</v>
      </c>
      <c r="AC58" s="25">
        <f>G58*30</f>
        <v>1890</v>
      </c>
      <c r="AD58" s="25">
        <f>IF(F58="",G58*4.11,F58*4.11)</f>
        <v>258.93</v>
      </c>
      <c r="AE58" s="25">
        <v>391.28</v>
      </c>
      <c r="AF58" s="25">
        <f>V58+Y58+Z58+AA58+AB58+AC58+AD58</f>
        <v>172022.53</v>
      </c>
      <c r="AG58" s="25">
        <f>IFERROR(IFERROR((H58*W58*J58/15)-AE58,""),"")</f>
        <v>195251.87499999997</v>
      </c>
      <c r="AH58" s="26">
        <f>IFERROR(AG58-AF58,"")</f>
        <v>23229.344999999972</v>
      </c>
      <c r="AI58" s="6">
        <f>IF(F58="",(G58/$F$122)*$AL$21,(F58/$F$122)*$AL$21)</f>
        <v>501.13104089219331</v>
      </c>
      <c r="AJ58" s="6">
        <f>(AH58-AI58)*70%</f>
        <v>15909.749771375444</v>
      </c>
    </row>
    <row r="59" spans="1:36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AH58/G58</f>
        <v>368.71976190476147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0.11897117505273624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44999</v>
      </c>
      <c r="B64" s="21" t="s">
        <v>333</v>
      </c>
      <c r="C64" s="21" t="s">
        <v>141</v>
      </c>
      <c r="D64" s="44">
        <v>145102</v>
      </c>
      <c r="E64" s="44"/>
      <c r="F64" s="21">
        <v>50</v>
      </c>
      <c r="G64" s="21"/>
      <c r="H64" s="22">
        <v>23060</v>
      </c>
      <c r="I64" s="33">
        <v>0.53</v>
      </c>
      <c r="J64" s="24">
        <f>IFERROR(K64/H64,"")</f>
        <v>0.52708152645273199</v>
      </c>
      <c r="K64" s="22">
        <v>12154.5</v>
      </c>
      <c r="L64" s="21">
        <v>12</v>
      </c>
      <c r="M64" s="21">
        <v>27</v>
      </c>
      <c r="N64" s="21">
        <v>10</v>
      </c>
      <c r="O64" s="21">
        <v>1</v>
      </c>
      <c r="P64" s="21"/>
      <c r="Q64" s="21"/>
      <c r="R64" s="21"/>
      <c r="S64" s="21"/>
      <c r="T64" s="21"/>
      <c r="U64" s="25">
        <v>260</v>
      </c>
      <c r="V64" s="25">
        <f>H64*U64*I64/15</f>
        <v>211844.53333333333</v>
      </c>
      <c r="W64" s="25">
        <v>283.62</v>
      </c>
      <c r="X64" s="25">
        <v>229813.71</v>
      </c>
      <c r="Y64" s="25">
        <f>F64*30</f>
        <v>1500</v>
      </c>
      <c r="Z64" s="25">
        <v>9080.7999999999993</v>
      </c>
      <c r="AA64" s="25">
        <v>0</v>
      </c>
      <c r="AB64" s="25">
        <v>1300</v>
      </c>
      <c r="AC64" s="25">
        <f>F64*30</f>
        <v>1500</v>
      </c>
      <c r="AD64" s="25">
        <f>IF(F64="",G64*4.11,F64*4.11)</f>
        <v>205.50000000000003</v>
      </c>
      <c r="AE64" s="25">
        <v>459.63</v>
      </c>
      <c r="AF64" s="25">
        <f>V64+Y64+Z64+AA64+AB64+AC64+AD64</f>
        <v>225430.83333333331</v>
      </c>
      <c r="AG64" s="25">
        <f>IFERROR(IFERROR((H64*W64*J64/15)-AE64,""),"")</f>
        <v>229357.65599999999</v>
      </c>
      <c r="AH64" s="26">
        <f>IFERROR(AG64-AF64,"")</f>
        <v>3926.8226666666742</v>
      </c>
      <c r="AI64" s="6">
        <f>IF(F64="",(G64/$F$122)*$AL$21,(F64/$F$122)*$AL$21)</f>
        <v>397.72304832713752</v>
      </c>
      <c r="AJ64" s="6">
        <f>(AH64-AI64)*70%</f>
        <v>2470.3697328376757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78.536453333333483</v>
      </c>
    </row>
    <row r="66" spans="1:36" ht="15" customHeight="1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1.7120957438920958E-2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47"/>
      <c r="AI68" s="47"/>
      <c r="AJ68" s="47"/>
    </row>
    <row r="69" spans="1:36" x14ac:dyDescent="0.35">
      <c r="A69" s="37" t="s">
        <v>1</v>
      </c>
      <c r="B69" s="37" t="s">
        <v>2</v>
      </c>
      <c r="C69" s="37" t="s">
        <v>110</v>
      </c>
      <c r="D69" s="37" t="s">
        <v>66</v>
      </c>
      <c r="E69" s="37"/>
      <c r="F69" s="37" t="s">
        <v>137</v>
      </c>
      <c r="G69" s="37" t="s">
        <v>138</v>
      </c>
      <c r="H69" s="37" t="s">
        <v>4</v>
      </c>
      <c r="I69" s="37" t="s">
        <v>5</v>
      </c>
      <c r="J69" s="37" t="s">
        <v>6</v>
      </c>
      <c r="K69" s="37" t="s">
        <v>7</v>
      </c>
      <c r="L69" s="37" t="s">
        <v>279</v>
      </c>
      <c r="M69" s="37" t="s">
        <v>280</v>
      </c>
      <c r="N69" s="37" t="s">
        <v>281</v>
      </c>
      <c r="O69" s="37" t="s">
        <v>282</v>
      </c>
      <c r="P69" s="37" t="s">
        <v>283</v>
      </c>
      <c r="Q69" s="37" t="s">
        <v>284</v>
      </c>
      <c r="R69" s="37" t="s">
        <v>904</v>
      </c>
      <c r="S69" s="37" t="s">
        <v>285</v>
      </c>
      <c r="T69" s="37" t="s">
        <v>289</v>
      </c>
      <c r="U69" s="37" t="s">
        <v>8</v>
      </c>
      <c r="V69" s="37" t="s">
        <v>9</v>
      </c>
      <c r="W69" s="37" t="s">
        <v>10</v>
      </c>
      <c r="X69" s="37" t="s">
        <v>100</v>
      </c>
      <c r="Y69" s="37" t="s">
        <v>106</v>
      </c>
      <c r="Z69" s="37" t="s">
        <v>12</v>
      </c>
      <c r="AA69" s="37" t="s">
        <v>258</v>
      </c>
      <c r="AB69" s="37" t="s">
        <v>13</v>
      </c>
      <c r="AC69" s="37" t="s">
        <v>74</v>
      </c>
      <c r="AD69" s="37" t="s">
        <v>21</v>
      </c>
      <c r="AE69" s="37" t="s">
        <v>14</v>
      </c>
      <c r="AF69" s="37" t="s">
        <v>15</v>
      </c>
      <c r="AG69" s="37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38">
        <v>44999</v>
      </c>
      <c r="B70" s="39" t="s">
        <v>442</v>
      </c>
      <c r="C70" s="39" t="s">
        <v>174</v>
      </c>
      <c r="D70" s="45">
        <v>144835</v>
      </c>
      <c r="E70" s="45"/>
      <c r="F70" s="39"/>
      <c r="G70" s="39">
        <v>65</v>
      </c>
      <c r="H70" s="40">
        <v>23920</v>
      </c>
      <c r="I70" s="53">
        <v>0.5</v>
      </c>
      <c r="J70" s="42">
        <f>IFERROR(K70/H70,"")</f>
        <v>0.50085702341137128</v>
      </c>
      <c r="K70" s="40">
        <v>11980.5</v>
      </c>
      <c r="L70" s="39">
        <v>8</v>
      </c>
      <c r="M70" s="39">
        <v>30</v>
      </c>
      <c r="N70" s="39">
        <v>24</v>
      </c>
      <c r="O70" s="39">
        <v>2</v>
      </c>
      <c r="P70" s="39">
        <v>1</v>
      </c>
      <c r="Q70" s="39"/>
      <c r="R70" s="39"/>
      <c r="S70" s="39"/>
      <c r="T70" s="39"/>
      <c r="U70" s="43">
        <v>235</v>
      </c>
      <c r="V70" s="43">
        <f>H70*U70*I70/15</f>
        <v>187373.33333333334</v>
      </c>
      <c r="W70" s="43">
        <v>278.05</v>
      </c>
      <c r="X70" s="43">
        <v>222078.25</v>
      </c>
      <c r="Y70" s="43">
        <f>G70*30</f>
        <v>1950</v>
      </c>
      <c r="Z70" s="43">
        <v>10882.5</v>
      </c>
      <c r="AA70" s="43">
        <v>0</v>
      </c>
      <c r="AB70" s="43">
        <v>1527.5</v>
      </c>
      <c r="AC70" s="43">
        <f>G70*30</f>
        <v>1950</v>
      </c>
      <c r="AD70" s="43">
        <f>IF(F70="",G70*4.11,F70*4.11)</f>
        <v>267.15000000000003</v>
      </c>
      <c r="AE70" s="43">
        <v>444.16</v>
      </c>
      <c r="AF70" s="43">
        <f>V70+Y70+Z70+AA70+AB70+AC70+AD70</f>
        <v>203950.48333333334</v>
      </c>
      <c r="AG70" s="43">
        <f>IFERROR(IFERROR((H70*W70*J70/15)-AE70,""),"")</f>
        <v>221634.37500000003</v>
      </c>
      <c r="AH70" s="26">
        <f>IFERROR(AG70-AF70,"")</f>
        <v>17683.891666666692</v>
      </c>
      <c r="AI70" s="6">
        <f>IF(F70="",(G70/$F$122)*$AL$21,(F70/$F$122)*$AL$21)</f>
        <v>517.03996282527885</v>
      </c>
      <c r="AJ70" s="6">
        <f>(AH70-AI70)*70%</f>
        <v>12016.796192688989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AH70/G70</f>
        <v>272.05987179487221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7.9788578223331505E-2</v>
      </c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47"/>
      <c r="AI73" s="47"/>
      <c r="AJ73" s="47"/>
    </row>
    <row r="74" spans="1:36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47"/>
      <c r="AI74" s="47"/>
      <c r="AJ74" s="47"/>
    </row>
    <row r="75" spans="1:36" x14ac:dyDescent="0.35">
      <c r="A75" s="14" t="s">
        <v>1</v>
      </c>
      <c r="B75" s="14" t="s">
        <v>2</v>
      </c>
      <c r="C75" s="14" t="s">
        <v>110</v>
      </c>
      <c r="D75" s="14" t="s">
        <v>66</v>
      </c>
      <c r="E75" s="14"/>
      <c r="F75" s="14" t="s">
        <v>137</v>
      </c>
      <c r="G75" s="14" t="s">
        <v>138</v>
      </c>
      <c r="H75" s="14" t="s">
        <v>4</v>
      </c>
      <c r="I75" s="14" t="s">
        <v>5</v>
      </c>
      <c r="J75" s="14" t="s">
        <v>6</v>
      </c>
      <c r="K75" s="14" t="s">
        <v>7</v>
      </c>
      <c r="L75" s="14" t="s">
        <v>279</v>
      </c>
      <c r="M75" s="14" t="s">
        <v>280</v>
      </c>
      <c r="N75" s="14" t="s">
        <v>281</v>
      </c>
      <c r="O75" s="14" t="s">
        <v>282</v>
      </c>
      <c r="P75" s="14" t="s">
        <v>283</v>
      </c>
      <c r="Q75" s="14" t="s">
        <v>284</v>
      </c>
      <c r="R75" s="14" t="s">
        <v>904</v>
      </c>
      <c r="S75" s="14" t="s">
        <v>285</v>
      </c>
      <c r="T75" s="14" t="s">
        <v>289</v>
      </c>
      <c r="U75" s="14" t="s">
        <v>8</v>
      </c>
      <c r="V75" s="14" t="s">
        <v>9</v>
      </c>
      <c r="W75" s="14" t="s">
        <v>10</v>
      </c>
      <c r="X75" s="14" t="s">
        <v>100</v>
      </c>
      <c r="Y75" s="14" t="s">
        <v>106</v>
      </c>
      <c r="Z75" s="14" t="s">
        <v>12</v>
      </c>
      <c r="AA75" s="14" t="s">
        <v>258</v>
      </c>
      <c r="AB75" s="14" t="s">
        <v>13</v>
      </c>
      <c r="AC75" s="14" t="s">
        <v>74</v>
      </c>
      <c r="AD75" s="14" t="s">
        <v>21</v>
      </c>
      <c r="AE75" s="14" t="s">
        <v>14</v>
      </c>
      <c r="AF75" s="14" t="s">
        <v>15</v>
      </c>
      <c r="AG75" s="14" t="s">
        <v>16</v>
      </c>
      <c r="AH75" s="15" t="s">
        <v>17</v>
      </c>
      <c r="AI75" s="14" t="s">
        <v>679</v>
      </c>
      <c r="AJ75" s="14" t="s">
        <v>678</v>
      </c>
    </row>
    <row r="76" spans="1:36" x14ac:dyDescent="0.35">
      <c r="A76" s="20">
        <v>45000</v>
      </c>
      <c r="B76" s="21" t="s">
        <v>454</v>
      </c>
      <c r="C76" s="21" t="s">
        <v>332</v>
      </c>
      <c r="D76" s="44">
        <v>145171</v>
      </c>
      <c r="E76" s="44"/>
      <c r="F76" s="21">
        <v>40</v>
      </c>
      <c r="G76" s="21"/>
      <c r="H76" s="22">
        <v>22740</v>
      </c>
      <c r="I76" s="33">
        <v>0.55000000000000004</v>
      </c>
      <c r="J76" s="24">
        <f>IFERROR(K76/H76,"")</f>
        <v>0.53645558487247147</v>
      </c>
      <c r="K76" s="22">
        <v>12199</v>
      </c>
      <c r="L76" s="21">
        <v>5</v>
      </c>
      <c r="M76" s="21">
        <v>26</v>
      </c>
      <c r="N76" s="21">
        <v>8</v>
      </c>
      <c r="O76" s="21">
        <v>1</v>
      </c>
      <c r="P76" s="21"/>
      <c r="Q76" s="21"/>
      <c r="R76" s="21"/>
      <c r="S76" s="21"/>
      <c r="T76" s="21"/>
      <c r="U76" s="25">
        <v>260</v>
      </c>
      <c r="V76" s="25">
        <f>H76*U76*I76/15</f>
        <v>216788.00000000003</v>
      </c>
      <c r="W76" s="25">
        <v>283.77</v>
      </c>
      <c r="X76" s="25">
        <v>220785.26</v>
      </c>
      <c r="Y76" s="25">
        <f>F76*30</f>
        <v>1200</v>
      </c>
      <c r="Z76" s="25">
        <v>8065.04</v>
      </c>
      <c r="AA76" s="25">
        <v>0</v>
      </c>
      <c r="AB76" s="25">
        <v>1040</v>
      </c>
      <c r="AC76" s="25">
        <f>F76*30</f>
        <v>1200</v>
      </c>
      <c r="AD76" s="25">
        <f>IF(F76="",G76*4.11,F76*4.11)</f>
        <v>164.4</v>
      </c>
      <c r="AE76" s="25">
        <v>441.56</v>
      </c>
      <c r="AF76" s="25">
        <f>V76+Y76+Z76+AA76+AB76+AC76+AD76</f>
        <v>228457.44000000003</v>
      </c>
      <c r="AG76" s="25">
        <f>IFERROR(IFERROR((H76*W76*J76/15)-AE76,""),"")</f>
        <v>230339.12200000003</v>
      </c>
      <c r="AH76" s="26">
        <f>IFERROR(AG76-AF76,"")</f>
        <v>1881.6820000000007</v>
      </c>
      <c r="AI76" s="6">
        <f>IF(F76="",(G76/$F$122)*$AL$21,(F76/$F$122)*$AL$21)</f>
        <v>318.17843866171006</v>
      </c>
      <c r="AJ76" s="6">
        <f>(AH76-AI76)*70%</f>
        <v>1094.4524929368033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AH76/F76</f>
        <v>47.042050000000017</v>
      </c>
    </row>
    <row r="78" spans="1:36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7">
        <f>IFERROR(AH76/AG76,"")</f>
        <v>8.1691810911739098E-3</v>
      </c>
    </row>
    <row r="79" spans="1:36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47"/>
      <c r="AI79" s="47"/>
      <c r="AJ79" s="47"/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47"/>
      <c r="AI80" s="47"/>
      <c r="AJ80" s="47"/>
    </row>
    <row r="81" spans="1:36" x14ac:dyDescent="0.35">
      <c r="A81" s="14" t="s">
        <v>1</v>
      </c>
      <c r="B81" s="14" t="s">
        <v>2</v>
      </c>
      <c r="C81" s="14" t="s">
        <v>110</v>
      </c>
      <c r="D81" s="14" t="s">
        <v>66</v>
      </c>
      <c r="E81" s="14"/>
      <c r="F81" s="14" t="s">
        <v>137</v>
      </c>
      <c r="G81" s="14" t="s">
        <v>138</v>
      </c>
      <c r="H81" s="14" t="s">
        <v>4</v>
      </c>
      <c r="I81" s="14" t="s">
        <v>5</v>
      </c>
      <c r="J81" s="14" t="s">
        <v>6</v>
      </c>
      <c r="K81" s="14" t="s">
        <v>7</v>
      </c>
      <c r="L81" s="14" t="s">
        <v>279</v>
      </c>
      <c r="M81" s="14" t="s">
        <v>280</v>
      </c>
      <c r="N81" s="14" t="s">
        <v>281</v>
      </c>
      <c r="O81" s="14" t="s">
        <v>282</v>
      </c>
      <c r="P81" s="14" t="s">
        <v>283</v>
      </c>
      <c r="Q81" s="14" t="s">
        <v>284</v>
      </c>
      <c r="R81" s="14" t="s">
        <v>904</v>
      </c>
      <c r="S81" s="14" t="s">
        <v>285</v>
      </c>
      <c r="T81" s="14" t="s">
        <v>289</v>
      </c>
      <c r="U81" s="14" t="s">
        <v>8</v>
      </c>
      <c r="V81" s="14" t="s">
        <v>9</v>
      </c>
      <c r="W81" s="14" t="s">
        <v>10</v>
      </c>
      <c r="X81" s="14" t="s">
        <v>100</v>
      </c>
      <c r="Y81" s="14" t="s">
        <v>106</v>
      </c>
      <c r="Z81" s="14" t="s">
        <v>12</v>
      </c>
      <c r="AA81" s="14" t="s">
        <v>258</v>
      </c>
      <c r="AB81" s="14" t="s">
        <v>13</v>
      </c>
      <c r="AC81" s="14" t="s">
        <v>74</v>
      </c>
      <c r="AD81" s="14" t="s">
        <v>21</v>
      </c>
      <c r="AE81" s="14" t="s">
        <v>14</v>
      </c>
      <c r="AF81" s="14" t="s">
        <v>15</v>
      </c>
      <c r="AG81" s="14" t="s">
        <v>16</v>
      </c>
      <c r="AH81" s="15" t="s">
        <v>17</v>
      </c>
      <c r="AI81" s="14" t="s">
        <v>679</v>
      </c>
      <c r="AJ81" s="14" t="s">
        <v>678</v>
      </c>
    </row>
    <row r="82" spans="1:36" x14ac:dyDescent="0.35">
      <c r="A82" s="20">
        <v>45000</v>
      </c>
      <c r="B82" s="21" t="s">
        <v>455</v>
      </c>
      <c r="C82" s="21" t="s">
        <v>124</v>
      </c>
      <c r="D82" s="44">
        <v>144834</v>
      </c>
      <c r="E82" s="44"/>
      <c r="F82" s="21"/>
      <c r="G82" s="21">
        <v>65</v>
      </c>
      <c r="H82" s="22">
        <v>24840</v>
      </c>
      <c r="I82" s="33">
        <v>0.5</v>
      </c>
      <c r="J82" s="24">
        <f>IFERROR(K82/H82,"")</f>
        <v>0.49762479871175525</v>
      </c>
      <c r="K82" s="22">
        <v>12361</v>
      </c>
      <c r="L82" s="21">
        <v>4</v>
      </c>
      <c r="M82" s="21">
        <v>15</v>
      </c>
      <c r="N82" s="21">
        <v>33</v>
      </c>
      <c r="O82" s="21">
        <v>13</v>
      </c>
      <c r="P82" s="21"/>
      <c r="Q82" s="21"/>
      <c r="R82" s="21"/>
      <c r="S82" s="21"/>
      <c r="T82" s="21"/>
      <c r="U82" s="25">
        <v>230</v>
      </c>
      <c r="V82" s="25">
        <f>H82*U82*I82/15</f>
        <v>190440</v>
      </c>
      <c r="W82" s="25">
        <v>274.83999999999997</v>
      </c>
      <c r="X82" s="25">
        <v>226486.9</v>
      </c>
      <c r="Y82" s="25">
        <f>G82*30</f>
        <v>1950</v>
      </c>
      <c r="Z82" s="25">
        <v>10274.4</v>
      </c>
      <c r="AA82" s="25">
        <v>0</v>
      </c>
      <c r="AB82" s="25">
        <v>1495</v>
      </c>
      <c r="AC82" s="25">
        <f>G82*30</f>
        <v>1950</v>
      </c>
      <c r="AD82" s="25">
        <f>IF(F82="",G82*4.11,F82*4.11)</f>
        <v>267.15000000000003</v>
      </c>
      <c r="AE82" s="25">
        <v>452.97</v>
      </c>
      <c r="AF82" s="25">
        <f>V82+Y82+Z82+AA82+AB82+AC82+AD82</f>
        <v>206376.55</v>
      </c>
      <c r="AG82" s="25">
        <f>IFERROR(IFERROR((H82*W82*J82/15)-AE82,""),"")</f>
        <v>226033.51266666665</v>
      </c>
      <c r="AH82" s="26">
        <f>IFERROR(AG82-AF82,"")</f>
        <v>19656.962666666659</v>
      </c>
      <c r="AI82" s="6">
        <f>IF(F82="",(G82/$F$122)*$AL$21,(F82/$F$122)*$AL$21)</f>
        <v>517.03996282527885</v>
      </c>
      <c r="AJ82" s="6">
        <f>(AH82-AI82)*70%</f>
        <v>13397.945892688966</v>
      </c>
    </row>
    <row r="83" spans="1:36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3"/>
      <c r="AA83" s="21"/>
      <c r="AB83" s="21"/>
      <c r="AC83" s="21"/>
      <c r="AD83" s="21"/>
      <c r="AE83" s="21"/>
      <c r="AF83" s="21"/>
      <c r="AG83" s="21"/>
      <c r="AH83" s="26">
        <f>AH82/G82</f>
        <v>302.41481025641014</v>
      </c>
    </row>
    <row r="84" spans="1:36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7">
        <f>IFERROR(AH82/AG82,"")</f>
        <v>8.6964815238061322E-2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47"/>
      <c r="AI85" s="47"/>
      <c r="AJ85" s="47"/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47"/>
      <c r="AI86" s="47"/>
      <c r="AJ86" s="47"/>
    </row>
    <row r="87" spans="1:36" x14ac:dyDescent="0.35">
      <c r="A87" s="14" t="s">
        <v>1</v>
      </c>
      <c r="B87" s="14" t="s">
        <v>2</v>
      </c>
      <c r="C87" s="14" t="s">
        <v>110</v>
      </c>
      <c r="D87" s="14" t="s">
        <v>66</v>
      </c>
      <c r="E87" s="14"/>
      <c r="F87" s="14" t="s">
        <v>137</v>
      </c>
      <c r="G87" s="14" t="s">
        <v>138</v>
      </c>
      <c r="H87" s="14" t="s">
        <v>4</v>
      </c>
      <c r="I87" s="14" t="s">
        <v>5</v>
      </c>
      <c r="J87" s="14" t="s">
        <v>6</v>
      </c>
      <c r="K87" s="14" t="s">
        <v>7</v>
      </c>
      <c r="L87" s="14" t="s">
        <v>279</v>
      </c>
      <c r="M87" s="14" t="s">
        <v>280</v>
      </c>
      <c r="N87" s="14" t="s">
        <v>281</v>
      </c>
      <c r="O87" s="14" t="s">
        <v>282</v>
      </c>
      <c r="P87" s="14" t="s">
        <v>283</v>
      </c>
      <c r="Q87" s="14" t="s">
        <v>284</v>
      </c>
      <c r="R87" s="14" t="s">
        <v>904</v>
      </c>
      <c r="S87" s="14" t="s">
        <v>285</v>
      </c>
      <c r="T87" s="14" t="s">
        <v>289</v>
      </c>
      <c r="U87" s="14" t="s">
        <v>8</v>
      </c>
      <c r="V87" s="14" t="s">
        <v>9</v>
      </c>
      <c r="W87" s="14" t="s">
        <v>10</v>
      </c>
      <c r="X87" s="14" t="s">
        <v>100</v>
      </c>
      <c r="Y87" s="14" t="s">
        <v>106</v>
      </c>
      <c r="Z87" s="14" t="s">
        <v>12</v>
      </c>
      <c r="AA87" s="14" t="s">
        <v>258</v>
      </c>
      <c r="AB87" s="14" t="s">
        <v>13</v>
      </c>
      <c r="AC87" s="14" t="s">
        <v>74</v>
      </c>
      <c r="AD87" s="14" t="s">
        <v>21</v>
      </c>
      <c r="AE87" s="14" t="s">
        <v>14</v>
      </c>
      <c r="AF87" s="14" t="s">
        <v>15</v>
      </c>
      <c r="AG87" s="14" t="s">
        <v>16</v>
      </c>
      <c r="AH87" s="15" t="s">
        <v>17</v>
      </c>
      <c r="AI87" s="14" t="s">
        <v>679</v>
      </c>
      <c r="AJ87" s="14" t="s">
        <v>678</v>
      </c>
    </row>
    <row r="88" spans="1:36" x14ac:dyDescent="0.35">
      <c r="A88" s="20">
        <v>45000</v>
      </c>
      <c r="B88" s="21" t="s">
        <v>333</v>
      </c>
      <c r="C88" s="21" t="s">
        <v>332</v>
      </c>
      <c r="D88" s="44">
        <v>145171</v>
      </c>
      <c r="E88" s="44"/>
      <c r="F88" s="21">
        <v>10</v>
      </c>
      <c r="G88" s="21"/>
      <c r="H88" s="22">
        <v>4380</v>
      </c>
      <c r="I88" s="33">
        <v>0.53</v>
      </c>
      <c r="J88" s="24">
        <f>IFERROR(K88/H88,"")</f>
        <v>0.54554794520547945</v>
      </c>
      <c r="K88" s="22">
        <v>2389.5</v>
      </c>
      <c r="L88" s="21"/>
      <c r="M88" s="21">
        <v>10</v>
      </c>
      <c r="N88" s="21"/>
      <c r="O88" s="21"/>
      <c r="P88" s="21"/>
      <c r="Q88" s="21"/>
      <c r="R88" s="21"/>
      <c r="S88" s="21"/>
      <c r="T88" s="21"/>
      <c r="U88" s="25">
        <v>260</v>
      </c>
      <c r="V88" s="25">
        <f>H88*U88*I88/15</f>
        <v>40237.599999999999</v>
      </c>
      <c r="W88" s="25">
        <v>283.77</v>
      </c>
      <c r="X88" s="25">
        <v>55196.31</v>
      </c>
      <c r="Y88" s="25">
        <v>0</v>
      </c>
      <c r="Z88" s="25">
        <v>2016.26</v>
      </c>
      <c r="AA88" s="25">
        <v>0</v>
      </c>
      <c r="AB88" s="25">
        <v>260</v>
      </c>
      <c r="AC88" s="25">
        <f>F88*30</f>
        <v>300</v>
      </c>
      <c r="AD88" s="25">
        <f>IF(F88="",G88*4.11,F88*4.11)</f>
        <v>41.1</v>
      </c>
      <c r="AE88" s="25">
        <v>110.39</v>
      </c>
      <c r="AF88" s="25">
        <f>V88+Y88+Z88+AA88+AB88+AC88+AD88</f>
        <v>42854.96</v>
      </c>
      <c r="AG88" s="25">
        <f>IFERROR(IFERROR((H88*W88*J88/15)-AE88,""),"")</f>
        <v>45094.170999999995</v>
      </c>
      <c r="AH88" s="26">
        <f>IFERROR(AG88-AF88,"")</f>
        <v>2239.2109999999957</v>
      </c>
      <c r="AI88" s="6">
        <f>IF(F88="",(G88/$F$122)*$AL$21,(F88/$F$122)*$AL$21)</f>
        <v>79.544609665427515</v>
      </c>
      <c r="AJ88" s="6">
        <f>(AH88-AI88)*70%</f>
        <v>1511.7664732341975</v>
      </c>
    </row>
    <row r="89" spans="1:36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3"/>
      <c r="AA89" s="21"/>
      <c r="AB89" s="21"/>
      <c r="AC89" s="21"/>
      <c r="AD89" s="21"/>
      <c r="AE89" s="21"/>
      <c r="AF89" s="21"/>
      <c r="AG89" s="21"/>
      <c r="AH89" s="26">
        <f>AH88/F88</f>
        <v>223.92109999999957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7">
        <f>IFERROR(AH88/AG88,"")</f>
        <v>4.9656329196072727E-2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47"/>
      <c r="AI91" s="47"/>
      <c r="AJ91" s="47"/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/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>
        <v>45002</v>
      </c>
      <c r="B94" s="21" t="s">
        <v>459</v>
      </c>
      <c r="C94" s="21" t="s">
        <v>460</v>
      </c>
      <c r="D94" s="44">
        <v>1706</v>
      </c>
      <c r="E94" s="44"/>
      <c r="F94" s="21">
        <v>50</v>
      </c>
      <c r="G94" s="21"/>
      <c r="H94" s="22">
        <v>27479</v>
      </c>
      <c r="I94" s="33">
        <v>0.54</v>
      </c>
      <c r="J94" s="24">
        <f>IFERROR(K94/H94,"")</f>
        <v>0.4601368317624368</v>
      </c>
      <c r="K94" s="22">
        <v>12644.1</v>
      </c>
      <c r="L94" s="21"/>
      <c r="M94" s="21">
        <v>14</v>
      </c>
      <c r="N94" s="21">
        <v>34</v>
      </c>
      <c r="O94" s="21">
        <v>2</v>
      </c>
      <c r="P94" s="21"/>
      <c r="Q94" s="21"/>
      <c r="R94" s="21"/>
      <c r="S94" s="21"/>
      <c r="T94" s="21"/>
      <c r="U94" s="25">
        <v>255</v>
      </c>
      <c r="V94" s="25">
        <f>H94*U94*I94/15</f>
        <v>252257.22000000003</v>
      </c>
      <c r="W94" s="25">
        <v>282.12</v>
      </c>
      <c r="X94" s="25">
        <v>290902.57</v>
      </c>
      <c r="Y94" s="25"/>
      <c r="Z94" s="25">
        <v>14446</v>
      </c>
      <c r="AA94" s="25">
        <v>0</v>
      </c>
      <c r="AB94" s="25">
        <v>1275</v>
      </c>
      <c r="AC94" s="25">
        <f>F94*30</f>
        <v>1500</v>
      </c>
      <c r="AD94" s="25">
        <f>IF(F94="",G94*4.11,F94*4.11)</f>
        <v>205.50000000000003</v>
      </c>
      <c r="AE94" s="25">
        <v>581.79999999999995</v>
      </c>
      <c r="AF94" s="25">
        <f>V94+Y94+Z94+AA94+AB94+AC94+AD94</f>
        <v>269683.72000000003</v>
      </c>
      <c r="AG94" s="25">
        <f>IFERROR(IFERROR((H94*W94*J94/15)-AE94,""),"")</f>
        <v>237228.43280000004</v>
      </c>
      <c r="AH94" s="26">
        <f>IFERROR(AG94-AF94,"")</f>
        <v>-32455.287199999992</v>
      </c>
      <c r="AI94" s="6">
        <f>IF(F94="",(G94/$F$122)*$AL$21,(F94/$F$122)*$AL$21)</f>
        <v>397.72304832713752</v>
      </c>
      <c r="AJ94" s="6">
        <f>(AH94-AI94)*70%</f>
        <v>-22997.107173828987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AH94/F94</f>
        <v>-649.10574399999985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-0.13681027529850118</v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47"/>
      <c r="AJ97" s="47"/>
    </row>
    <row r="98" spans="1:36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47"/>
      <c r="AI98" s="47"/>
      <c r="AJ98" s="47"/>
    </row>
    <row r="99" spans="1:36" x14ac:dyDescent="0.35">
      <c r="A99" s="14" t="s">
        <v>1</v>
      </c>
      <c r="B99" s="14" t="s">
        <v>2</v>
      </c>
      <c r="C99" s="14" t="s">
        <v>110</v>
      </c>
      <c r="D99" s="14" t="s">
        <v>66</v>
      </c>
      <c r="E99" s="14"/>
      <c r="F99" s="14" t="s">
        <v>137</v>
      </c>
      <c r="G99" s="14" t="s">
        <v>138</v>
      </c>
      <c r="H99" s="14" t="s">
        <v>4</v>
      </c>
      <c r="I99" s="14" t="s">
        <v>5</v>
      </c>
      <c r="J99" s="14" t="s">
        <v>6</v>
      </c>
      <c r="K99" s="14" t="s">
        <v>7</v>
      </c>
      <c r="L99" s="14" t="s">
        <v>279</v>
      </c>
      <c r="M99" s="14" t="s">
        <v>280</v>
      </c>
      <c r="N99" s="14" t="s">
        <v>281</v>
      </c>
      <c r="O99" s="14" t="s">
        <v>282</v>
      </c>
      <c r="P99" s="14" t="s">
        <v>283</v>
      </c>
      <c r="Q99" s="14" t="s">
        <v>284</v>
      </c>
      <c r="R99" s="14" t="s">
        <v>904</v>
      </c>
      <c r="S99" s="14" t="s">
        <v>285</v>
      </c>
      <c r="T99" s="14" t="s">
        <v>289</v>
      </c>
      <c r="U99" s="14" t="s">
        <v>8</v>
      </c>
      <c r="V99" s="14" t="s">
        <v>9</v>
      </c>
      <c r="W99" s="14" t="s">
        <v>10</v>
      </c>
      <c r="X99" s="14" t="s">
        <v>100</v>
      </c>
      <c r="Y99" s="14" t="s">
        <v>106</v>
      </c>
      <c r="Z99" s="14" t="s">
        <v>12</v>
      </c>
      <c r="AA99" s="14" t="s">
        <v>258</v>
      </c>
      <c r="AB99" s="14" t="s">
        <v>13</v>
      </c>
      <c r="AC99" s="14" t="s">
        <v>74</v>
      </c>
      <c r="AD99" s="14" t="s">
        <v>21</v>
      </c>
      <c r="AE99" s="14" t="s">
        <v>14</v>
      </c>
      <c r="AF99" s="14" t="s">
        <v>15</v>
      </c>
      <c r="AG99" s="14" t="s">
        <v>16</v>
      </c>
      <c r="AH99" s="15" t="s">
        <v>17</v>
      </c>
      <c r="AI99" s="14" t="s">
        <v>679</v>
      </c>
      <c r="AJ99" s="14" t="s">
        <v>678</v>
      </c>
    </row>
    <row r="100" spans="1:36" x14ac:dyDescent="0.35">
      <c r="A100" s="20">
        <v>45002</v>
      </c>
      <c r="B100" s="21" t="s">
        <v>330</v>
      </c>
      <c r="C100" s="21" t="s">
        <v>174</v>
      </c>
      <c r="D100" s="44">
        <v>145231</v>
      </c>
      <c r="E100" s="44"/>
      <c r="F100" s="21">
        <v>50</v>
      </c>
      <c r="G100" s="21"/>
      <c r="H100" s="22">
        <v>27190</v>
      </c>
      <c r="I100" s="33">
        <v>0.53</v>
      </c>
      <c r="J100" s="24">
        <f>IFERROR(K100/H100,"")</f>
        <v>0.53368885619713125</v>
      </c>
      <c r="K100" s="22">
        <v>14511</v>
      </c>
      <c r="L100" s="21"/>
      <c r="M100" s="21">
        <v>9</v>
      </c>
      <c r="N100" s="21">
        <v>31</v>
      </c>
      <c r="O100" s="21">
        <v>10</v>
      </c>
      <c r="P100" s="21"/>
      <c r="Q100" s="21"/>
      <c r="R100" s="21"/>
      <c r="S100" s="21"/>
      <c r="T100" s="21"/>
      <c r="U100" s="25">
        <v>260</v>
      </c>
      <c r="V100" s="25">
        <f>H100*U100*I100/15</f>
        <v>249785.46666666667</v>
      </c>
      <c r="W100" s="25">
        <v>281.33</v>
      </c>
      <c r="X100" s="25">
        <v>272155.48</v>
      </c>
      <c r="Y100" s="25">
        <f>F100*60</f>
        <v>3000</v>
      </c>
      <c r="Z100" s="25">
        <v>11074.3</v>
      </c>
      <c r="AA100" s="25">
        <v>0</v>
      </c>
      <c r="AB100" s="25">
        <v>1300</v>
      </c>
      <c r="AC100" s="25">
        <f>F100*30</f>
        <v>1500</v>
      </c>
      <c r="AD100" s="25">
        <f>IF(F100="",G100*4.11,F100*4.11)</f>
        <v>205.50000000000003</v>
      </c>
      <c r="AE100" s="25">
        <v>544.30999999999995</v>
      </c>
      <c r="AF100" s="25">
        <f>V100+Y100+Z100+AA100+AB100+AC100+AD100</f>
        <v>266865.26666666666</v>
      </c>
      <c r="AG100" s="25">
        <f>IFERROR(IFERROR((H100*W100*J100/15)-AE100,""),"")</f>
        <v>271614.33199999994</v>
      </c>
      <c r="AH100" s="26">
        <f>IFERROR(AG100-AF100,"")</f>
        <v>4749.0653333332739</v>
      </c>
      <c r="AI100" s="6">
        <f>IF(F100="",(G100/$F$122)*$AL$21,(F100/$F$122)*$AL$21)</f>
        <v>397.72304832713752</v>
      </c>
      <c r="AJ100" s="6">
        <f>(AH100-AI100)*70%</f>
        <v>3045.9395995042951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3"/>
      <c r="AA101" s="21"/>
      <c r="AB101" s="21"/>
      <c r="AC101" s="21"/>
      <c r="AD101" s="21"/>
      <c r="AE101" s="21"/>
      <c r="AF101" s="21"/>
      <c r="AG101" s="21"/>
      <c r="AH101" s="26">
        <f>AH100/F100</f>
        <v>94.981306666665475</v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7">
        <f>IFERROR(AH100/AG100,"")</f>
        <v>1.748459036886638E-2</v>
      </c>
    </row>
    <row r="103" spans="1:36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</row>
    <row r="104" spans="1:36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47"/>
      <c r="AI104" s="47"/>
      <c r="AJ104" s="47"/>
    </row>
    <row r="105" spans="1:36" x14ac:dyDescent="0.35">
      <c r="A105" s="14" t="s">
        <v>1</v>
      </c>
      <c r="B105" s="14" t="s">
        <v>2</v>
      </c>
      <c r="C105" s="14" t="s">
        <v>110</v>
      </c>
      <c r="D105" s="14" t="s">
        <v>66</v>
      </c>
      <c r="E105" s="14"/>
      <c r="F105" s="14" t="s">
        <v>137</v>
      </c>
      <c r="G105" s="14" t="s">
        <v>138</v>
      </c>
      <c r="H105" s="14" t="s">
        <v>4</v>
      </c>
      <c r="I105" s="14" t="s">
        <v>5</v>
      </c>
      <c r="J105" s="14" t="s">
        <v>6</v>
      </c>
      <c r="K105" s="14" t="s">
        <v>7</v>
      </c>
      <c r="L105" s="14" t="s">
        <v>279</v>
      </c>
      <c r="M105" s="14" t="s">
        <v>280</v>
      </c>
      <c r="N105" s="14" t="s">
        <v>281</v>
      </c>
      <c r="O105" s="14" t="s">
        <v>282</v>
      </c>
      <c r="P105" s="14" t="s">
        <v>283</v>
      </c>
      <c r="Q105" s="14" t="s">
        <v>284</v>
      </c>
      <c r="R105" s="14" t="s">
        <v>904</v>
      </c>
      <c r="S105" s="14" t="s">
        <v>285</v>
      </c>
      <c r="T105" s="14" t="s">
        <v>289</v>
      </c>
      <c r="U105" s="14" t="s">
        <v>8</v>
      </c>
      <c r="V105" s="14" t="s">
        <v>9</v>
      </c>
      <c r="W105" s="14" t="s">
        <v>10</v>
      </c>
      <c r="X105" s="14" t="s">
        <v>100</v>
      </c>
      <c r="Y105" s="14" t="s">
        <v>106</v>
      </c>
      <c r="Z105" s="14" t="s">
        <v>12</v>
      </c>
      <c r="AA105" s="14" t="s">
        <v>258</v>
      </c>
      <c r="AB105" s="14" t="s">
        <v>13</v>
      </c>
      <c r="AC105" s="14" t="s">
        <v>74</v>
      </c>
      <c r="AD105" s="14" t="s">
        <v>21</v>
      </c>
      <c r="AE105" s="14" t="s">
        <v>14</v>
      </c>
      <c r="AF105" s="14" t="s">
        <v>15</v>
      </c>
      <c r="AG105" s="14" t="s">
        <v>16</v>
      </c>
      <c r="AH105" s="15" t="s">
        <v>17</v>
      </c>
      <c r="AI105" s="14" t="s">
        <v>679</v>
      </c>
      <c r="AJ105" s="14" t="s">
        <v>678</v>
      </c>
    </row>
    <row r="106" spans="1:36" x14ac:dyDescent="0.35">
      <c r="A106" s="20">
        <v>45002</v>
      </c>
      <c r="B106" s="21" t="s">
        <v>330</v>
      </c>
      <c r="C106" s="21" t="s">
        <v>174</v>
      </c>
      <c r="D106" s="44">
        <v>145232</v>
      </c>
      <c r="E106" s="44"/>
      <c r="F106" s="21"/>
      <c r="G106" s="21">
        <v>63</v>
      </c>
      <c r="H106" s="22">
        <v>22650</v>
      </c>
      <c r="I106" s="33">
        <v>0.5</v>
      </c>
      <c r="J106" s="24">
        <f>IFERROR(K106/H106,"")</f>
        <v>0.50366445916114788</v>
      </c>
      <c r="K106" s="22">
        <v>11408</v>
      </c>
      <c r="L106" s="21">
        <v>6</v>
      </c>
      <c r="M106" s="21">
        <v>35</v>
      </c>
      <c r="N106" s="21">
        <v>20</v>
      </c>
      <c r="O106" s="21">
        <v>2</v>
      </c>
      <c r="P106" s="21"/>
      <c r="Q106" s="21"/>
      <c r="R106" s="21"/>
      <c r="S106" s="21"/>
      <c r="T106" s="21"/>
      <c r="U106" s="25">
        <v>235</v>
      </c>
      <c r="V106" s="25">
        <f>H106*U106*I106/15</f>
        <v>177425</v>
      </c>
      <c r="W106" s="25">
        <v>278</v>
      </c>
      <c r="X106" s="25">
        <v>211425.26</v>
      </c>
      <c r="Y106" s="25">
        <f>G106*60</f>
        <v>3780</v>
      </c>
      <c r="Z106" s="25">
        <v>11014.08</v>
      </c>
      <c r="AA106" s="25">
        <v>0</v>
      </c>
      <c r="AB106" s="25">
        <v>1480.5</v>
      </c>
      <c r="AC106" s="25">
        <f>G106*30</f>
        <v>1890</v>
      </c>
      <c r="AD106" s="25">
        <f>IF(F106="",G106*4.11,F106*4.11)</f>
        <v>258.93</v>
      </c>
      <c r="AE106" s="25">
        <v>422.86</v>
      </c>
      <c r="AF106" s="25">
        <f>V106+Y106+Z106+AA106+AB106+AC106+AD106</f>
        <v>195848.50999999998</v>
      </c>
      <c r="AG106" s="25">
        <f>IFERROR(IFERROR((H106*W106*J106/15)-AE106,""),"")</f>
        <v>211005.40666666668</v>
      </c>
      <c r="AH106" s="26">
        <f>IFERROR(AG106-AF106,"")</f>
        <v>15156.896666666697</v>
      </c>
      <c r="AI106" s="6">
        <f>IF(F106="",(G106/$F$122)*$AL$21,(F106/$F$122)*$AL$21)</f>
        <v>501.13104089219331</v>
      </c>
      <c r="AJ106" s="6">
        <f>(AH106-AI106)*70%</f>
        <v>10259.035938042152</v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3"/>
      <c r="AA107" s="21"/>
      <c r="AB107" s="21"/>
      <c r="AC107" s="21"/>
      <c r="AD107" s="21"/>
      <c r="AE107" s="21"/>
      <c r="AF107" s="21"/>
      <c r="AG107" s="21"/>
      <c r="AH107" s="26">
        <f>AH106/G106</f>
        <v>240.58566137566186</v>
      </c>
      <c r="AI107" s="6"/>
      <c r="AJ107" s="6"/>
    </row>
    <row r="108" spans="1:36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7">
        <f>IFERROR(AH106/AG106,"")</f>
        <v>7.183179287254296E-2</v>
      </c>
    </row>
    <row r="109" spans="1:36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47"/>
    </row>
    <row r="110" spans="1:36" x14ac:dyDescent="0.35">
      <c r="A110" s="14" t="s">
        <v>1</v>
      </c>
      <c r="B110" s="14" t="s">
        <v>2</v>
      </c>
      <c r="C110" s="14" t="s">
        <v>110</v>
      </c>
      <c r="D110" s="14" t="s">
        <v>66</v>
      </c>
      <c r="E110" s="14"/>
      <c r="F110" s="14" t="s">
        <v>137</v>
      </c>
      <c r="G110" s="14" t="s">
        <v>138</v>
      </c>
      <c r="H110" s="14" t="s">
        <v>4</v>
      </c>
      <c r="I110" s="14" t="s">
        <v>5</v>
      </c>
      <c r="J110" s="14" t="s">
        <v>6</v>
      </c>
      <c r="K110" s="14" t="s">
        <v>7</v>
      </c>
      <c r="L110" s="14" t="s">
        <v>279</v>
      </c>
      <c r="M110" s="14" t="s">
        <v>280</v>
      </c>
      <c r="N110" s="14" t="s">
        <v>281</v>
      </c>
      <c r="O110" s="14" t="s">
        <v>282</v>
      </c>
      <c r="P110" s="14" t="s">
        <v>283</v>
      </c>
      <c r="Q110" s="14" t="s">
        <v>284</v>
      </c>
      <c r="R110" s="14" t="s">
        <v>904</v>
      </c>
      <c r="S110" s="14" t="s">
        <v>285</v>
      </c>
      <c r="T110" s="14" t="s">
        <v>289</v>
      </c>
      <c r="U110" s="14" t="s">
        <v>8</v>
      </c>
      <c r="V110" s="14" t="s">
        <v>9</v>
      </c>
      <c r="W110" s="14" t="s">
        <v>10</v>
      </c>
      <c r="X110" s="14" t="s">
        <v>100</v>
      </c>
      <c r="Y110" s="14" t="s">
        <v>106</v>
      </c>
      <c r="Z110" s="14" t="s">
        <v>12</v>
      </c>
      <c r="AA110" s="14" t="s">
        <v>258</v>
      </c>
      <c r="AB110" s="14" t="s">
        <v>13</v>
      </c>
      <c r="AC110" s="14" t="s">
        <v>74</v>
      </c>
      <c r="AD110" s="14" t="s">
        <v>21</v>
      </c>
      <c r="AE110" s="14" t="s">
        <v>14</v>
      </c>
      <c r="AF110" s="14" t="s">
        <v>15</v>
      </c>
      <c r="AG110" s="14" t="s">
        <v>16</v>
      </c>
      <c r="AH110" s="15" t="s">
        <v>17</v>
      </c>
      <c r="AI110" s="14" t="s">
        <v>679</v>
      </c>
      <c r="AJ110" s="14" t="s">
        <v>678</v>
      </c>
    </row>
    <row r="111" spans="1:36" x14ac:dyDescent="0.35">
      <c r="A111" s="20">
        <v>45002</v>
      </c>
      <c r="B111" s="21" t="s">
        <v>461</v>
      </c>
      <c r="C111" s="21" t="s">
        <v>462</v>
      </c>
      <c r="D111" s="44">
        <v>1706</v>
      </c>
      <c r="E111" s="44"/>
      <c r="F111" s="21">
        <v>100</v>
      </c>
      <c r="G111" s="21"/>
      <c r="H111" s="22">
        <v>58940</v>
      </c>
      <c r="I111" s="33">
        <v>0.54</v>
      </c>
      <c r="J111" s="24">
        <f>IFERROR(K111/H111,"")</f>
        <v>0.58458771632168305</v>
      </c>
      <c r="K111" s="22">
        <v>34455.599999999999</v>
      </c>
      <c r="L111" s="21"/>
      <c r="M111" s="21">
        <v>32</v>
      </c>
      <c r="N111" s="21">
        <v>68</v>
      </c>
      <c r="O111" s="21"/>
      <c r="P111" s="21"/>
      <c r="Q111" s="21"/>
      <c r="R111" s="21"/>
      <c r="S111" s="21"/>
      <c r="T111" s="21"/>
      <c r="U111" s="25">
        <v>255</v>
      </c>
      <c r="V111" s="25">
        <f>H111*U111*I111/15</f>
        <v>541069.20000000007</v>
      </c>
      <c r="W111" s="25">
        <v>282.12</v>
      </c>
      <c r="X111" s="25">
        <v>581805.14</v>
      </c>
      <c r="Y111" s="25">
        <f>F111*30</f>
        <v>3000</v>
      </c>
      <c r="Z111" s="25">
        <v>29413</v>
      </c>
      <c r="AA111" s="25">
        <v>0</v>
      </c>
      <c r="AB111" s="25">
        <v>2550</v>
      </c>
      <c r="AC111" s="25">
        <f>F111*30</f>
        <v>3000</v>
      </c>
      <c r="AD111" s="25">
        <f>IF(F111="",G111*4.11,F111*4.11)</f>
        <v>411.00000000000006</v>
      </c>
      <c r="AE111" s="25">
        <v>1163.6099999999999</v>
      </c>
      <c r="AF111" s="25">
        <f>V111+Y111+Z111+AA111+AB111+AC111+AD111</f>
        <v>579443.20000000007</v>
      </c>
      <c r="AG111" s="25">
        <f>IFERROR(IFERROR((H111*W111*J111/15)-AE111,""),"")</f>
        <v>646877.31479999993</v>
      </c>
      <c r="AH111" s="26">
        <f>IFERROR(AG111-AF111,"")</f>
        <v>67434.114799999865</v>
      </c>
      <c r="AI111" s="6">
        <f>IF(F111="",(G111/$F$122)*$AL$21,(F111/$F$122)*$AL$21)</f>
        <v>795.44609665427504</v>
      </c>
      <c r="AJ111" s="6">
        <f>(AH111-AI111)*70%</f>
        <v>46647.068092341913</v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3"/>
      <c r="AA112" s="21"/>
      <c r="AB112" s="21"/>
      <c r="AC112" s="21"/>
      <c r="AD112" s="21"/>
      <c r="AE112" s="21"/>
      <c r="AF112" s="21"/>
      <c r="AG112" s="21"/>
      <c r="AH112" s="26">
        <f>AH111/F111</f>
        <v>674.34114799999861</v>
      </c>
    </row>
    <row r="113" spans="1:36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7">
        <f>IFERROR(AH111/AG111,"")</f>
        <v>0.10424560153396165</v>
      </c>
    </row>
    <row r="114" spans="1:36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47"/>
      <c r="AI114" s="47"/>
      <c r="AJ114" s="47"/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47"/>
      <c r="AI115" s="47"/>
      <c r="AJ115" s="47"/>
    </row>
    <row r="116" spans="1:36" x14ac:dyDescent="0.35">
      <c r="A116" s="14" t="s">
        <v>1</v>
      </c>
      <c r="B116" s="14" t="s">
        <v>2</v>
      </c>
      <c r="C116" s="14" t="s">
        <v>110</v>
      </c>
      <c r="D116" s="14" t="s">
        <v>66</v>
      </c>
      <c r="E116" s="14"/>
      <c r="F116" s="14" t="s">
        <v>137</v>
      </c>
      <c r="G116" s="14" t="s">
        <v>138</v>
      </c>
      <c r="H116" s="14" t="s">
        <v>4</v>
      </c>
      <c r="I116" s="14" t="s">
        <v>5</v>
      </c>
      <c r="J116" s="14" t="s">
        <v>6</v>
      </c>
      <c r="K116" s="14" t="s">
        <v>7</v>
      </c>
      <c r="L116" s="14" t="s">
        <v>279</v>
      </c>
      <c r="M116" s="14" t="s">
        <v>280</v>
      </c>
      <c r="N116" s="14" t="s">
        <v>281</v>
      </c>
      <c r="O116" s="14" t="s">
        <v>282</v>
      </c>
      <c r="P116" s="14" t="s">
        <v>283</v>
      </c>
      <c r="Q116" s="14" t="s">
        <v>284</v>
      </c>
      <c r="R116" s="14" t="s">
        <v>904</v>
      </c>
      <c r="S116" s="14" t="s">
        <v>285</v>
      </c>
      <c r="T116" s="14" t="s">
        <v>289</v>
      </c>
      <c r="U116" s="14" t="s">
        <v>8</v>
      </c>
      <c r="V116" s="14" t="s">
        <v>9</v>
      </c>
      <c r="W116" s="14" t="s">
        <v>10</v>
      </c>
      <c r="X116" s="14" t="s">
        <v>100</v>
      </c>
      <c r="Y116" s="14" t="s">
        <v>106</v>
      </c>
      <c r="Z116" s="14" t="s">
        <v>12</v>
      </c>
      <c r="AA116" s="14" t="s">
        <v>258</v>
      </c>
      <c r="AB116" s="14" t="s">
        <v>13</v>
      </c>
      <c r="AC116" s="14" t="s">
        <v>74</v>
      </c>
      <c r="AD116" s="14" t="s">
        <v>21</v>
      </c>
      <c r="AE116" s="14" t="s">
        <v>14</v>
      </c>
      <c r="AF116" s="14" t="s">
        <v>15</v>
      </c>
      <c r="AG116" s="14" t="s">
        <v>16</v>
      </c>
      <c r="AH116" s="15" t="s">
        <v>17</v>
      </c>
      <c r="AI116" s="14" t="s">
        <v>679</v>
      </c>
      <c r="AJ116" s="14" t="s">
        <v>678</v>
      </c>
    </row>
    <row r="117" spans="1:36" x14ac:dyDescent="0.35">
      <c r="A117" s="20">
        <v>44998</v>
      </c>
      <c r="B117" s="21" t="s">
        <v>330</v>
      </c>
      <c r="C117" s="21" t="s">
        <v>440</v>
      </c>
      <c r="D117" s="44">
        <v>1706</v>
      </c>
      <c r="E117" s="44"/>
      <c r="F117" s="117">
        <v>1</v>
      </c>
      <c r="G117" s="21"/>
      <c r="H117" s="22">
        <v>554.70000000000005</v>
      </c>
      <c r="I117" s="33">
        <v>0.54</v>
      </c>
      <c r="J117" s="24">
        <f>IFERROR(K117/H117,"")</f>
        <v>0.48386515233459521</v>
      </c>
      <c r="K117" s="22">
        <v>268.39999999999998</v>
      </c>
      <c r="L117" s="21"/>
      <c r="M117" s="21"/>
      <c r="N117" s="21">
        <v>1</v>
      </c>
      <c r="O117" s="21"/>
      <c r="P117" s="21"/>
      <c r="Q117" s="21"/>
      <c r="R117" s="21"/>
      <c r="S117" s="21"/>
      <c r="T117" s="21"/>
      <c r="U117" s="25">
        <v>260</v>
      </c>
      <c r="V117" s="25">
        <f>H117*U117*I117/15</f>
        <v>5191.9920000000002</v>
      </c>
      <c r="W117" s="25">
        <v>282.12</v>
      </c>
      <c r="X117" s="25">
        <v>5818.05</v>
      </c>
      <c r="Y117" s="25">
        <f>F117*60</f>
        <v>60</v>
      </c>
      <c r="Z117" s="25">
        <v>0</v>
      </c>
      <c r="AA117" s="25">
        <v>0</v>
      </c>
      <c r="AB117" s="25">
        <v>0</v>
      </c>
      <c r="AC117" s="25">
        <f>F117*30</f>
        <v>30</v>
      </c>
      <c r="AD117" s="25">
        <f>IF(F117="",G117*4.11,F117*4.11)</f>
        <v>4.1100000000000003</v>
      </c>
      <c r="AE117" s="25">
        <v>11.63</v>
      </c>
      <c r="AF117" s="25">
        <f>V117+Y117+Z117+AA117+AB117+AC117+AD117</f>
        <v>5286.1019999999999</v>
      </c>
      <c r="AG117" s="25">
        <f>IFERROR(IFERROR((H117*W117*J117/15)-AE117,""),"")</f>
        <v>5036.4371999999994</v>
      </c>
      <c r="AH117" s="26">
        <f>IFERROR(AG117-AF117,"")</f>
        <v>-249.66480000000047</v>
      </c>
      <c r="AI117" s="6">
        <f>IF(F117="",(G117/$F$122)*$AL$21,(F117/$F$122)*$AL$21)</f>
        <v>7.9544609665427508</v>
      </c>
      <c r="AJ117" s="6">
        <f>(AH117-AI117)*70%</f>
        <v>-180.33348267658025</v>
      </c>
    </row>
    <row r="118" spans="1:36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3"/>
      <c r="AA118" s="21"/>
      <c r="AB118" s="21"/>
      <c r="AC118" s="21"/>
      <c r="AD118" s="21"/>
      <c r="AE118" s="21"/>
      <c r="AF118" s="21"/>
      <c r="AG118" s="21"/>
      <c r="AH118" s="26">
        <f>AH117/F117</f>
        <v>-249.66480000000047</v>
      </c>
    </row>
    <row r="119" spans="1:36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7">
        <f>IFERROR(AH117/AG117,"")</f>
        <v>-4.9571709143916357E-2</v>
      </c>
      <c r="AI119" s="47"/>
      <c r="AJ119" s="47"/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47"/>
      <c r="AI120" s="47"/>
      <c r="AJ120" s="47"/>
    </row>
    <row r="121" spans="1:36" ht="15" thickBot="1" x14ac:dyDescent="0.4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47"/>
      <c r="AI121" s="47"/>
      <c r="AJ121" s="47"/>
    </row>
    <row r="122" spans="1:36" ht="16" thickBot="1" x14ac:dyDescent="0.4">
      <c r="A122" s="377" t="s">
        <v>445</v>
      </c>
      <c r="B122" s="378"/>
      <c r="C122" s="378"/>
      <c r="D122" s="378"/>
      <c r="E122" s="378"/>
      <c r="F122" s="30">
        <f>SUM(F4:G117)</f>
        <v>1076</v>
      </c>
      <c r="G122" s="30"/>
      <c r="H122" s="30"/>
      <c r="I122" s="30"/>
      <c r="J122" s="30"/>
      <c r="K122" s="30"/>
      <c r="L122" s="46"/>
      <c r="M122" s="46"/>
      <c r="N122" s="46"/>
      <c r="O122" s="46"/>
      <c r="P122" s="46"/>
      <c r="Q122" s="46"/>
      <c r="R122" s="46"/>
      <c r="S122" s="46"/>
      <c r="T122" s="46"/>
      <c r="U122" s="30"/>
      <c r="V122" s="31">
        <f>V4+V10+V16+V22+V28+V34+V40+V46+V52+V58+V64+V70+V76+V82+V88+V94+V100+V106+V111+V117</f>
        <v>4497287.8866666667</v>
      </c>
      <c r="W122" s="30"/>
      <c r="X122" s="30"/>
      <c r="Y122" s="31">
        <f>Y4+Y10+Y16+Y22+Y28+Y34+Y40+Y46+Y52+Y58+Y64+Y70+Y76+Y82+Y88+Y94+Y100+Y106+Y111+Y117</f>
        <v>44970</v>
      </c>
      <c r="Z122" s="31">
        <f>Z4+Z10+Z16+Z22+Z28+Z34+Z40+Z46+Z52+Z58+Z64+Z70+Z76+Z82+Z88+Z94+Z100+Z106+Z111+Z117</f>
        <v>206653.47</v>
      </c>
      <c r="AA122" s="31">
        <f>AA4+AA10+AA16+AA22+AA28+AA34+AA40+AA46+AA52+AA58+AA64+AA70+AA76+AA82+AA88+AA94+AA100+AA106+AA111+AA117</f>
        <v>0</v>
      </c>
      <c r="AB122" s="31">
        <f>AB4+AB10+AB16+AB16+AB22+AB28+AB34+AB40+AB46+AB52+AB58+AB64+AB70+AB76+AB82+AB88+AB94+AB100+AB106+AB111+AB117</f>
        <v>27290.5</v>
      </c>
      <c r="AC122" s="31">
        <f t="shared" ref="AC122:AJ122" si="0">AC4+AC10+AC16+AC22+AC28+AC34+AC40+AC46+AC52+AC58+AC64+AC70+AC76+AC82+AC88+AC94+AC100+AC106+AC111+AC117</f>
        <v>32280</v>
      </c>
      <c r="AD122" s="31">
        <f t="shared" si="0"/>
        <v>4422.3599999999997</v>
      </c>
      <c r="AE122" s="31">
        <f t="shared" si="0"/>
        <v>10175.02</v>
      </c>
      <c r="AF122" s="31">
        <f t="shared" si="0"/>
        <v>4812404.2166666668</v>
      </c>
      <c r="AG122" s="31">
        <f t="shared" si="0"/>
        <v>5038794.0321999993</v>
      </c>
      <c r="AH122" s="31">
        <f t="shared" si="0"/>
        <v>226389.81553333308</v>
      </c>
      <c r="AI122" s="31">
        <f t="shared" si="0"/>
        <v>8559.0000000000018</v>
      </c>
      <c r="AJ122" s="31">
        <f t="shared" si="0"/>
        <v>152481.57087333314</v>
      </c>
    </row>
    <row r="124" spans="1:36" x14ac:dyDescent="0.35">
      <c r="AI124" s="6"/>
    </row>
  </sheetData>
  <mergeCells count="2">
    <mergeCell ref="U2:AC2"/>
    <mergeCell ref="A122:E12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3"/>
  <dimension ref="A1:AO75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bestFit="1" customWidth="1"/>
    <col min="39" max="39" width="15.7265625" customWidth="1"/>
  </cols>
  <sheetData>
    <row r="1" spans="1:41" ht="15" thickBot="1" x14ac:dyDescent="0.4"/>
    <row r="2" spans="1:41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AF75</f>
        <v>4675480.790000001</v>
      </c>
      <c r="AM3" s="164">
        <f>AH75-AI75</f>
        <v>171422.55806666613</v>
      </c>
    </row>
    <row r="4" spans="1:41" x14ac:dyDescent="0.35">
      <c r="A4" s="20">
        <v>45003</v>
      </c>
      <c r="B4" s="21" t="s">
        <v>464</v>
      </c>
      <c r="C4" s="21" t="s">
        <v>465</v>
      </c>
      <c r="D4" s="44">
        <v>1707</v>
      </c>
      <c r="E4" s="44"/>
      <c r="F4" s="21">
        <v>40</v>
      </c>
      <c r="G4" s="21"/>
      <c r="H4" s="22">
        <v>22787</v>
      </c>
      <c r="I4" s="33">
        <v>0.54</v>
      </c>
      <c r="J4" s="24">
        <f>IFERROR(K4/H4,"")</f>
        <v>0.55131873436608592</v>
      </c>
      <c r="K4" s="22">
        <v>12562.9</v>
      </c>
      <c r="L4" s="21">
        <v>5</v>
      </c>
      <c r="M4" s="21">
        <v>18</v>
      </c>
      <c r="N4" s="21">
        <v>17</v>
      </c>
      <c r="O4" s="21"/>
      <c r="P4" s="21"/>
      <c r="Q4" s="21"/>
      <c r="R4" s="21"/>
      <c r="S4" s="21"/>
      <c r="T4" s="21"/>
      <c r="U4" s="25">
        <v>255</v>
      </c>
      <c r="V4" s="25">
        <f>H4*U4*I4/15</f>
        <v>209184.66000000003</v>
      </c>
      <c r="W4" s="25">
        <v>286.45</v>
      </c>
      <c r="X4" s="25">
        <v>218777.75</v>
      </c>
      <c r="Y4" s="25">
        <f>F4*30</f>
        <v>1200</v>
      </c>
      <c r="Z4" s="25">
        <v>11806.48</v>
      </c>
      <c r="AA4" s="25">
        <v>0</v>
      </c>
      <c r="AB4" s="25">
        <v>1020</v>
      </c>
      <c r="AC4" s="25">
        <f>F4*30</f>
        <v>1200</v>
      </c>
      <c r="AD4" s="25">
        <f>F4*4.11</f>
        <v>164.4</v>
      </c>
      <c r="AE4" s="25">
        <v>437.55</v>
      </c>
      <c r="AF4" s="25">
        <f>V4+Y4+Z4+AA4+AB4+AC4+AD4</f>
        <v>224575.54000000004</v>
      </c>
      <c r="AG4" s="25">
        <f>IFERROR(IFERROR((H4*W4*J4/15)-AE4,""),"")</f>
        <v>239471.96366666665</v>
      </c>
      <c r="AH4" s="26">
        <f>IFERROR(AG4-AF4,"")</f>
        <v>14896.423666666611</v>
      </c>
      <c r="AI4" s="6">
        <f>IF(F4="",(G4/$F$75)*$AL$20,(F4/$F$75)*$AL$20)</f>
        <v>135.26970954356847</v>
      </c>
      <c r="AJ4" s="6">
        <f>(AH4-AI4)*70%</f>
        <v>10332.80776998613</v>
      </c>
      <c r="AL4" s="166" t="s">
        <v>749</v>
      </c>
      <c r="AM4" s="167">
        <f>AM3/AL3</f>
        <v>3.6664156215400916E-2</v>
      </c>
    </row>
    <row r="5" spans="1:41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372.41059166666525</v>
      </c>
      <c r="AM5" s="63"/>
    </row>
    <row r="6" spans="1:41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6.2205293006248157E-2</v>
      </c>
      <c r="AM6" s="63"/>
    </row>
    <row r="7" spans="1:41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1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1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F4+G4+F10+G10+F16+G16+F22+G22+F28+G28+F34+G34+F40+G40+F46+G46+F52+G52+F58+G58+F64+G64+F70+G70</f>
        <v>964</v>
      </c>
      <c r="AM9" s="50" t="s">
        <v>22</v>
      </c>
      <c r="AN9" t="s">
        <v>72</v>
      </c>
    </row>
    <row r="10" spans="1:41" x14ac:dyDescent="0.35">
      <c r="A10" s="20">
        <v>45003</v>
      </c>
      <c r="B10" s="21" t="s">
        <v>464</v>
      </c>
      <c r="C10" s="21" t="s">
        <v>465</v>
      </c>
      <c r="D10" s="44">
        <v>1707</v>
      </c>
      <c r="E10" s="44"/>
      <c r="F10" s="21">
        <v>3</v>
      </c>
      <c r="G10" s="21"/>
      <c r="H10" s="22">
        <v>1468</v>
      </c>
      <c r="I10" s="33">
        <v>0.53</v>
      </c>
      <c r="J10" s="24">
        <f>IFERROR(K10/H10,"")</f>
        <v>0.48058583106267028</v>
      </c>
      <c r="K10" s="22">
        <v>705.5</v>
      </c>
      <c r="L10" s="21"/>
      <c r="M10" s="21">
        <v>1</v>
      </c>
      <c r="N10" s="21">
        <v>2</v>
      </c>
      <c r="O10" s="21"/>
      <c r="P10" s="21"/>
      <c r="Q10" s="21"/>
      <c r="R10" s="21"/>
      <c r="S10" s="21"/>
      <c r="T10" s="21"/>
      <c r="U10" s="25">
        <v>255</v>
      </c>
      <c r="V10" s="25">
        <f>H10*U10*I10/15</f>
        <v>13226.68</v>
      </c>
      <c r="W10" s="25">
        <v>286.45</v>
      </c>
      <c r="X10" s="25">
        <v>16408.330000000002</v>
      </c>
      <c r="Y10" s="25">
        <f>F10*30</f>
        <v>90</v>
      </c>
      <c r="Z10" s="25">
        <v>885.48</v>
      </c>
      <c r="AA10" s="25">
        <v>0</v>
      </c>
      <c r="AB10" s="25">
        <v>76.5</v>
      </c>
      <c r="AC10" s="25">
        <f>F10*30</f>
        <v>90</v>
      </c>
      <c r="AD10" s="25">
        <f>IF(F10="",G10*4.11,F10*4.11)</f>
        <v>12.330000000000002</v>
      </c>
      <c r="AE10" s="25">
        <v>32.81</v>
      </c>
      <c r="AF10" s="25">
        <f>V10+Y10+Z10+AA10+AB10+AC10+AD10</f>
        <v>14380.99</v>
      </c>
      <c r="AG10" s="25">
        <f>IFERROR(IFERROR((H10*W10*J10/15)-AE10,""),"")</f>
        <v>13439.888333333332</v>
      </c>
      <c r="AH10" s="26">
        <f>IFERROR(AG10-AF10,"")</f>
        <v>-941.10166666666737</v>
      </c>
      <c r="AI10" s="6">
        <f>IF(F10="",(G10/$F$75)*$AL$20,(F10/$F$75)*$AL$20)</f>
        <v>10.145228215767634</v>
      </c>
      <c r="AJ10" s="6">
        <f>(AH10-AI10)*70%</f>
        <v>-665.87282641770446</v>
      </c>
      <c r="AL10" s="11">
        <f>AH4+AH10+AH16+AH22+AH28+AH34+AH40+AH46+AH52+AH58+AH64+AH70</f>
        <v>174682.55806666613</v>
      </c>
      <c r="AM10" s="11">
        <f>AL10*30%</f>
        <v>52404.767419999836</v>
      </c>
    </row>
    <row r="11" spans="1:41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-313.70055555555581</v>
      </c>
      <c r="AL11" s="11"/>
      <c r="AM11" s="11"/>
    </row>
    <row r="12" spans="1:4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-7.0023027225052645E-2</v>
      </c>
    </row>
    <row r="13" spans="1:41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1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83" t="s">
        <v>187</v>
      </c>
      <c r="AM14" s="206" t="s">
        <v>680</v>
      </c>
      <c r="AN14" s="190"/>
      <c r="AO14" s="191"/>
    </row>
    <row r="15" spans="1:41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178">
        <v>560</v>
      </c>
      <c r="AM15" t="s">
        <v>386</v>
      </c>
      <c r="AO15" s="174"/>
    </row>
    <row r="16" spans="1:41" x14ac:dyDescent="0.35">
      <c r="A16" s="20">
        <v>45003</v>
      </c>
      <c r="B16" s="21" t="s">
        <v>466</v>
      </c>
      <c r="C16" s="21" t="s">
        <v>465</v>
      </c>
      <c r="D16" s="44">
        <v>1707</v>
      </c>
      <c r="E16" s="44"/>
      <c r="F16" s="21">
        <v>1</v>
      </c>
      <c r="G16" s="21"/>
      <c r="H16" s="22">
        <v>604</v>
      </c>
      <c r="I16" s="33">
        <v>0.53</v>
      </c>
      <c r="J16" s="24">
        <f>IFERROR(K16/H16,"")</f>
        <v>0.69933774834437079</v>
      </c>
      <c r="K16" s="22">
        <v>422.4</v>
      </c>
      <c r="L16" s="21"/>
      <c r="M16" s="21">
        <v>1</v>
      </c>
      <c r="N16" s="21"/>
      <c r="O16" s="21"/>
      <c r="P16" s="21"/>
      <c r="Q16" s="21"/>
      <c r="R16" s="21"/>
      <c r="S16" s="21"/>
      <c r="T16" s="21"/>
      <c r="U16" s="25">
        <v>255</v>
      </c>
      <c r="V16" s="25">
        <f>H16*U16*I16/15</f>
        <v>5442.04</v>
      </c>
      <c r="W16" s="25">
        <v>286.45</v>
      </c>
      <c r="X16" s="25">
        <v>5469.44</v>
      </c>
      <c r="Y16" s="25">
        <f>F16*30</f>
        <v>30</v>
      </c>
      <c r="Z16" s="25">
        <v>295.16000000000003</v>
      </c>
      <c r="AA16" s="25">
        <v>0</v>
      </c>
      <c r="AB16" s="25">
        <v>25.5</v>
      </c>
      <c r="AC16" s="25">
        <f>F16*30</f>
        <v>30</v>
      </c>
      <c r="AD16" s="25">
        <f>IF(F16="",G16*4.11,F16*4.11)</f>
        <v>4.1100000000000003</v>
      </c>
      <c r="AE16" s="25">
        <v>10.93</v>
      </c>
      <c r="AF16" s="25">
        <f>V16+Y16+Z16+AA16+AB16+AC16+AD16</f>
        <v>5826.8099999999995</v>
      </c>
      <c r="AG16" s="25">
        <f>IFERROR(IFERROR((H16*W16*J16/15)-AE16,""),"")</f>
        <v>8055.5019999999986</v>
      </c>
      <c r="AH16" s="26">
        <f>IFERROR(AG16-AF16,"")</f>
        <v>2228.6919999999991</v>
      </c>
      <c r="AI16" s="6">
        <f>IF(F16="",(G16/$F$75)*$AL$20,(F16/$F$75)*$AL$20)</f>
        <v>3.3817427385892116</v>
      </c>
      <c r="AJ16" s="6">
        <f>(AH16-AI16)*70%</f>
        <v>1557.7171800829867</v>
      </c>
      <c r="AL16" s="178">
        <v>1000</v>
      </c>
      <c r="AM16" s="6" t="s">
        <v>468</v>
      </c>
      <c r="AO16" s="174"/>
    </row>
    <row r="17" spans="1:4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2228.6919999999991</v>
      </c>
      <c r="AL17" s="178">
        <v>500</v>
      </c>
      <c r="AM17" t="s">
        <v>470</v>
      </c>
      <c r="AO17" s="174"/>
    </row>
    <row r="18" spans="1:41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0.27666705315199469</v>
      </c>
      <c r="AL18" s="178">
        <v>1200</v>
      </c>
      <c r="AM18" t="s">
        <v>478</v>
      </c>
      <c r="AO18" s="174"/>
    </row>
    <row r="19" spans="1:41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205"/>
      <c r="AO19" s="174"/>
    </row>
    <row r="20" spans="1:4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88">
        <f>SUM(AL15:AL19)</f>
        <v>3260</v>
      </c>
      <c r="AM20" s="181" t="s">
        <v>682</v>
      </c>
      <c r="AN20" s="181"/>
      <c r="AO20" s="182"/>
    </row>
    <row r="21" spans="1:41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</row>
    <row r="22" spans="1:41" x14ac:dyDescent="0.35">
      <c r="A22" s="20">
        <v>45003</v>
      </c>
      <c r="B22" s="21" t="s">
        <v>466</v>
      </c>
      <c r="C22" s="21" t="s">
        <v>465</v>
      </c>
      <c r="D22" s="44">
        <v>1707</v>
      </c>
      <c r="E22" s="44"/>
      <c r="F22" s="21">
        <v>56</v>
      </c>
      <c r="G22" s="21"/>
      <c r="H22" s="22">
        <v>31130</v>
      </c>
      <c r="I22" s="33">
        <v>0.54</v>
      </c>
      <c r="J22" s="24">
        <f>IFERROR(K22/H22,"")</f>
        <v>0.48026019916479279</v>
      </c>
      <c r="K22" s="22">
        <v>14950.5</v>
      </c>
      <c r="L22" s="21">
        <v>15</v>
      </c>
      <c r="M22" s="21">
        <v>25</v>
      </c>
      <c r="N22" s="21">
        <v>15</v>
      </c>
      <c r="O22" s="21"/>
      <c r="P22" s="21">
        <v>1</v>
      </c>
      <c r="Q22" s="21"/>
      <c r="R22" s="21"/>
      <c r="S22" s="21"/>
      <c r="T22" s="21"/>
      <c r="U22" s="25">
        <v>255</v>
      </c>
      <c r="V22" s="25">
        <f>H22*U22*I22/15</f>
        <v>285773.40000000002</v>
      </c>
      <c r="W22" s="25">
        <v>286.45</v>
      </c>
      <c r="X22" s="25">
        <v>306288.84999999998</v>
      </c>
      <c r="Y22" s="25">
        <f>F22*30</f>
        <v>1680</v>
      </c>
      <c r="Z22" s="25">
        <v>16529.07</v>
      </c>
      <c r="AA22" s="25">
        <v>0</v>
      </c>
      <c r="AB22" s="25">
        <v>1428</v>
      </c>
      <c r="AC22" s="25">
        <f>F22*30</f>
        <v>1680</v>
      </c>
      <c r="AD22" s="25">
        <f>IF(F22="",G22*4.11,F22*4.11)</f>
        <v>230.16000000000003</v>
      </c>
      <c r="AE22" s="25">
        <v>612.57000000000005</v>
      </c>
      <c r="AF22" s="25">
        <f>V22+Y22+Z22+AA22+AB22+AC22+AD22</f>
        <v>307320.63</v>
      </c>
      <c r="AG22" s="25">
        <f>IFERROR(IFERROR((H22*W22*J22/15)-AE22,""),"")</f>
        <v>284892.14499999996</v>
      </c>
      <c r="AH22" s="26">
        <f>IFERROR(AG22-AF22,"")</f>
        <v>-22428.485000000044</v>
      </c>
      <c r="AI22" s="6">
        <f>IF(F22="",(G22/$F$75)*$AL$20,(F22/$F$75)*$AL$20)</f>
        <v>189.37759336099586</v>
      </c>
      <c r="AJ22" s="6">
        <f>(AH22-AI22)*70%</f>
        <v>-15832.503815352726</v>
      </c>
      <c r="AL22" s="95">
        <f>AL10-AL20</f>
        <v>171422.55806666613</v>
      </c>
      <c r="AM22" t="s">
        <v>471</v>
      </c>
    </row>
    <row r="23" spans="1:41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-400.50866071428652</v>
      </c>
      <c r="AL23" s="127">
        <f>AL22*30%</f>
        <v>51426.767419999836</v>
      </c>
      <c r="AM23" s="128" t="s">
        <v>424</v>
      </c>
    </row>
    <row r="24" spans="1:41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-7.8726231641100694E-2</v>
      </c>
    </row>
    <row r="25" spans="1:4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</row>
    <row r="26" spans="1:4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</row>
    <row r="27" spans="1:41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</row>
    <row r="28" spans="1:41" x14ac:dyDescent="0.35">
      <c r="A28" s="20">
        <v>45003</v>
      </c>
      <c r="B28" s="21" t="s">
        <v>467</v>
      </c>
      <c r="C28" s="21" t="s">
        <v>116</v>
      </c>
      <c r="D28" s="44">
        <v>1706</v>
      </c>
      <c r="E28" s="44"/>
      <c r="F28" s="21">
        <v>150</v>
      </c>
      <c r="G28" s="21"/>
      <c r="H28" s="22">
        <v>84820</v>
      </c>
      <c r="I28" s="33">
        <v>0.54</v>
      </c>
      <c r="J28" s="24">
        <f>IFERROR(K28/H28,"")</f>
        <v>0.53928554586182498</v>
      </c>
      <c r="K28" s="22">
        <v>45742.2</v>
      </c>
      <c r="L28" s="21">
        <v>8</v>
      </c>
      <c r="M28" s="21">
        <v>62</v>
      </c>
      <c r="N28" s="21">
        <v>76</v>
      </c>
      <c r="O28" s="21">
        <v>4</v>
      </c>
      <c r="P28" s="21"/>
      <c r="Q28" s="21"/>
      <c r="R28" s="21"/>
      <c r="S28" s="21"/>
      <c r="T28" s="21"/>
      <c r="U28" s="25">
        <v>260</v>
      </c>
      <c r="V28" s="25">
        <f>H28*U28*I28/15</f>
        <v>793915.2</v>
      </c>
      <c r="W28" s="25">
        <v>282.12</v>
      </c>
      <c r="X28" s="25">
        <v>872707.71</v>
      </c>
      <c r="Y28" s="25">
        <f>F28*30</f>
        <v>4500</v>
      </c>
      <c r="Z28" s="25">
        <v>37170</v>
      </c>
      <c r="AA28" s="25">
        <v>0</v>
      </c>
      <c r="AB28" s="25">
        <v>3900</v>
      </c>
      <c r="AC28" s="25">
        <f>F28*30</f>
        <v>4500</v>
      </c>
      <c r="AD28" s="25">
        <f>IF(F28="",G28*4.11,F28*4.11)</f>
        <v>616.5</v>
      </c>
      <c r="AE28" s="25">
        <v>1745.41</v>
      </c>
      <c r="AF28" s="25">
        <f>V28+Y28+Z28+AA28+AB28+AC28+AD28</f>
        <v>844601.7</v>
      </c>
      <c r="AG28" s="25">
        <f>IFERROR(IFERROR((H28*W28*J28/15)-AE28,""),"")</f>
        <v>858573.8875999999</v>
      </c>
      <c r="AH28" s="26">
        <f>IFERROR(AG28-AF28,"")</f>
        <v>13972.187599999947</v>
      </c>
      <c r="AI28" s="6">
        <f>IF(F28="",(G28/$F$75)*$AL$20,(F28/$F$75)*$AL$20)</f>
        <v>507.26141078838174</v>
      </c>
      <c r="AJ28" s="6">
        <f>(AH28-AI28)*70%</f>
        <v>9425.4483324480952</v>
      </c>
    </row>
    <row r="29" spans="1:41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93.147917333332984</v>
      </c>
    </row>
    <row r="30" spans="1:4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1.627371598623488E-2</v>
      </c>
      <c r="AL30" s="95"/>
      <c r="AM30" s="11"/>
    </row>
    <row r="31" spans="1:4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7"/>
    </row>
    <row r="32" spans="1:4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6" x14ac:dyDescent="0.35">
      <c r="A34" s="20">
        <v>45005</v>
      </c>
      <c r="B34" s="21" t="s">
        <v>330</v>
      </c>
      <c r="C34" s="21" t="s">
        <v>398</v>
      </c>
      <c r="D34" s="44">
        <v>145238</v>
      </c>
      <c r="E34" s="44"/>
      <c r="F34" s="21">
        <v>200</v>
      </c>
      <c r="G34" s="21"/>
      <c r="H34" s="22">
        <v>92520</v>
      </c>
      <c r="I34" s="33">
        <v>0.53</v>
      </c>
      <c r="J34" s="24">
        <f>IFERROR(K34/H34,"")</f>
        <v>0.54566580198875914</v>
      </c>
      <c r="K34" s="22">
        <v>50485</v>
      </c>
      <c r="L34" s="21">
        <v>67</v>
      </c>
      <c r="M34" s="21">
        <v>95</v>
      </c>
      <c r="N34" s="21">
        <v>28</v>
      </c>
      <c r="O34" s="21">
        <v>9</v>
      </c>
      <c r="P34" s="21">
        <v>1</v>
      </c>
      <c r="Q34" s="21"/>
      <c r="R34" s="21"/>
      <c r="S34" s="21"/>
      <c r="T34" s="21"/>
      <c r="U34" s="25">
        <v>265</v>
      </c>
      <c r="V34" s="25">
        <f>H34*U34*I34/15</f>
        <v>866295.6</v>
      </c>
      <c r="W34" s="25">
        <v>282.49</v>
      </c>
      <c r="X34" s="25">
        <v>950749.01</v>
      </c>
      <c r="Y34" s="25">
        <f>F34*60</f>
        <v>12000</v>
      </c>
      <c r="Z34" s="25">
        <v>26682.400000000001</v>
      </c>
      <c r="AA34" s="25">
        <v>0</v>
      </c>
      <c r="AB34" s="25">
        <v>5300</v>
      </c>
      <c r="AC34" s="25">
        <f>F34*30</f>
        <v>6000</v>
      </c>
      <c r="AD34" s="25">
        <f>IF(F34="",G34*4.11,F34*4.11)</f>
        <v>822.00000000000011</v>
      </c>
      <c r="AE34" s="25">
        <v>1901.52</v>
      </c>
      <c r="AF34" s="25">
        <f>V34+Y34+Z34+AA34+AB34+AC34+AD34</f>
        <v>917100</v>
      </c>
      <c r="AG34" s="25">
        <f>IFERROR(IFERROR((H34*W34*J34/15)-AE34,""),"")</f>
        <v>948865.6566666665</v>
      </c>
      <c r="AH34" s="26">
        <f>IFERROR(AG34-AF34,"")</f>
        <v>31765.656666666502</v>
      </c>
      <c r="AI34" s="6">
        <f>IF(F34="",(G34/$F$75)*$AL$20,(F34/$F$75)*$AL$20)</f>
        <v>676.34854771784239</v>
      </c>
      <c r="AJ34" s="6">
        <f>(AH34-AI34)*70%</f>
        <v>21762.51568326406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158.82828333333251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3.3477507003739811E-2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6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6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6" x14ac:dyDescent="0.35">
      <c r="A40" s="20">
        <v>45006</v>
      </c>
      <c r="B40" s="21" t="s">
        <v>469</v>
      </c>
      <c r="C40" s="21" t="s">
        <v>398</v>
      </c>
      <c r="D40" s="44">
        <v>145239</v>
      </c>
      <c r="E40" s="44"/>
      <c r="F40" s="21">
        <v>199</v>
      </c>
      <c r="G40" s="21"/>
      <c r="H40" s="22">
        <v>88960</v>
      </c>
      <c r="I40" s="33">
        <v>0.53</v>
      </c>
      <c r="J40" s="24">
        <f>IFERROR(K40/H40,"")</f>
        <v>0.53665130395683458</v>
      </c>
      <c r="K40" s="22">
        <v>47740.5</v>
      </c>
      <c r="L40" s="21">
        <v>63</v>
      </c>
      <c r="M40" s="21">
        <v>85</v>
      </c>
      <c r="N40" s="21">
        <v>35</v>
      </c>
      <c r="O40" s="21">
        <v>16</v>
      </c>
      <c r="P40" s="21"/>
      <c r="Q40" s="21"/>
      <c r="R40" s="21"/>
      <c r="S40" s="21"/>
      <c r="T40" s="21"/>
      <c r="U40" s="25">
        <v>265</v>
      </c>
      <c r="V40" s="25">
        <f>H40*U40*I40/15</f>
        <v>832962.1333333333</v>
      </c>
      <c r="W40" s="25">
        <v>286.64</v>
      </c>
      <c r="X40" s="25">
        <v>912282.34</v>
      </c>
      <c r="Y40" s="25">
        <v>0</v>
      </c>
      <c r="Z40" s="25">
        <v>26482.400000000001</v>
      </c>
      <c r="AA40" s="25">
        <v>0</v>
      </c>
      <c r="AB40" s="25">
        <v>5273.5</v>
      </c>
      <c r="AC40" s="25">
        <f>F40*30</f>
        <v>5970</v>
      </c>
      <c r="AD40" s="25">
        <f>IF(F40="",G40*4.11,F40*4.11)</f>
        <v>817.8900000000001</v>
      </c>
      <c r="AE40" s="25">
        <v>1824.55</v>
      </c>
      <c r="AF40" s="25">
        <f>V40+Y40+Z40+AA40+AB40+AC40+AD40</f>
        <v>871505.92333333334</v>
      </c>
      <c r="AG40" s="25">
        <f>IFERROR(IFERROR((H40*W40*J40/15)-AE40,""),"")</f>
        <v>910464.57799999998</v>
      </c>
      <c r="AH40" s="26">
        <f>IFERROR(AG40-AF40,"")</f>
        <v>38958.65466666664</v>
      </c>
      <c r="AI40" s="6">
        <f>IF(F40="",(G40/$F$75)*$AL$20,(F40/$F$75)*$AL$20)</f>
        <v>672.96680497925308</v>
      </c>
      <c r="AJ40" s="6">
        <f>(AH40-AI40)*70%</f>
        <v>26799.98150318117</v>
      </c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195.77213400334995</v>
      </c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4.2789863118284477E-2</v>
      </c>
    </row>
    <row r="43" spans="1:36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6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6" x14ac:dyDescent="0.35">
      <c r="A45" s="37" t="s">
        <v>1</v>
      </c>
      <c r="B45" s="37" t="s">
        <v>2</v>
      </c>
      <c r="C45" s="37" t="s">
        <v>110</v>
      </c>
      <c r="D45" s="37" t="s">
        <v>66</v>
      </c>
      <c r="E45" s="37"/>
      <c r="F45" s="37" t="s">
        <v>137</v>
      </c>
      <c r="G45" s="37" t="s">
        <v>138</v>
      </c>
      <c r="H45" s="37" t="s">
        <v>4</v>
      </c>
      <c r="I45" s="37" t="s">
        <v>5</v>
      </c>
      <c r="J45" s="37" t="s">
        <v>6</v>
      </c>
      <c r="K45" s="37" t="s">
        <v>7</v>
      </c>
      <c r="L45" s="37" t="s">
        <v>279</v>
      </c>
      <c r="M45" s="37" t="s">
        <v>280</v>
      </c>
      <c r="N45" s="37" t="s">
        <v>281</v>
      </c>
      <c r="O45" s="37" t="s">
        <v>282</v>
      </c>
      <c r="P45" s="37" t="s">
        <v>283</v>
      </c>
      <c r="Q45" s="37" t="s">
        <v>284</v>
      </c>
      <c r="R45" s="37" t="s">
        <v>904</v>
      </c>
      <c r="S45" s="37" t="s">
        <v>285</v>
      </c>
      <c r="T45" s="37" t="s">
        <v>289</v>
      </c>
      <c r="U45" s="37" t="s">
        <v>8</v>
      </c>
      <c r="V45" s="37" t="s">
        <v>9</v>
      </c>
      <c r="W45" s="37" t="s">
        <v>10</v>
      </c>
      <c r="X45" s="37" t="s">
        <v>100</v>
      </c>
      <c r="Y45" s="37" t="s">
        <v>106</v>
      </c>
      <c r="Z45" s="37" t="s">
        <v>12</v>
      </c>
      <c r="AA45" s="37" t="s">
        <v>258</v>
      </c>
      <c r="AB45" s="37" t="s">
        <v>13</v>
      </c>
      <c r="AC45" s="37" t="s">
        <v>74</v>
      </c>
      <c r="AD45" s="37" t="s">
        <v>21</v>
      </c>
      <c r="AE45" s="37" t="s">
        <v>14</v>
      </c>
      <c r="AF45" s="37" t="s">
        <v>15</v>
      </c>
      <c r="AG45" s="37" t="s">
        <v>16</v>
      </c>
      <c r="AH45" s="15" t="s">
        <v>17</v>
      </c>
      <c r="AI45" s="14" t="s">
        <v>679</v>
      </c>
      <c r="AJ45" s="14" t="s">
        <v>678</v>
      </c>
    </row>
    <row r="46" spans="1:36" x14ac:dyDescent="0.35">
      <c r="A46" s="38">
        <v>45007</v>
      </c>
      <c r="B46" s="39" t="s">
        <v>469</v>
      </c>
      <c r="C46" s="39" t="s">
        <v>398</v>
      </c>
      <c r="D46" s="45">
        <v>145241</v>
      </c>
      <c r="E46" s="45"/>
      <c r="F46" s="39">
        <v>100</v>
      </c>
      <c r="G46" s="39"/>
      <c r="H46" s="40">
        <v>55290</v>
      </c>
      <c r="I46" s="53">
        <v>0.55000000000000004</v>
      </c>
      <c r="J46" s="42">
        <f>IFERROR(K46/H46,"")</f>
        <v>0.55193525049737746</v>
      </c>
      <c r="K46" s="40">
        <v>30516.5</v>
      </c>
      <c r="L46" s="39">
        <v>3</v>
      </c>
      <c r="M46" s="39">
        <v>17</v>
      </c>
      <c r="N46" s="39">
        <v>37</v>
      </c>
      <c r="O46" s="39">
        <v>33</v>
      </c>
      <c r="P46" s="39">
        <v>9</v>
      </c>
      <c r="Q46" s="39">
        <v>1</v>
      </c>
      <c r="R46" s="39"/>
      <c r="S46" s="39"/>
      <c r="T46" s="39"/>
      <c r="U46" s="43">
        <v>265</v>
      </c>
      <c r="V46" s="43">
        <f>H46*U46*I46/15</f>
        <v>537234.50000000012</v>
      </c>
      <c r="W46" s="43">
        <v>285.56</v>
      </c>
      <c r="X46" s="43">
        <v>580959.86</v>
      </c>
      <c r="Y46" s="43">
        <v>0</v>
      </c>
      <c r="Z46" s="43">
        <v>13362.8</v>
      </c>
      <c r="AA46" s="43">
        <v>0</v>
      </c>
      <c r="AB46" s="43">
        <v>2650</v>
      </c>
      <c r="AC46" s="43">
        <f>F46*30</f>
        <v>3000</v>
      </c>
      <c r="AD46" s="43">
        <f>IF(F46="",G46*4.11,F46*4.11)</f>
        <v>411.00000000000006</v>
      </c>
      <c r="AE46" s="43">
        <v>1161.92</v>
      </c>
      <c r="AF46" s="43">
        <f>V46+Y46+Z46+AA46+AB46+AC46+AD46</f>
        <v>556658.30000000016</v>
      </c>
      <c r="AG46" s="43">
        <f>IFERROR(IFERROR((H46*W46*J46/15)-AE46,""),"")</f>
        <v>579790.86266666662</v>
      </c>
      <c r="AH46" s="26">
        <f>IFERROR(AG46-AF46,"")</f>
        <v>23132.562666666461</v>
      </c>
      <c r="AI46" s="6">
        <f>IF(F46="",(G46/$F$75)*$AL$20,(F46/$F$75)*$AL$20)</f>
        <v>338.1742738589212</v>
      </c>
      <c r="AJ46" s="6">
        <f>(AH46-AI46)*70%</f>
        <v>15956.071874965277</v>
      </c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231.32562666666462</v>
      </c>
    </row>
    <row r="48" spans="1:36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3.9898115262236952E-2</v>
      </c>
    </row>
    <row r="49" spans="1:36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6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6" x14ac:dyDescent="0.35">
      <c r="A52" s="20">
        <v>45009</v>
      </c>
      <c r="B52" s="21" t="s">
        <v>298</v>
      </c>
      <c r="C52" s="21" t="s">
        <v>398</v>
      </c>
      <c r="D52" s="44">
        <v>1709</v>
      </c>
      <c r="E52" s="44"/>
      <c r="F52" s="21">
        <v>100</v>
      </c>
      <c r="G52" s="21"/>
      <c r="H52" s="22">
        <v>47440</v>
      </c>
      <c r="I52" s="33">
        <v>0.54</v>
      </c>
      <c r="J52" s="24">
        <f>IFERROR(K52/H52,"")</f>
        <v>0.53451939291736927</v>
      </c>
      <c r="K52" s="22">
        <v>25357.599999999999</v>
      </c>
      <c r="L52" s="21">
        <v>17</v>
      </c>
      <c r="M52" s="21">
        <v>75</v>
      </c>
      <c r="N52" s="21">
        <v>8</v>
      </c>
      <c r="O52" s="21"/>
      <c r="P52" s="21"/>
      <c r="Q52" s="21"/>
      <c r="R52" s="21"/>
      <c r="S52" s="21"/>
      <c r="T52" s="21"/>
      <c r="U52" s="25">
        <v>270</v>
      </c>
      <c r="V52" s="25">
        <f>H52*U52*I52/15</f>
        <v>461116.8</v>
      </c>
      <c r="W52" s="25">
        <v>294.07</v>
      </c>
      <c r="X52" s="25">
        <v>497122.38</v>
      </c>
      <c r="Y52" s="25">
        <v>0</v>
      </c>
      <c r="Z52" s="25">
        <v>13119.6</v>
      </c>
      <c r="AA52" s="25">
        <v>0</v>
      </c>
      <c r="AB52" s="25">
        <v>2700</v>
      </c>
      <c r="AC52" s="25">
        <f>F52*30</f>
        <v>3000</v>
      </c>
      <c r="AD52" s="25">
        <f>IF(F52="",G52*4.11,F52*4.11)</f>
        <v>411.00000000000006</v>
      </c>
      <c r="AE52" s="25">
        <v>994.24</v>
      </c>
      <c r="AF52" s="25">
        <f>V52+Y52+Z52+AA52+AB52+AC52+AD52</f>
        <v>480347.39999999997</v>
      </c>
      <c r="AG52" s="25">
        <f>IFERROR(IFERROR((H52*W52*J52/15)-AE52,""),"")</f>
        <v>496133.05546666664</v>
      </c>
      <c r="AH52" s="26">
        <f>IFERROR(AG52-AF52,"")</f>
        <v>15785.655466666678</v>
      </c>
      <c r="AI52" s="6">
        <f>IF(F52="",(G52/$F$75)*$AL$20,(F52/$F$75)*$AL$20)</f>
        <v>338.1742738589212</v>
      </c>
      <c r="AJ52" s="6">
        <f>(AH52-AI52)*70%</f>
        <v>10813.236834965428</v>
      </c>
    </row>
    <row r="53" spans="1:36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157.85655466666677</v>
      </c>
    </row>
    <row r="54" spans="1:36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3.1817383044188755E-2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6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36" x14ac:dyDescent="0.35">
      <c r="A58" s="20">
        <v>45009</v>
      </c>
      <c r="B58" s="21" t="s">
        <v>472</v>
      </c>
      <c r="C58" s="21" t="s">
        <v>174</v>
      </c>
      <c r="D58" s="44">
        <v>145573</v>
      </c>
      <c r="E58" s="44"/>
      <c r="F58" s="21"/>
      <c r="G58" s="21">
        <v>65</v>
      </c>
      <c r="H58" s="22">
        <v>23580</v>
      </c>
      <c r="I58" s="33">
        <v>0.5</v>
      </c>
      <c r="J58" s="24">
        <f>IFERROR(K58/H58,"")</f>
        <v>0.50343511450381684</v>
      </c>
      <c r="K58" s="22">
        <v>11871</v>
      </c>
      <c r="L58" s="21">
        <v>5</v>
      </c>
      <c r="M58" s="21">
        <v>40</v>
      </c>
      <c r="N58" s="21">
        <v>19</v>
      </c>
      <c r="O58" s="21">
        <v>1</v>
      </c>
      <c r="P58" s="21"/>
      <c r="Q58" s="21"/>
      <c r="R58" s="21"/>
      <c r="S58" s="21"/>
      <c r="T58" s="21"/>
      <c r="U58" s="25">
        <v>235</v>
      </c>
      <c r="V58" s="25">
        <f>H58*U58*I58/15</f>
        <v>184710</v>
      </c>
      <c r="W58" s="25">
        <v>294.68</v>
      </c>
      <c r="X58" s="25">
        <v>233205.83</v>
      </c>
      <c r="Y58" s="25">
        <f>G58*40</f>
        <v>2600</v>
      </c>
      <c r="Z58" s="25">
        <v>13078.69</v>
      </c>
      <c r="AA58" s="25">
        <v>0</v>
      </c>
      <c r="AB58" s="25">
        <v>1527.5</v>
      </c>
      <c r="AC58" s="25">
        <v>0</v>
      </c>
      <c r="AD58" s="25">
        <f>IF(F58="",G58*4.11,F58*4.11)</f>
        <v>267.15000000000003</v>
      </c>
      <c r="AE58" s="25">
        <v>466.41</v>
      </c>
      <c r="AF58" s="25">
        <f>V58+Y58+Z58+AA58+AB58+AC58+AD58</f>
        <v>202183.34</v>
      </c>
      <c r="AG58" s="25">
        <f>IFERROR(IFERROR((H58*W58*J58/15)-AE58,""),"")</f>
        <v>232743.34200000003</v>
      </c>
      <c r="AH58" s="26">
        <f>IFERROR(AG58-AF58,"")</f>
        <v>30560.002000000037</v>
      </c>
      <c r="AI58" s="6">
        <f>IF(F58="",(G58/$F$75)*$AL$20,(F58/$F$75)*$AL$20)</f>
        <v>219.81327800829874</v>
      </c>
      <c r="AJ58" s="6">
        <f>(AH58-AI58)*70%</f>
        <v>21238.132105394216</v>
      </c>
    </row>
    <row r="59" spans="1:36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AH58/G58</f>
        <v>470.15387692307746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0.13130344239879493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45009</v>
      </c>
      <c r="B64" s="21" t="s">
        <v>472</v>
      </c>
      <c r="C64" s="21" t="s">
        <v>180</v>
      </c>
      <c r="D64" s="44">
        <v>145572</v>
      </c>
      <c r="E64" s="44"/>
      <c r="F64" s="21">
        <v>43</v>
      </c>
      <c r="G64" s="21"/>
      <c r="H64" s="22">
        <v>22370</v>
      </c>
      <c r="I64" s="33">
        <v>0.53</v>
      </c>
      <c r="J64" s="24">
        <f>IFERROR(K64/H64,"")</f>
        <v>0.53303084488153774</v>
      </c>
      <c r="K64" s="22">
        <v>11923.9</v>
      </c>
      <c r="L64" s="21">
        <v>1</v>
      </c>
      <c r="M64" s="21">
        <v>35</v>
      </c>
      <c r="N64" s="21">
        <v>7</v>
      </c>
      <c r="O64" s="21"/>
      <c r="P64" s="21"/>
      <c r="Q64" s="21"/>
      <c r="R64" s="21"/>
      <c r="S64" s="21"/>
      <c r="T64" s="21"/>
      <c r="U64" s="25">
        <v>250</v>
      </c>
      <c r="V64" s="25">
        <f>H64*U64*I64/15</f>
        <v>197601.66666666666</v>
      </c>
      <c r="W64" s="25">
        <v>301.07</v>
      </c>
      <c r="X64" s="25">
        <v>239330.89</v>
      </c>
      <c r="Y64" s="25">
        <f>F64*40</f>
        <v>1720</v>
      </c>
      <c r="Z64" s="25">
        <v>11373.32</v>
      </c>
      <c r="AA64" s="25">
        <v>0</v>
      </c>
      <c r="AB64" s="25">
        <v>1075</v>
      </c>
      <c r="AC64" s="25">
        <v>0</v>
      </c>
      <c r="AD64" s="25">
        <f>IF(F64="",G64*4.11,F64*4.11)</f>
        <v>176.73000000000002</v>
      </c>
      <c r="AE64" s="25">
        <v>478.65</v>
      </c>
      <c r="AF64" s="25">
        <f>V64+Y64+Z64+AA64+AB64+AC64+AD64</f>
        <v>211946.71666666667</v>
      </c>
      <c r="AG64" s="25">
        <f>IFERROR(IFERROR((H64*W64*J64/15)-AE64,""),"")</f>
        <v>238849.92153333331</v>
      </c>
      <c r="AH64" s="26">
        <f>IFERROR(AG64-AF64,"")</f>
        <v>26903.204866666638</v>
      </c>
      <c r="AI64" s="6">
        <f>IF(F64="",(G64/$F$75)*$AL$20,(F64/$F$75)*$AL$20)</f>
        <v>145.41493775933611</v>
      </c>
      <c r="AJ64" s="6">
        <f>(AH64-AI64)*70%</f>
        <v>18730.452950235111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625.65592713178228</v>
      </c>
    </row>
    <row r="66" spans="1:36" ht="15" customHeight="1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0.11263644004552077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47"/>
      <c r="AI68" s="47"/>
      <c r="AJ68" s="47"/>
    </row>
    <row r="69" spans="1:36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258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20">
        <v>45009</v>
      </c>
      <c r="B70" s="21" t="s">
        <v>472</v>
      </c>
      <c r="C70" s="21" t="s">
        <v>174</v>
      </c>
      <c r="D70" s="44">
        <v>145572</v>
      </c>
      <c r="E70" s="44"/>
      <c r="F70" s="21">
        <v>7</v>
      </c>
      <c r="G70" s="21"/>
      <c r="H70" s="22">
        <v>3920</v>
      </c>
      <c r="I70" s="33">
        <v>0.54</v>
      </c>
      <c r="J70" s="24">
        <f>IFERROR(K70/H70,"")</f>
        <v>0.49517857142857141</v>
      </c>
      <c r="K70" s="22">
        <v>1941.1</v>
      </c>
      <c r="L70" s="21"/>
      <c r="M70" s="21"/>
      <c r="N70" s="21">
        <v>6</v>
      </c>
      <c r="O70" s="21">
        <v>1</v>
      </c>
      <c r="P70" s="21"/>
      <c r="Q70" s="21"/>
      <c r="R70" s="21"/>
      <c r="S70" s="21"/>
      <c r="T70" s="21"/>
      <c r="U70" s="25">
        <v>260</v>
      </c>
      <c r="V70" s="25">
        <f>H70*U70*I70/15</f>
        <v>36691.199999999997</v>
      </c>
      <c r="W70" s="25">
        <v>301.07</v>
      </c>
      <c r="X70" s="25">
        <v>38960.839999999997</v>
      </c>
      <c r="Y70" s="25">
        <f>F70*40</f>
        <v>280</v>
      </c>
      <c r="Z70" s="25">
        <v>1851.47</v>
      </c>
      <c r="AA70" s="25">
        <v>0</v>
      </c>
      <c r="AB70" s="25">
        <v>182</v>
      </c>
      <c r="AC70" s="25">
        <f>G70*30</f>
        <v>0</v>
      </c>
      <c r="AD70" s="25">
        <f>IF(F70="",G70*4.11,F70*4.11)</f>
        <v>28.770000000000003</v>
      </c>
      <c r="AE70" s="25">
        <v>77.92</v>
      </c>
      <c r="AF70" s="25">
        <f>V70+Y70+Z70+AA70+AB70+AC70+AD70</f>
        <v>39033.439999999995</v>
      </c>
      <c r="AG70" s="25">
        <f>IFERROR(IFERROR((H70*W70*J70/15)-AE70,""),"")</f>
        <v>38882.545133333333</v>
      </c>
      <c r="AH70" s="26">
        <f>IFERROR(AG70-AF70,"")</f>
        <v>-150.89486666666198</v>
      </c>
      <c r="AI70" s="6">
        <f>IF(F70="",(G70/$F$75)*$AL$20,(F70/$F$75)*$AL$20)</f>
        <v>23.672199170124482</v>
      </c>
      <c r="AJ70" s="6">
        <f>(AH70-AI70)*70%</f>
        <v>-122.19694608575053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AH70/F70</f>
        <v>-21.556409523808856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-3.8807867681815516E-3</v>
      </c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47"/>
      <c r="AI73" s="47"/>
      <c r="AJ73" s="47"/>
    </row>
    <row r="74" spans="1:36" ht="15" thickBot="1" x14ac:dyDescent="0.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47"/>
      <c r="AI74" s="47"/>
      <c r="AJ74" s="47"/>
    </row>
    <row r="75" spans="1:36" ht="16" thickBot="1" x14ac:dyDescent="0.4">
      <c r="A75" s="377" t="s">
        <v>463</v>
      </c>
      <c r="B75" s="378"/>
      <c r="C75" s="378"/>
      <c r="D75" s="378"/>
      <c r="E75" s="378"/>
      <c r="F75" s="30">
        <f>SUM(F4:G70)</f>
        <v>964</v>
      </c>
      <c r="G75" s="30"/>
      <c r="H75" s="30"/>
      <c r="I75" s="30"/>
      <c r="J75" s="30"/>
      <c r="K75" s="30"/>
      <c r="L75" s="46"/>
      <c r="M75" s="46"/>
      <c r="N75" s="46"/>
      <c r="O75" s="46"/>
      <c r="P75" s="46"/>
      <c r="Q75" s="46"/>
      <c r="R75" s="46"/>
      <c r="S75" s="46"/>
      <c r="T75" s="46"/>
      <c r="U75" s="30"/>
      <c r="V75" s="31">
        <f>V4+V10+V16+V22+V28+V34+V40+V46+V52+V58+V64+V70</f>
        <v>4424153.88</v>
      </c>
      <c r="W75" s="30"/>
      <c r="X75" s="30"/>
      <c r="Y75" s="31">
        <f>Y4+Y10+Y16+Y22+Y28+Y34+Y40+Y46+Y52+Y58+Y64+Y70</f>
        <v>24100</v>
      </c>
      <c r="Z75" s="31">
        <f>Z4+Z10+Z16+Z22+Z28+Z34+Z40+Z46+Z52+Z58+Z64+Z70</f>
        <v>172636.87</v>
      </c>
      <c r="AA75" s="31">
        <f>AA4+AA10+AA16+AA22+AA28+AA34+AA40+AA46+AA52+AA58+AA64+AA70</f>
        <v>0</v>
      </c>
      <c r="AB75" s="31">
        <f>AB4+AB10+AB16+AB16+AB22+AB28+AB34+AB40+AB46+AB52+AB58+AB64+AB70</f>
        <v>25183.5</v>
      </c>
      <c r="AC75" s="31">
        <f t="shared" ref="AC75:AJ75" si="0">AC4+AC10+AC16+AC22+AC28+AC34+AC40+AC46+AC52+AC58+AC64+AC70</f>
        <v>25470</v>
      </c>
      <c r="AD75" s="31">
        <f t="shared" si="0"/>
        <v>3962.0400000000004</v>
      </c>
      <c r="AE75" s="31">
        <f t="shared" si="0"/>
        <v>9744.4800000000014</v>
      </c>
      <c r="AF75" s="31">
        <f t="shared" si="0"/>
        <v>4675480.790000001</v>
      </c>
      <c r="AG75" s="31">
        <f t="shared" si="0"/>
        <v>4850163.3480666662</v>
      </c>
      <c r="AH75" s="31">
        <f t="shared" si="0"/>
        <v>174682.55806666613</v>
      </c>
      <c r="AI75" s="31">
        <f t="shared" si="0"/>
        <v>3259.9999999999995</v>
      </c>
      <c r="AJ75" s="31">
        <f t="shared" si="0"/>
        <v>119995.79064666628</v>
      </c>
    </row>
  </sheetData>
  <mergeCells count="2">
    <mergeCell ref="U2:AC2"/>
    <mergeCell ref="A75:E7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4"/>
  <dimension ref="A1:AQ81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bestFit="1" customWidth="1"/>
    <col min="39" max="39" width="15.7265625" customWidth="1"/>
  </cols>
  <sheetData>
    <row r="1" spans="1:43" ht="15" thickBot="1" x14ac:dyDescent="0.4"/>
    <row r="2" spans="1:43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3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AF81</f>
        <v>5076980.8966666656</v>
      </c>
      <c r="AM3" s="164">
        <f>AH81-AI81</f>
        <v>580631.81134000013</v>
      </c>
    </row>
    <row r="4" spans="1:43" x14ac:dyDescent="0.35">
      <c r="A4" s="132">
        <v>45011</v>
      </c>
      <c r="B4" s="21" t="s">
        <v>474</v>
      </c>
      <c r="C4" s="21" t="s">
        <v>195</v>
      </c>
      <c r="D4" s="44">
        <v>145571</v>
      </c>
      <c r="E4" s="44"/>
      <c r="F4" s="21"/>
      <c r="G4" s="21">
        <v>60</v>
      </c>
      <c r="H4" s="22">
        <v>22020</v>
      </c>
      <c r="I4" s="33">
        <v>0.5</v>
      </c>
      <c r="J4" s="24">
        <f>IFERROR(K4/H4,"")</f>
        <v>0.50041416893732971</v>
      </c>
      <c r="K4" s="22">
        <v>11019.12</v>
      </c>
      <c r="L4" s="21">
        <v>30</v>
      </c>
      <c r="M4" s="21">
        <v>30</v>
      </c>
      <c r="N4" s="21"/>
      <c r="O4" s="21"/>
      <c r="P4" s="21"/>
      <c r="Q4" s="21"/>
      <c r="R4" s="21"/>
      <c r="S4" s="21"/>
      <c r="T4" s="21"/>
      <c r="U4" s="25">
        <v>240</v>
      </c>
      <c r="V4" s="25">
        <f>H4*U4*I4/15</f>
        <v>176160</v>
      </c>
      <c r="W4" s="25">
        <v>302.81</v>
      </c>
      <c r="X4" s="25">
        <v>222448.65</v>
      </c>
      <c r="Y4" s="25">
        <f>G4*40</f>
        <v>2400</v>
      </c>
      <c r="Z4" s="25">
        <v>8038.9</v>
      </c>
      <c r="AA4" s="25">
        <v>0</v>
      </c>
      <c r="AB4" s="25">
        <v>1440</v>
      </c>
      <c r="AC4" s="25">
        <f>F4*30</f>
        <v>0</v>
      </c>
      <c r="AD4" s="25">
        <f>G4*4.11</f>
        <v>246.60000000000002</v>
      </c>
      <c r="AE4" s="25">
        <v>444.89</v>
      </c>
      <c r="AF4" s="25">
        <f>V4+Y4+Z4+AA4+AB4+AC4+AD4</f>
        <v>188285.5</v>
      </c>
      <c r="AG4" s="25">
        <f>IFERROR(IFERROR((H4*W4*J4/15)-AE4,""),"")</f>
        <v>222001.75847999999</v>
      </c>
      <c r="AH4" s="26">
        <f>IFERROR(AG4-AF4,"")</f>
        <v>33716.25847999999</v>
      </c>
      <c r="AI4" s="6">
        <f>IF(F4="",(G4/$F$81)*$AL$21,(F4/$F$81)*$AL$21)</f>
        <v>343.88187134502925</v>
      </c>
      <c r="AJ4" s="6">
        <f>(AH4-AI4)*70%</f>
        <v>23360.663626058471</v>
      </c>
      <c r="AL4" s="166" t="s">
        <v>749</v>
      </c>
      <c r="AM4" s="167">
        <f>AM3/AL3</f>
        <v>0.11436556945117103</v>
      </c>
    </row>
    <row r="5" spans="1:43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IFERROR(AH4/G4,"")</f>
        <v>561.9376413333332</v>
      </c>
      <c r="AM5" s="63"/>
    </row>
    <row r="6" spans="1:43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0.1518738351932355</v>
      </c>
      <c r="AM6" s="63"/>
    </row>
    <row r="7" spans="1:43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3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3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F4+G4+F10+G10+F16+G16+F22+G22+F28+G28+F34+G34+F40+G40+F46+G46+F52+G52+F58+G58+F64+G64+F70+G70+F76+G76</f>
        <v>1026</v>
      </c>
      <c r="AM9" s="50" t="s">
        <v>22</v>
      </c>
      <c r="AN9" t="s">
        <v>72</v>
      </c>
    </row>
    <row r="10" spans="1:43" x14ac:dyDescent="0.35">
      <c r="A10" s="132">
        <v>45011</v>
      </c>
      <c r="B10" s="21" t="s">
        <v>474</v>
      </c>
      <c r="C10" s="21" t="s">
        <v>319</v>
      </c>
      <c r="D10" s="44">
        <v>145571</v>
      </c>
      <c r="E10" s="44"/>
      <c r="F10" s="21"/>
      <c r="G10" s="21">
        <v>65</v>
      </c>
      <c r="H10" s="22">
        <v>24140</v>
      </c>
      <c r="I10" s="33">
        <v>0.5</v>
      </c>
      <c r="J10" s="24">
        <f>IFERROR(K10/H10,"")</f>
        <v>0.49450621375310683</v>
      </c>
      <c r="K10" s="22">
        <v>11937.38</v>
      </c>
      <c r="L10" s="21"/>
      <c r="M10" s="21">
        <v>38</v>
      </c>
      <c r="N10" s="21">
        <v>21</v>
      </c>
      <c r="O10" s="21">
        <v>5</v>
      </c>
      <c r="P10" s="21">
        <v>1</v>
      </c>
      <c r="Q10" s="21"/>
      <c r="R10" s="21"/>
      <c r="S10" s="21"/>
      <c r="T10" s="21"/>
      <c r="U10" s="25">
        <v>240</v>
      </c>
      <c r="V10" s="25">
        <f>H10*U10*I10/15</f>
        <v>193120</v>
      </c>
      <c r="W10" s="25">
        <v>302.81</v>
      </c>
      <c r="X10" s="25">
        <v>240986.03</v>
      </c>
      <c r="Y10" s="25">
        <f>G10*40</f>
        <v>2600</v>
      </c>
      <c r="Z10" s="25">
        <v>5972.5</v>
      </c>
      <c r="AA10" s="25">
        <v>0</v>
      </c>
      <c r="AB10" s="25">
        <v>1560</v>
      </c>
      <c r="AC10" s="25">
        <f>F10*30</f>
        <v>0</v>
      </c>
      <c r="AD10" s="25">
        <f>IF(F10="",G10*4.11,F10*4.11)</f>
        <v>267.15000000000003</v>
      </c>
      <c r="AE10" s="25">
        <v>481.96</v>
      </c>
      <c r="AF10" s="25">
        <f>V10+Y10+Z10+AA10+AB10+AC10+AD10</f>
        <v>203519.65</v>
      </c>
      <c r="AG10" s="25">
        <f>IFERROR(IFERROR((H10*W10*J10/15)-AE10,""),"")</f>
        <v>240501.90918666669</v>
      </c>
      <c r="AH10" s="26">
        <f>IFERROR(AG10-AF10,"")</f>
        <v>36982.259186666692</v>
      </c>
      <c r="AI10" s="6">
        <f>IF(F10="",(G10/$F$81)*$AL$21,(F10/$F$81)*$AL$21)</f>
        <v>372.53869395711502</v>
      </c>
      <c r="AJ10" s="6">
        <f>(AH10-AI10)*70%</f>
        <v>25626.8043448967</v>
      </c>
      <c r="AL10" s="11">
        <f>AH4+AH10+AH16+AH22+AH28+AH34+AH40+AH46+AH52+AH58+AH64+AH70+AH76</f>
        <v>586512.19134000014</v>
      </c>
      <c r="AM10" s="11">
        <f>AL10*30%</f>
        <v>175953.65740200004</v>
      </c>
    </row>
    <row r="11" spans="1:43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AH10/G10</f>
        <v>568.95783364102601</v>
      </c>
      <c r="AL11" s="11"/>
      <c r="AM11" s="11"/>
    </row>
    <row r="12" spans="1:43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0.15377116677257949</v>
      </c>
    </row>
    <row r="13" spans="1:43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3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77" t="s">
        <v>187</v>
      </c>
      <c r="AM14" s="206" t="s">
        <v>680</v>
      </c>
      <c r="AN14" s="190"/>
      <c r="AO14" s="190"/>
      <c r="AP14" s="190"/>
      <c r="AQ14" s="191"/>
    </row>
    <row r="15" spans="1:43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178">
        <v>42.38</v>
      </c>
      <c r="AM15" t="s">
        <v>475</v>
      </c>
      <c r="AQ15" s="174"/>
    </row>
    <row r="16" spans="1:43" x14ac:dyDescent="0.35">
      <c r="A16" s="132">
        <v>45012</v>
      </c>
      <c r="B16" s="21" t="s">
        <v>474</v>
      </c>
      <c r="C16" s="21" t="s">
        <v>331</v>
      </c>
      <c r="D16" s="44">
        <v>145577</v>
      </c>
      <c r="E16" s="44"/>
      <c r="F16" s="21">
        <v>240</v>
      </c>
      <c r="G16" s="21"/>
      <c r="H16" s="22">
        <v>110030</v>
      </c>
      <c r="I16" s="33">
        <v>0.53</v>
      </c>
      <c r="J16" s="24">
        <f>IFERROR(K16/H16,"")</f>
        <v>0.54399254748704895</v>
      </c>
      <c r="K16" s="22">
        <v>59855.5</v>
      </c>
      <c r="L16" s="21">
        <v>11</v>
      </c>
      <c r="M16" s="21">
        <v>180</v>
      </c>
      <c r="N16" s="21">
        <v>47</v>
      </c>
      <c r="O16" s="21">
        <v>2</v>
      </c>
      <c r="P16" s="21"/>
      <c r="Q16" s="21"/>
      <c r="R16" s="21"/>
      <c r="S16" s="21"/>
      <c r="T16" s="21"/>
      <c r="U16" s="25">
        <v>270</v>
      </c>
      <c r="V16" s="25">
        <f>H16*U16*I16/15</f>
        <v>1049686.2</v>
      </c>
      <c r="W16" s="25">
        <v>310.39999999999998</v>
      </c>
      <c r="X16" s="25">
        <v>1238601.82</v>
      </c>
      <c r="Y16" s="25">
        <f>F16*40</f>
        <v>9600</v>
      </c>
      <c r="Z16" s="25">
        <v>32581.8</v>
      </c>
      <c r="AA16" s="25">
        <v>0</v>
      </c>
      <c r="AB16" s="25">
        <v>6480</v>
      </c>
      <c r="AC16" s="25">
        <v>0</v>
      </c>
      <c r="AD16" s="25">
        <f>IF(F16="",G16*4.11,F16*4.11)</f>
        <v>986.40000000000009</v>
      </c>
      <c r="AE16" s="25">
        <v>2477.21</v>
      </c>
      <c r="AF16" s="25">
        <f>V16+Y16+Z16+AA16+AB16+AC16+AD16</f>
        <v>1099334.3999999999</v>
      </c>
      <c r="AG16" s="25">
        <f>IFERROR(IFERROR((H16*W16*J16/15)-AE16,""),"")</f>
        <v>1236132.6033333333</v>
      </c>
      <c r="AH16" s="26">
        <f>IFERROR(AG16-AF16,"")</f>
        <v>136798.20333333337</v>
      </c>
      <c r="AI16" s="6">
        <f>IF(F16="",(G16/$F$81)*$AL$21,(F16/$F$81)*$AL$21)</f>
        <v>1375.527485380117</v>
      </c>
      <c r="AJ16" s="6">
        <f>(AH16-AI16)*70%</f>
        <v>94795.873093567265</v>
      </c>
      <c r="AL16" s="178">
        <v>132</v>
      </c>
      <c r="AM16" s="6" t="s">
        <v>479</v>
      </c>
      <c r="AQ16" s="174"/>
    </row>
    <row r="17" spans="1:43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569.99251388888899</v>
      </c>
      <c r="AL17" s="178">
        <v>5706</v>
      </c>
      <c r="AM17" t="s">
        <v>484</v>
      </c>
      <c r="AQ17" s="174"/>
    </row>
    <row r="18" spans="1:43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0.11066628528723031</v>
      </c>
      <c r="AL18" s="178">
        <v>0</v>
      </c>
      <c r="AQ18" s="174"/>
    </row>
    <row r="19" spans="1:43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205">
        <v>0</v>
      </c>
      <c r="AQ19" s="174"/>
    </row>
    <row r="20" spans="1:43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78"/>
      <c r="AQ20" s="174"/>
    </row>
    <row r="21" spans="1:43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79">
        <f>SUM(AL15:AL20)</f>
        <v>5880.38</v>
      </c>
      <c r="AM21" s="181" t="s">
        <v>682</v>
      </c>
      <c r="AN21" s="181"/>
      <c r="AO21" s="190"/>
      <c r="AP21" s="190"/>
      <c r="AQ21" s="191"/>
    </row>
    <row r="22" spans="1:43" x14ac:dyDescent="0.35">
      <c r="A22" s="20">
        <v>45013</v>
      </c>
      <c r="B22" s="21" t="s">
        <v>474</v>
      </c>
      <c r="C22" s="21" t="s">
        <v>460</v>
      </c>
      <c r="D22" s="44">
        <v>1713</v>
      </c>
      <c r="E22" s="44"/>
      <c r="F22" s="21">
        <v>100</v>
      </c>
      <c r="G22" s="21"/>
      <c r="H22" s="22">
        <v>62940</v>
      </c>
      <c r="I22" s="33">
        <v>0.54</v>
      </c>
      <c r="J22" s="24">
        <f>IFERROR(K22/H22,"")</f>
        <v>0.54465204957102009</v>
      </c>
      <c r="K22" s="22">
        <v>34280.400000000001</v>
      </c>
      <c r="L22" s="21"/>
      <c r="M22" s="21">
        <v>34</v>
      </c>
      <c r="N22" s="21">
        <v>65</v>
      </c>
      <c r="O22" s="21">
        <v>1</v>
      </c>
      <c r="P22" s="21"/>
      <c r="Q22" s="21"/>
      <c r="R22" s="21"/>
      <c r="S22" s="21"/>
      <c r="T22" s="21"/>
      <c r="U22" s="25">
        <v>255</v>
      </c>
      <c r="V22" s="25">
        <f>H22*U22*I22/15</f>
        <v>577789.19999999995</v>
      </c>
      <c r="W22" s="25">
        <v>305.5</v>
      </c>
      <c r="X22" s="25">
        <v>698187.14</v>
      </c>
      <c r="Y22" s="25">
        <f>F22*40</f>
        <v>4000</v>
      </c>
      <c r="Z22" s="25">
        <v>29597</v>
      </c>
      <c r="AA22" s="25">
        <v>0</v>
      </c>
      <c r="AB22" s="25">
        <v>2550</v>
      </c>
      <c r="AC22" s="25">
        <v>0</v>
      </c>
      <c r="AD22" s="25">
        <f>IF(F22="",G22*4.11,F22*4.11)</f>
        <v>411.00000000000006</v>
      </c>
      <c r="AE22" s="25">
        <v>1396.37</v>
      </c>
      <c r="AF22" s="25">
        <f>V22+Y22+Z22+AA22+AB22+AC22+AD22</f>
        <v>614347.19999999995</v>
      </c>
      <c r="AG22" s="25">
        <f>IFERROR(IFERROR((H22*W22*J22/15)-AE22,""),"")</f>
        <v>696781.1100000001</v>
      </c>
      <c r="AH22" s="26">
        <f>IFERROR(AG22-AF22,"")</f>
        <v>82433.910000000149</v>
      </c>
      <c r="AI22" s="6">
        <f>IF(F22="",(G22/$F$81)*$AL$21,(F22/$F$81)*$AL$21)</f>
        <v>573.13645224171535</v>
      </c>
      <c r="AJ22" s="6">
        <f>(AH22-AI22)*70%</f>
        <v>57302.541483430905</v>
      </c>
    </row>
    <row r="23" spans="1:43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824.33910000000151</v>
      </c>
      <c r="AL23" s="95">
        <f>AL10-AL21</f>
        <v>580631.81134000013</v>
      </c>
      <c r="AM23" s="11" t="s">
        <v>471</v>
      </c>
    </row>
    <row r="24" spans="1:43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0.11830675203006025</v>
      </c>
      <c r="AL24" s="127">
        <f>AL23*30%</f>
        <v>174189.54340200004</v>
      </c>
      <c r="AM24" s="128" t="s">
        <v>424</v>
      </c>
    </row>
    <row r="25" spans="1:43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</row>
    <row r="26" spans="1:43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</row>
    <row r="27" spans="1:43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</row>
    <row r="28" spans="1:43" x14ac:dyDescent="0.35">
      <c r="A28" s="133">
        <v>45013</v>
      </c>
      <c r="B28" s="21" t="s">
        <v>474</v>
      </c>
      <c r="C28" s="21" t="s">
        <v>257</v>
      </c>
      <c r="D28" s="44">
        <v>145575</v>
      </c>
      <c r="E28" s="44"/>
      <c r="F28" s="21">
        <v>100</v>
      </c>
      <c r="G28" s="21"/>
      <c r="H28" s="22">
        <v>60490</v>
      </c>
      <c r="I28" s="33">
        <v>0.55000000000000004</v>
      </c>
      <c r="J28" s="24">
        <f>IFERROR(K28/H28,"")</f>
        <v>0.5310547197883948</v>
      </c>
      <c r="K28" s="22">
        <v>32123.5</v>
      </c>
      <c r="L28" s="21"/>
      <c r="M28" s="21">
        <v>81</v>
      </c>
      <c r="N28" s="21">
        <v>18</v>
      </c>
      <c r="O28" s="21">
        <v>1</v>
      </c>
      <c r="P28" s="21"/>
      <c r="Q28" s="21"/>
      <c r="R28" s="21"/>
      <c r="S28" s="21"/>
      <c r="T28" s="21"/>
      <c r="U28" s="25">
        <v>265</v>
      </c>
      <c r="V28" s="25">
        <f>H28*U28*I28/15</f>
        <v>587761.16666666663</v>
      </c>
      <c r="W28" s="25">
        <v>309.58999999999997</v>
      </c>
      <c r="X28" s="25">
        <v>663015.06000000006</v>
      </c>
      <c r="Y28" s="25">
        <f>F28*40</f>
        <v>4000</v>
      </c>
      <c r="Z28" s="25">
        <v>27156.799999999999</v>
      </c>
      <c r="AA28" s="25">
        <v>0</v>
      </c>
      <c r="AB28" s="25">
        <v>2650</v>
      </c>
      <c r="AC28" s="25">
        <v>0</v>
      </c>
      <c r="AD28" s="25">
        <f>IF(F28="",G28*4.11,F28*4.11)</f>
        <v>411.00000000000006</v>
      </c>
      <c r="AE28" s="25">
        <v>1326.03</v>
      </c>
      <c r="AF28" s="25">
        <f>V28+Y28+Z28+AA28+AB28+AC28+AD28</f>
        <v>621978.96666666667</v>
      </c>
      <c r="AG28" s="25">
        <f>IFERROR(IFERROR((H28*W28*J28/15)-AE28,""),"")</f>
        <v>661681.59433333331</v>
      </c>
      <c r="AH28" s="26">
        <f>IFERROR(AG28-AF28,"")</f>
        <v>39702.627666666638</v>
      </c>
      <c r="AI28" s="6">
        <f>IF(F28="",(G28/$F$81)*$AL$21,(F28/$F$81)*$AL$21)</f>
        <v>573.13645224171535</v>
      </c>
      <c r="AJ28" s="6">
        <f>(AH28-AI28)*70%</f>
        <v>27390.643850097447</v>
      </c>
    </row>
    <row r="29" spans="1:43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397.02627666666638</v>
      </c>
    </row>
    <row r="30" spans="1:43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6.0002617583262814E-2</v>
      </c>
    </row>
    <row r="31" spans="1:43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7"/>
    </row>
    <row r="32" spans="1:43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6" x14ac:dyDescent="0.35">
      <c r="A34" s="133">
        <v>45013</v>
      </c>
      <c r="B34" s="21" t="s">
        <v>474</v>
      </c>
      <c r="C34" s="21" t="s">
        <v>476</v>
      </c>
      <c r="D34" s="44">
        <v>145576</v>
      </c>
      <c r="E34" s="44"/>
      <c r="F34" s="21"/>
      <c r="G34" s="21">
        <v>65</v>
      </c>
      <c r="H34" s="22">
        <v>22360</v>
      </c>
      <c r="I34" s="33">
        <v>0.5</v>
      </c>
      <c r="J34" s="24">
        <f>IFERROR(K34/H34,"")</f>
        <v>0.51507155635062607</v>
      </c>
      <c r="K34" s="22">
        <v>11517</v>
      </c>
      <c r="L34" s="21">
        <v>18</v>
      </c>
      <c r="M34" s="21">
        <v>31</v>
      </c>
      <c r="N34" s="21">
        <v>15</v>
      </c>
      <c r="O34" s="21">
        <v>1</v>
      </c>
      <c r="P34" s="21"/>
      <c r="Q34" s="21"/>
      <c r="R34" s="21"/>
      <c r="S34" s="21"/>
      <c r="T34" s="21"/>
      <c r="U34" s="25">
        <v>230</v>
      </c>
      <c r="V34" s="25">
        <f>H34*U34*I34/15</f>
        <v>171426.66666666666</v>
      </c>
      <c r="W34" s="25">
        <v>303.64999999999998</v>
      </c>
      <c r="X34" s="25">
        <v>233140.51</v>
      </c>
      <c r="Y34" s="25">
        <f>G34*40</f>
        <v>2600</v>
      </c>
      <c r="Z34" s="25">
        <v>10090</v>
      </c>
      <c r="AA34" s="25">
        <v>0</v>
      </c>
      <c r="AB34" s="25">
        <v>1495</v>
      </c>
      <c r="AC34" s="25">
        <f>F34*30</f>
        <v>0</v>
      </c>
      <c r="AD34" s="25">
        <f>IF(F34="",G34*4.11,F34*4.11)</f>
        <v>267.15000000000003</v>
      </c>
      <c r="AE34" s="25">
        <v>466.29</v>
      </c>
      <c r="AF34" s="25">
        <f>V34+Y34+Z34+AA34+AB34+AC34+AD34</f>
        <v>185878.81666666665</v>
      </c>
      <c r="AG34" s="25">
        <f>IFERROR(IFERROR((H34*W34*J34/15)-AE34,""),"")</f>
        <v>232676.17999999993</v>
      </c>
      <c r="AH34" s="26">
        <f>IFERROR(AG34-AF34,"")</f>
        <v>46797.363333333284</v>
      </c>
      <c r="AI34" s="6">
        <f>IF(F34="",(G34/$F$81)*$AL$21,(F34/$F$81)*$AL$21)</f>
        <v>372.53869395711502</v>
      </c>
      <c r="AJ34" s="6">
        <f>(AH34-AI34)*70%</f>
        <v>32497.377247563312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AH34/G34</f>
        <v>719.95943589743513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0.20112657571279233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6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6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6" x14ac:dyDescent="0.35">
      <c r="A40" s="20">
        <v>45013</v>
      </c>
      <c r="B40" s="21" t="s">
        <v>474</v>
      </c>
      <c r="C40" s="21" t="s">
        <v>460</v>
      </c>
      <c r="D40" s="44">
        <v>1713</v>
      </c>
      <c r="E40" s="44"/>
      <c r="F40" s="21">
        <v>100</v>
      </c>
      <c r="G40" s="21"/>
      <c r="H40" s="22">
        <v>61540</v>
      </c>
      <c r="I40" s="33">
        <v>0.54</v>
      </c>
      <c r="J40" s="24">
        <f>IFERROR(K40/H40,"")</f>
        <v>0.54195482612934676</v>
      </c>
      <c r="K40" s="22">
        <v>33351.9</v>
      </c>
      <c r="L40" s="21"/>
      <c r="M40" s="21">
        <v>23</v>
      </c>
      <c r="N40" s="21">
        <v>74</v>
      </c>
      <c r="O40" s="21">
        <v>3</v>
      </c>
      <c r="P40" s="21"/>
      <c r="Q40" s="21"/>
      <c r="R40" s="21"/>
      <c r="S40" s="21"/>
      <c r="T40" s="21"/>
      <c r="U40" s="25">
        <v>255</v>
      </c>
      <c r="V40" s="25">
        <f>H40*U40*I40/15</f>
        <v>564937.19999999995</v>
      </c>
      <c r="W40" s="25">
        <v>305.39999999999998</v>
      </c>
      <c r="X40" s="25">
        <v>679034.44</v>
      </c>
      <c r="Y40" s="25">
        <f>F40*40</f>
        <v>4000</v>
      </c>
      <c r="Z40" s="25">
        <v>29055.200000000001</v>
      </c>
      <c r="AA40" s="25">
        <v>0</v>
      </c>
      <c r="AB40" s="25">
        <v>2550</v>
      </c>
      <c r="AC40" s="25">
        <v>0</v>
      </c>
      <c r="AD40" s="25">
        <f>IF(F40="",G40*4.11,F40*4.11)</f>
        <v>411.00000000000006</v>
      </c>
      <c r="AE40" s="25">
        <v>1358.07</v>
      </c>
      <c r="AF40" s="25">
        <f>V40+Y40+Z40+AA40+AB40+AC40+AD40</f>
        <v>600953.39999999991</v>
      </c>
      <c r="AG40" s="25">
        <f>IFERROR(IFERROR((H40*W40*J40/15)-AE40,""),"")</f>
        <v>677686.61400000006</v>
      </c>
      <c r="AH40" s="26">
        <f>IFERROR(AG40-AF40,"")</f>
        <v>76733.214000000153</v>
      </c>
      <c r="AI40" s="6">
        <f>IF(F40="",(G40/$F$81)*$AL$21,(F40/$F$81)*$AL$21)</f>
        <v>573.13645224171535</v>
      </c>
      <c r="AJ40" s="6">
        <f>(AH40-AI40)*70%</f>
        <v>53312.054283430902</v>
      </c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767.33214000000157</v>
      </c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0.11322816832265208</v>
      </c>
    </row>
    <row r="43" spans="1:36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6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6" x14ac:dyDescent="0.35">
      <c r="A45" s="37" t="s">
        <v>1</v>
      </c>
      <c r="B45" s="37" t="s">
        <v>2</v>
      </c>
      <c r="C45" s="37" t="s">
        <v>110</v>
      </c>
      <c r="D45" s="37" t="s">
        <v>66</v>
      </c>
      <c r="E45" s="37"/>
      <c r="F45" s="37" t="s">
        <v>137</v>
      </c>
      <c r="G45" s="37" t="s">
        <v>138</v>
      </c>
      <c r="H45" s="37" t="s">
        <v>4</v>
      </c>
      <c r="I45" s="37" t="s">
        <v>5</v>
      </c>
      <c r="J45" s="37" t="s">
        <v>6</v>
      </c>
      <c r="K45" s="37" t="s">
        <v>7</v>
      </c>
      <c r="L45" s="37" t="s">
        <v>279</v>
      </c>
      <c r="M45" s="37" t="s">
        <v>280</v>
      </c>
      <c r="N45" s="37" t="s">
        <v>281</v>
      </c>
      <c r="O45" s="37" t="s">
        <v>282</v>
      </c>
      <c r="P45" s="37" t="s">
        <v>283</v>
      </c>
      <c r="Q45" s="37" t="s">
        <v>284</v>
      </c>
      <c r="R45" s="37" t="s">
        <v>904</v>
      </c>
      <c r="S45" s="37" t="s">
        <v>285</v>
      </c>
      <c r="T45" s="37" t="s">
        <v>289</v>
      </c>
      <c r="U45" s="37" t="s">
        <v>8</v>
      </c>
      <c r="V45" s="37" t="s">
        <v>9</v>
      </c>
      <c r="W45" s="37" t="s">
        <v>10</v>
      </c>
      <c r="X45" s="37" t="s">
        <v>100</v>
      </c>
      <c r="Y45" s="37" t="s">
        <v>106</v>
      </c>
      <c r="Z45" s="37" t="s">
        <v>12</v>
      </c>
      <c r="AA45" s="37" t="s">
        <v>258</v>
      </c>
      <c r="AB45" s="37" t="s">
        <v>13</v>
      </c>
      <c r="AC45" s="37" t="s">
        <v>74</v>
      </c>
      <c r="AD45" s="37" t="s">
        <v>21</v>
      </c>
      <c r="AE45" s="37" t="s">
        <v>14</v>
      </c>
      <c r="AF45" s="37" t="s">
        <v>15</v>
      </c>
      <c r="AG45" s="37" t="s">
        <v>16</v>
      </c>
      <c r="AH45" s="15" t="s">
        <v>17</v>
      </c>
      <c r="AI45" s="14" t="s">
        <v>679</v>
      </c>
      <c r="AJ45" s="14" t="s">
        <v>678</v>
      </c>
    </row>
    <row r="46" spans="1:36" x14ac:dyDescent="0.35">
      <c r="A46" s="133">
        <v>45014</v>
      </c>
      <c r="B46" s="39" t="s">
        <v>474</v>
      </c>
      <c r="C46" s="39" t="s">
        <v>477</v>
      </c>
      <c r="D46" s="45">
        <v>145574</v>
      </c>
      <c r="E46" s="45"/>
      <c r="F46" s="39">
        <v>50</v>
      </c>
      <c r="G46" s="39"/>
      <c r="H46" s="40">
        <v>26280</v>
      </c>
      <c r="I46" s="53">
        <v>0.54</v>
      </c>
      <c r="J46" s="42">
        <f>IFERROR(K46/H46,"")</f>
        <v>0.54447488584474879</v>
      </c>
      <c r="K46" s="40">
        <v>14308.8</v>
      </c>
      <c r="L46" s="39">
        <v>15</v>
      </c>
      <c r="M46" s="39">
        <v>19</v>
      </c>
      <c r="N46" s="39">
        <v>4</v>
      </c>
      <c r="O46" s="39">
        <v>5</v>
      </c>
      <c r="P46" s="39">
        <v>7</v>
      </c>
      <c r="Q46" s="39"/>
      <c r="R46" s="39"/>
      <c r="S46" s="39"/>
      <c r="T46" s="39"/>
      <c r="U46" s="43">
        <v>270</v>
      </c>
      <c r="V46" s="43">
        <f>H46*U46*I46/15</f>
        <v>255441.60000000003</v>
      </c>
      <c r="W46" s="43">
        <v>305.83</v>
      </c>
      <c r="X46" s="43">
        <v>282749.68</v>
      </c>
      <c r="Y46" s="43">
        <f>F46*40</f>
        <v>2000</v>
      </c>
      <c r="Z46" s="43">
        <v>10285.799999999999</v>
      </c>
      <c r="AA46" s="43">
        <v>0</v>
      </c>
      <c r="AB46" s="43">
        <v>1350</v>
      </c>
      <c r="AC46" s="43">
        <v>0</v>
      </c>
      <c r="AD46" s="43">
        <f>IF(F46="",G46*4.11,F46*4.11)</f>
        <v>205.50000000000003</v>
      </c>
      <c r="AE46" s="43">
        <v>565.5</v>
      </c>
      <c r="AF46" s="43">
        <f>V46+Y46+Z46+AA46+AB46+AC46+AD46</f>
        <v>269282.90000000002</v>
      </c>
      <c r="AG46" s="43">
        <f>IFERROR(IFERROR((H46*W46*J46/15)-AE46,""),"")</f>
        <v>291171.85359999997</v>
      </c>
      <c r="AH46" s="26">
        <f>IFERROR(AG46-AF46,"")</f>
        <v>21888.95359999995</v>
      </c>
      <c r="AI46" s="6">
        <f>IF(F46="",(G46/$F$81)*$AL$21,(F46/$F$81)*$AL$21)</f>
        <v>286.56822612085767</v>
      </c>
      <c r="AJ46" s="6">
        <f>(AH46-AI46)*70%</f>
        <v>15121.669761715364</v>
      </c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437.77907199999902</v>
      </c>
    </row>
    <row r="48" spans="1:36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7.5175376085870244E-2</v>
      </c>
    </row>
    <row r="49" spans="1:36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6" x14ac:dyDescent="0.35">
      <c r="A51" s="37" t="s">
        <v>1</v>
      </c>
      <c r="B51" s="37" t="s">
        <v>2</v>
      </c>
      <c r="C51" s="37" t="s">
        <v>110</v>
      </c>
      <c r="D51" s="37" t="s">
        <v>66</v>
      </c>
      <c r="E51" s="37"/>
      <c r="F51" s="37" t="s">
        <v>137</v>
      </c>
      <c r="G51" s="37" t="s">
        <v>138</v>
      </c>
      <c r="H51" s="37" t="s">
        <v>4</v>
      </c>
      <c r="I51" s="37" t="s">
        <v>5</v>
      </c>
      <c r="J51" s="37" t="s">
        <v>6</v>
      </c>
      <c r="K51" s="37" t="s">
        <v>7</v>
      </c>
      <c r="L51" s="37" t="s">
        <v>279</v>
      </c>
      <c r="M51" s="37" t="s">
        <v>280</v>
      </c>
      <c r="N51" s="37" t="s">
        <v>281</v>
      </c>
      <c r="O51" s="37" t="s">
        <v>282</v>
      </c>
      <c r="P51" s="37" t="s">
        <v>283</v>
      </c>
      <c r="Q51" s="37" t="s">
        <v>284</v>
      </c>
      <c r="R51" s="37" t="s">
        <v>904</v>
      </c>
      <c r="S51" s="37" t="s">
        <v>285</v>
      </c>
      <c r="T51" s="37" t="s">
        <v>289</v>
      </c>
      <c r="U51" s="37" t="s">
        <v>8</v>
      </c>
      <c r="V51" s="37" t="s">
        <v>9</v>
      </c>
      <c r="W51" s="37" t="s">
        <v>10</v>
      </c>
      <c r="X51" s="37" t="s">
        <v>100</v>
      </c>
      <c r="Y51" s="37" t="s">
        <v>106</v>
      </c>
      <c r="Z51" s="37" t="s">
        <v>12</v>
      </c>
      <c r="AA51" s="37" t="s">
        <v>258</v>
      </c>
      <c r="AB51" s="37" t="s">
        <v>13</v>
      </c>
      <c r="AC51" s="37" t="s">
        <v>74</v>
      </c>
      <c r="AD51" s="37" t="s">
        <v>21</v>
      </c>
      <c r="AE51" s="37" t="s">
        <v>14</v>
      </c>
      <c r="AF51" s="37" t="s">
        <v>15</v>
      </c>
      <c r="AG51" s="37" t="s">
        <v>16</v>
      </c>
      <c r="AH51" s="15" t="s">
        <v>17</v>
      </c>
      <c r="AI51" s="14" t="s">
        <v>679</v>
      </c>
      <c r="AJ51" s="14" t="s">
        <v>678</v>
      </c>
    </row>
    <row r="52" spans="1:36" x14ac:dyDescent="0.35">
      <c r="A52" s="133">
        <v>45014</v>
      </c>
      <c r="B52" s="39" t="s">
        <v>474</v>
      </c>
      <c r="C52" s="39" t="s">
        <v>161</v>
      </c>
      <c r="D52" s="45">
        <v>145574</v>
      </c>
      <c r="E52" s="45"/>
      <c r="F52" s="39">
        <v>50</v>
      </c>
      <c r="G52" s="39"/>
      <c r="H52" s="40">
        <v>26630</v>
      </c>
      <c r="I52" s="53">
        <v>0.53</v>
      </c>
      <c r="J52" s="42">
        <f>IFERROR(K52/H52,"")</f>
        <v>0.5373188133683815</v>
      </c>
      <c r="K52" s="40">
        <v>14308.8</v>
      </c>
      <c r="L52" s="39">
        <v>15</v>
      </c>
      <c r="M52" s="39">
        <v>19</v>
      </c>
      <c r="N52" s="39">
        <v>4</v>
      </c>
      <c r="O52" s="39">
        <v>2</v>
      </c>
      <c r="P52" s="39">
        <v>10</v>
      </c>
      <c r="Q52" s="39"/>
      <c r="R52" s="39"/>
      <c r="S52" s="39"/>
      <c r="T52" s="39"/>
      <c r="U52" s="43">
        <v>260</v>
      </c>
      <c r="V52" s="43">
        <f>H52*U52*I52/15</f>
        <v>244640.93333333332</v>
      </c>
      <c r="W52" s="43">
        <v>305.83</v>
      </c>
      <c r="X52" s="43">
        <v>282749.68</v>
      </c>
      <c r="Y52" s="43">
        <f>F52*40</f>
        <v>2000</v>
      </c>
      <c r="Z52" s="43">
        <v>10851.1</v>
      </c>
      <c r="AA52" s="43">
        <v>0</v>
      </c>
      <c r="AB52" s="43">
        <v>1300</v>
      </c>
      <c r="AC52" s="43">
        <v>0</v>
      </c>
      <c r="AD52" s="43">
        <f>IF(F52="",G52*4.11,F52*4.11)</f>
        <v>205.50000000000003</v>
      </c>
      <c r="AE52" s="43">
        <v>565.5</v>
      </c>
      <c r="AF52" s="43">
        <f>V52+Y52+Z52+AA52+AB52+AC52+AD52</f>
        <v>258997.53333333333</v>
      </c>
      <c r="AG52" s="43">
        <f>IFERROR(IFERROR((H52*W52*J52/15)-AE52,""),"")</f>
        <v>291171.85359999997</v>
      </c>
      <c r="AH52" s="26">
        <f>IFERROR(AG52-AF52,"")</f>
        <v>32174.320266666648</v>
      </c>
      <c r="AI52" s="6">
        <f>IF(F52="",(G52/$F$81)*$AL$21,(F52/$F$81)*$AL$21)</f>
        <v>286.56822612085767</v>
      </c>
      <c r="AJ52" s="6">
        <f>(AH52-AI52)*70%</f>
        <v>22321.426428382052</v>
      </c>
    </row>
    <row r="53" spans="1:36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643.48640533333298</v>
      </c>
    </row>
    <row r="54" spans="1:36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0.11049941767677317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6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36" x14ac:dyDescent="0.35">
      <c r="A58" s="133">
        <v>45014</v>
      </c>
      <c r="B58" s="21" t="s">
        <v>474</v>
      </c>
      <c r="C58" s="21" t="s">
        <v>163</v>
      </c>
      <c r="D58" s="44">
        <v>145574</v>
      </c>
      <c r="E58" s="44"/>
      <c r="F58" s="21">
        <v>41</v>
      </c>
      <c r="G58" s="21"/>
      <c r="H58" s="22">
        <v>19143</v>
      </c>
      <c r="I58" s="33">
        <v>0.52</v>
      </c>
      <c r="J58" s="24">
        <f>IFERROR(K58/H58,"")</f>
        <v>0.52499973880791928</v>
      </c>
      <c r="K58" s="22">
        <v>10050.07</v>
      </c>
      <c r="L58" s="21">
        <v>20</v>
      </c>
      <c r="M58" s="21">
        <v>20</v>
      </c>
      <c r="N58" s="21">
        <v>1</v>
      </c>
      <c r="O58" s="21"/>
      <c r="P58" s="21"/>
      <c r="Q58" s="21"/>
      <c r="R58" s="21"/>
      <c r="S58" s="21"/>
      <c r="T58" s="21"/>
      <c r="U58" s="25">
        <v>270</v>
      </c>
      <c r="V58" s="25">
        <f>H58*U58*I58/15</f>
        <v>179178.48</v>
      </c>
      <c r="W58" s="25">
        <v>305.83</v>
      </c>
      <c r="X58" s="25">
        <v>231854.73</v>
      </c>
      <c r="Y58" s="25">
        <f>F58*40</f>
        <v>1640</v>
      </c>
      <c r="Z58" s="25">
        <v>6805.81</v>
      </c>
      <c r="AA58" s="25">
        <v>0</v>
      </c>
      <c r="AB58" s="25">
        <v>1107</v>
      </c>
      <c r="AC58" s="25">
        <f>G58*30</f>
        <v>0</v>
      </c>
      <c r="AD58" s="25">
        <f>IF(F58="",G58*4.11,F58*4.11)</f>
        <v>168.51000000000002</v>
      </c>
      <c r="AE58" s="25">
        <v>463.71</v>
      </c>
      <c r="AF58" s="25">
        <f>V58+Y58+Z58+AA58+AB58+AC58+AD58</f>
        <v>188899.80000000002</v>
      </c>
      <c r="AG58" s="25">
        <f>IFERROR(IFERROR((H58*W58*J58/15)-AE58,""),"")</f>
        <v>204443.81720666663</v>
      </c>
      <c r="AH58" s="26">
        <f>IFERROR(AG58-AF58,"")</f>
        <v>15544.017206666613</v>
      </c>
      <c r="AI58" s="6">
        <f>IF(F58="",(G58/$F$81)*$AL$21,(F58/$F$81)*$AL$21)</f>
        <v>234.9859454191033</v>
      </c>
      <c r="AJ58" s="6">
        <f>(AH58-AI58)*70%</f>
        <v>10716.321882873257</v>
      </c>
    </row>
    <row r="59" spans="1:36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379.12237089430761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7.6030752208826116E-2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133">
        <v>45014</v>
      </c>
      <c r="B64" s="21" t="s">
        <v>474</v>
      </c>
      <c r="C64" s="21" t="s">
        <v>163</v>
      </c>
      <c r="D64" s="44">
        <v>145574</v>
      </c>
      <c r="E64" s="44"/>
      <c r="F64" s="21">
        <v>50</v>
      </c>
      <c r="G64" s="21"/>
      <c r="H64" s="22">
        <v>26515</v>
      </c>
      <c r="I64" s="33">
        <v>0.55000000000000004</v>
      </c>
      <c r="J64" s="24">
        <f>IFERROR(K64/H64,"")</f>
        <v>0.53964925513860074</v>
      </c>
      <c r="K64" s="22">
        <v>14308.8</v>
      </c>
      <c r="L64" s="21">
        <v>15</v>
      </c>
      <c r="M64" s="21">
        <v>21</v>
      </c>
      <c r="N64" s="21">
        <v>5</v>
      </c>
      <c r="O64" s="21">
        <v>1</v>
      </c>
      <c r="P64" s="21">
        <v>8</v>
      </c>
      <c r="Q64" s="21"/>
      <c r="R64" s="21"/>
      <c r="S64" s="21"/>
      <c r="T64" s="21"/>
      <c r="U64" s="25">
        <v>270</v>
      </c>
      <c r="V64" s="25">
        <f>H64*U64*I64/15</f>
        <v>262498.50000000006</v>
      </c>
      <c r="W64" s="25">
        <v>305.83</v>
      </c>
      <c r="X64" s="25">
        <v>282749.68</v>
      </c>
      <c r="Y64" s="25">
        <f>F64*40</f>
        <v>2000</v>
      </c>
      <c r="Z64" s="25">
        <v>8299.7800000000007</v>
      </c>
      <c r="AA64" s="25">
        <v>0</v>
      </c>
      <c r="AB64" s="25">
        <v>1350</v>
      </c>
      <c r="AC64" s="25">
        <v>0</v>
      </c>
      <c r="AD64" s="25">
        <f>IF(F64="",G64*4.11,F64*4.11)</f>
        <v>205.50000000000003</v>
      </c>
      <c r="AE64" s="25">
        <v>565.5</v>
      </c>
      <c r="AF64" s="25">
        <f>V64+Y64+Z64+AA64+AB64+AC64+AD64</f>
        <v>274353.78000000009</v>
      </c>
      <c r="AG64" s="25">
        <f>IFERROR(IFERROR((H64*W64*J64/15)-AE64,""),"")</f>
        <v>291171.85359999997</v>
      </c>
      <c r="AH64" s="26">
        <f>IFERROR(AG64-AF64,"")</f>
        <v>16818.073599999887</v>
      </c>
      <c r="AI64" s="6">
        <f>IF(F64="",(G64/$F$81)*$AL$21,(F64/$F$81)*$AL$21)</f>
        <v>286.56822612085767</v>
      </c>
      <c r="AJ64" s="6">
        <f>(AH64-AI64)*70%</f>
        <v>11572.05376171532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336.36147199999772</v>
      </c>
    </row>
    <row r="66" spans="1:36" ht="15" customHeight="1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5.7759956507004523E-2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47"/>
      <c r="AI68" s="47"/>
      <c r="AJ68" s="47"/>
    </row>
    <row r="69" spans="1:36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258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133">
        <v>45016</v>
      </c>
      <c r="B70" s="21" t="s">
        <v>474</v>
      </c>
      <c r="C70" s="21" t="s">
        <v>222</v>
      </c>
      <c r="D70" s="44">
        <v>145924</v>
      </c>
      <c r="E70" s="44"/>
      <c r="F70" s="21">
        <v>50</v>
      </c>
      <c r="G70" s="21"/>
      <c r="H70" s="22">
        <v>29160</v>
      </c>
      <c r="I70" s="33">
        <v>0.55000000000000004</v>
      </c>
      <c r="J70" s="24">
        <f>IFERROR(K70/H70,"")</f>
        <v>0.55239986282578879</v>
      </c>
      <c r="K70" s="22">
        <v>16107.98</v>
      </c>
      <c r="L70" s="21">
        <v>5</v>
      </c>
      <c r="M70" s="21">
        <v>17</v>
      </c>
      <c r="N70" s="21">
        <v>16</v>
      </c>
      <c r="O70" s="21">
        <v>10</v>
      </c>
      <c r="P70" s="21">
        <v>1</v>
      </c>
      <c r="Q70" s="21">
        <v>1</v>
      </c>
      <c r="R70" s="21"/>
      <c r="S70" s="21"/>
      <c r="T70" s="21"/>
      <c r="U70" s="25">
        <v>270</v>
      </c>
      <c r="V70" s="25">
        <f>H70*U70*I70/15</f>
        <v>288684</v>
      </c>
      <c r="W70" s="25">
        <v>304.19</v>
      </c>
      <c r="X70" s="25">
        <v>294912.86</v>
      </c>
      <c r="Y70" s="25">
        <f>F70*40</f>
        <v>2000</v>
      </c>
      <c r="Z70" s="25">
        <v>8866.6</v>
      </c>
      <c r="AA70" s="25">
        <v>0</v>
      </c>
      <c r="AB70" s="25">
        <v>1350</v>
      </c>
      <c r="AC70" s="25">
        <f>G70*30</f>
        <v>0</v>
      </c>
      <c r="AD70" s="25">
        <f>IF(F70="",G70*4.11,F70*4.11)</f>
        <v>205.50000000000003</v>
      </c>
      <c r="AE70" s="25">
        <v>589.82000000000005</v>
      </c>
      <c r="AF70" s="25">
        <f>V70+Y70+Z70+AA70+AB70+AC70+AD70</f>
        <v>301106.09999999998</v>
      </c>
      <c r="AG70" s="25">
        <f>IFERROR(IFERROR((H70*W70*J70/15)-AE70,""),"")</f>
        <v>326069.27574666671</v>
      </c>
      <c r="AH70" s="26">
        <f>IFERROR(AG70-AF70,"")</f>
        <v>24963.175746666733</v>
      </c>
      <c r="AI70" s="6">
        <f>IF(F70="",(G70/$F$81)*$AL$21,(F70/$F$81)*$AL$21)</f>
        <v>286.56822612085767</v>
      </c>
      <c r="AJ70" s="6">
        <f>(AH70-AI70)*70%</f>
        <v>17273.625264382114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AH70/F70</f>
        <v>499.26351493333465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7.6557890005133133E-2</v>
      </c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47"/>
      <c r="AI73" s="47"/>
      <c r="AJ73" s="47"/>
    </row>
    <row r="74" spans="1:36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47"/>
      <c r="AI74" s="47"/>
      <c r="AJ74" s="47"/>
    </row>
    <row r="75" spans="1:36" x14ac:dyDescent="0.35">
      <c r="A75" s="14" t="s">
        <v>1</v>
      </c>
      <c r="B75" s="14" t="s">
        <v>2</v>
      </c>
      <c r="C75" s="14" t="s">
        <v>110</v>
      </c>
      <c r="D75" s="14" t="s">
        <v>66</v>
      </c>
      <c r="E75" s="14"/>
      <c r="F75" s="14" t="s">
        <v>137</v>
      </c>
      <c r="G75" s="14" t="s">
        <v>138</v>
      </c>
      <c r="H75" s="14" t="s">
        <v>4</v>
      </c>
      <c r="I75" s="14" t="s">
        <v>5</v>
      </c>
      <c r="J75" s="14" t="s">
        <v>6</v>
      </c>
      <c r="K75" s="14" t="s">
        <v>7</v>
      </c>
      <c r="L75" s="14" t="s">
        <v>279</v>
      </c>
      <c r="M75" s="14" t="s">
        <v>280</v>
      </c>
      <c r="N75" s="14" t="s">
        <v>281</v>
      </c>
      <c r="O75" s="14" t="s">
        <v>282</v>
      </c>
      <c r="P75" s="14" t="s">
        <v>283</v>
      </c>
      <c r="Q75" s="14" t="s">
        <v>284</v>
      </c>
      <c r="R75" s="14" t="s">
        <v>904</v>
      </c>
      <c r="S75" s="14" t="s">
        <v>285</v>
      </c>
      <c r="T75" s="14" t="s">
        <v>289</v>
      </c>
      <c r="U75" s="14" t="s">
        <v>8</v>
      </c>
      <c r="V75" s="14" t="s">
        <v>9</v>
      </c>
      <c r="W75" s="14" t="s">
        <v>10</v>
      </c>
      <c r="X75" s="14" t="s">
        <v>100</v>
      </c>
      <c r="Y75" s="14" t="s">
        <v>106</v>
      </c>
      <c r="Z75" s="14" t="s">
        <v>12</v>
      </c>
      <c r="AA75" s="14" t="s">
        <v>258</v>
      </c>
      <c r="AB75" s="14" t="s">
        <v>13</v>
      </c>
      <c r="AC75" s="14" t="s">
        <v>74</v>
      </c>
      <c r="AD75" s="14" t="s">
        <v>21</v>
      </c>
      <c r="AE75" s="14" t="s">
        <v>14</v>
      </c>
      <c r="AF75" s="14" t="s">
        <v>15</v>
      </c>
      <c r="AG75" s="14" t="s">
        <v>16</v>
      </c>
      <c r="AH75" s="15" t="s">
        <v>17</v>
      </c>
      <c r="AI75" s="14" t="s">
        <v>679</v>
      </c>
      <c r="AJ75" s="14" t="s">
        <v>678</v>
      </c>
    </row>
    <row r="76" spans="1:36" x14ac:dyDescent="0.35">
      <c r="A76" s="133">
        <v>45016</v>
      </c>
      <c r="B76" s="21" t="s">
        <v>474</v>
      </c>
      <c r="C76" s="21" t="s">
        <v>323</v>
      </c>
      <c r="D76" s="44">
        <v>145924</v>
      </c>
      <c r="E76" s="44"/>
      <c r="F76" s="21">
        <v>55</v>
      </c>
      <c r="G76" s="21"/>
      <c r="H76" s="22">
        <v>27020</v>
      </c>
      <c r="I76" s="33">
        <v>0.53</v>
      </c>
      <c r="J76" s="24">
        <f>IFERROR(K76/H76,"")</f>
        <v>0.5340866025166543</v>
      </c>
      <c r="K76" s="22">
        <v>14431.02</v>
      </c>
      <c r="L76" s="21">
        <v>7</v>
      </c>
      <c r="M76" s="21">
        <v>18</v>
      </c>
      <c r="N76" s="21">
        <v>16</v>
      </c>
      <c r="O76" s="21">
        <v>10</v>
      </c>
      <c r="P76" s="21">
        <v>4</v>
      </c>
      <c r="Q76" s="21"/>
      <c r="R76" s="21"/>
      <c r="S76" s="21"/>
      <c r="T76" s="21"/>
      <c r="U76" s="25">
        <v>270</v>
      </c>
      <c r="V76" s="25">
        <f>H76*U76*I76/15</f>
        <v>257770.8</v>
      </c>
      <c r="W76" s="25">
        <v>304.19</v>
      </c>
      <c r="X76" s="25">
        <v>324404.14</v>
      </c>
      <c r="Y76" s="25">
        <f>F76*40</f>
        <v>2200</v>
      </c>
      <c r="Z76" s="25">
        <v>8361</v>
      </c>
      <c r="AA76" s="25">
        <v>0</v>
      </c>
      <c r="AB76" s="25">
        <v>1485</v>
      </c>
      <c r="AC76" s="25">
        <v>0</v>
      </c>
      <c r="AD76" s="25">
        <f>IF(F76="",G76*4.11,F76*4.11)</f>
        <v>226.05</v>
      </c>
      <c r="AE76" s="25">
        <v>648.79999999999995</v>
      </c>
      <c r="AF76" s="25">
        <f>V76+Y76+Z76+AA76+AB76+AC76+AD76</f>
        <v>270042.84999999998</v>
      </c>
      <c r="AG76" s="25">
        <f>IFERROR(IFERROR((H76*W76*J76/15)-AE76,""),"")</f>
        <v>292002.66492000001</v>
      </c>
      <c r="AH76" s="26">
        <f>IFERROR(AG76-AF76,"")</f>
        <v>21959.814920000033</v>
      </c>
      <c r="AI76" s="6">
        <f>IF(F76="",(G76/$F$81)*$AL$21,(F76/$F$81)*$AL$21)</f>
        <v>315.22504873294343</v>
      </c>
      <c r="AJ76" s="6">
        <f>(AH76-AI76)*70%</f>
        <v>15151.212909886961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AH76/F76</f>
        <v>399.26936218181879</v>
      </c>
    </row>
    <row r="78" spans="1:36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7">
        <f>IFERROR(AH76/AG76,"")</f>
        <v>7.5204159270314763E-2</v>
      </c>
    </row>
    <row r="79" spans="1:36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47"/>
      <c r="AI79" s="47"/>
      <c r="AJ79" s="47"/>
    </row>
    <row r="80" spans="1:36" ht="15" thickBot="1" x14ac:dyDescent="0.4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47"/>
      <c r="AI80" s="47"/>
      <c r="AJ80" s="47"/>
    </row>
    <row r="81" spans="1:36" ht="16" thickBot="1" x14ac:dyDescent="0.4">
      <c r="A81" s="377" t="s">
        <v>473</v>
      </c>
      <c r="B81" s="378"/>
      <c r="C81" s="378"/>
      <c r="D81" s="378"/>
      <c r="E81" s="378"/>
      <c r="F81" s="30">
        <f>SUM(F4:G76)</f>
        <v>1026</v>
      </c>
      <c r="G81" s="30"/>
      <c r="H81" s="30"/>
      <c r="I81" s="30"/>
      <c r="J81" s="30"/>
      <c r="K81" s="30"/>
      <c r="L81" s="46"/>
      <c r="M81" s="46"/>
      <c r="N81" s="46"/>
      <c r="O81" s="46"/>
      <c r="P81" s="46"/>
      <c r="Q81" s="46"/>
      <c r="R81" s="46"/>
      <c r="S81" s="46"/>
      <c r="T81" s="46"/>
      <c r="U81" s="30"/>
      <c r="V81" s="31">
        <f>V4+V10+V16+V22+V28+V34+V40+V46+V52+V58+V64+V70+V76</f>
        <v>4809094.7466666661</v>
      </c>
      <c r="W81" s="30"/>
      <c r="X81" s="30"/>
      <c r="Y81" s="31">
        <f>Y4+Y10+Y16+Y22+Y28+Y34+Y40+Y46+Y52+Y58+Y64+Y70+Y76</f>
        <v>41040</v>
      </c>
      <c r="Z81" s="31">
        <f>Z4+Z10+Z16+Z22+Z28+Z34+Z40+Z46+Z52+Z58+Z64+Z70+Z76</f>
        <v>195962.29</v>
      </c>
      <c r="AA81" s="31">
        <f>AA4+AA10+AA16+AA22+AA28+AA34+AA40+AA46+AA52+AA58+AA64+AA70+AA76</f>
        <v>0</v>
      </c>
      <c r="AB81" s="31">
        <f>AB4+AB10+AB16+AB16+AB22+AB28+AB34+AB40+AB46+AB52+AB58+AB64+AB70+AB76</f>
        <v>33147</v>
      </c>
      <c r="AC81" s="31">
        <f t="shared" ref="AC81:AJ81" si="0">AC4+AC10+AC16+AC22+AC28+AC34+AC40+AC46+AC52+AC58+AC64+AC70+AC76</f>
        <v>0</v>
      </c>
      <c r="AD81" s="31">
        <f t="shared" si="0"/>
        <v>4216.8600000000006</v>
      </c>
      <c r="AE81" s="31">
        <f t="shared" si="0"/>
        <v>11349.649999999998</v>
      </c>
      <c r="AF81" s="31">
        <f t="shared" si="0"/>
        <v>5076980.8966666656</v>
      </c>
      <c r="AG81" s="31">
        <f t="shared" si="0"/>
        <v>5663493.0880066678</v>
      </c>
      <c r="AH81" s="31">
        <f t="shared" si="0"/>
        <v>586512.19134000014</v>
      </c>
      <c r="AI81" s="31">
        <f t="shared" si="0"/>
        <v>5880.38</v>
      </c>
      <c r="AJ81" s="31">
        <f t="shared" si="0"/>
        <v>406442.26793799998</v>
      </c>
    </row>
  </sheetData>
  <mergeCells count="2">
    <mergeCell ref="U2:AC2"/>
    <mergeCell ref="A81:E8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5"/>
  <dimension ref="A1:AN1048576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bestFit="1" customWidth="1"/>
    <col min="39" max="39" width="15.7265625" customWidth="1"/>
    <col min="40" max="40" width="13.269531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AF57</f>
        <v>3399530.9933333336</v>
      </c>
      <c r="AM3" s="164">
        <f>AH57-AI57</f>
        <v>362939.30879999977</v>
      </c>
    </row>
    <row r="4" spans="1:40" x14ac:dyDescent="0.35">
      <c r="A4" s="133">
        <v>45018</v>
      </c>
      <c r="B4" s="21" t="s">
        <v>474</v>
      </c>
      <c r="C4" s="21" t="s">
        <v>141</v>
      </c>
      <c r="D4" s="44">
        <v>145925</v>
      </c>
      <c r="E4" s="44"/>
      <c r="F4" s="21">
        <v>110</v>
      </c>
      <c r="G4" s="21"/>
      <c r="H4" s="22">
        <v>64490</v>
      </c>
      <c r="I4" s="33">
        <v>0.55000000000000004</v>
      </c>
      <c r="J4" s="24">
        <f>IFERROR(K4/H4,"")</f>
        <v>0.5514265777639944</v>
      </c>
      <c r="K4" s="22">
        <v>35561.5</v>
      </c>
      <c r="L4" s="21">
        <v>33</v>
      </c>
      <c r="M4" s="21">
        <v>44</v>
      </c>
      <c r="N4" s="21">
        <v>22</v>
      </c>
      <c r="O4" s="21">
        <v>11</v>
      </c>
      <c r="P4" s="21"/>
      <c r="Q4" s="21"/>
      <c r="R4" s="21"/>
      <c r="S4" s="21"/>
      <c r="T4" s="21"/>
      <c r="U4" s="25">
        <v>280</v>
      </c>
      <c r="V4" s="25">
        <f>H4*U4*I4/15</f>
        <v>662097.33333333337</v>
      </c>
      <c r="W4" s="25">
        <v>308.67</v>
      </c>
      <c r="X4" s="25">
        <v>731794.29</v>
      </c>
      <c r="Y4" s="25">
        <f>F4*40</f>
        <v>4400</v>
      </c>
      <c r="Z4" s="25">
        <v>13957.4</v>
      </c>
      <c r="AA4" s="25">
        <v>0</v>
      </c>
      <c r="AB4" s="25">
        <v>3080</v>
      </c>
      <c r="AC4" s="25">
        <v>0</v>
      </c>
      <c r="AD4" s="25">
        <f>F4*4.11</f>
        <v>452.1</v>
      </c>
      <c r="AE4" s="25">
        <v>1463.59</v>
      </c>
      <c r="AF4" s="25">
        <f>V4+Y4+Z4+AA4+AB4+AC4+AD4</f>
        <v>683986.83333333337</v>
      </c>
      <c r="AG4" s="25">
        <f>IFERROR(IFERROR((H4*W4*J4/15)-AE4,""),"")</f>
        <v>730320.95700000005</v>
      </c>
      <c r="AH4" s="26">
        <f>IFERROR(AG4-AF4,"")</f>
        <v>46334.123666666681</v>
      </c>
      <c r="AI4" s="6">
        <f>IF(F4="",(G4/$F$57)*$AL$27,(F4/$F$57)*$AL$27)</f>
        <v>0</v>
      </c>
      <c r="AJ4" s="6">
        <f>(AH4-AI4)*70%</f>
        <v>32433.886566666675</v>
      </c>
      <c r="AL4" s="166" t="s">
        <v>749</v>
      </c>
      <c r="AM4" s="167">
        <f>AM3/AL3</f>
        <v>0.1067615825570479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421.21930606060619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6.3443508258337819E-2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M9" s="63"/>
    </row>
    <row r="10" spans="1:40" x14ac:dyDescent="0.35">
      <c r="A10" s="133">
        <v>45018</v>
      </c>
      <c r="B10" s="21" t="s">
        <v>474</v>
      </c>
      <c r="C10" s="21" t="s">
        <v>125</v>
      </c>
      <c r="D10" s="44">
        <v>145926</v>
      </c>
      <c r="E10" s="44"/>
      <c r="F10" s="21"/>
      <c r="G10" s="21">
        <v>65</v>
      </c>
      <c r="H10" s="22">
        <v>25890</v>
      </c>
      <c r="I10" s="33">
        <v>0.5</v>
      </c>
      <c r="J10" s="24">
        <f>IFERROR(K10/H10,"")</f>
        <v>0.50249130938586328</v>
      </c>
      <c r="K10" s="22">
        <v>13009.5</v>
      </c>
      <c r="L10" s="21">
        <v>10</v>
      </c>
      <c r="M10" s="21">
        <v>42</v>
      </c>
      <c r="N10" s="21">
        <v>12</v>
      </c>
      <c r="O10" s="21">
        <v>1</v>
      </c>
      <c r="P10" s="21"/>
      <c r="Q10" s="21"/>
      <c r="R10" s="21"/>
      <c r="S10" s="21"/>
      <c r="T10" s="21"/>
      <c r="U10" s="25">
        <v>245</v>
      </c>
      <c r="V10" s="25">
        <f>H10*U10*I10/15</f>
        <v>211435</v>
      </c>
      <c r="W10" s="25">
        <v>305.86</v>
      </c>
      <c r="X10" s="25">
        <v>265268.78999999998</v>
      </c>
      <c r="Y10" s="25">
        <f>G10*40</f>
        <v>2600</v>
      </c>
      <c r="Z10" s="25">
        <v>11173.6</v>
      </c>
      <c r="AA10" s="25">
        <v>0</v>
      </c>
      <c r="AB10" s="25">
        <v>1592.5</v>
      </c>
      <c r="AC10" s="25">
        <f>F10*30</f>
        <v>0</v>
      </c>
      <c r="AD10" s="25">
        <f>IF(F10="",G10*4.11,F10*4.11)</f>
        <v>267.15000000000003</v>
      </c>
      <c r="AE10" s="25">
        <v>530.54</v>
      </c>
      <c r="AF10" s="25">
        <f>V10+Y10+Z10+AA10+AB10+AC10+AD10</f>
        <v>227068.25</v>
      </c>
      <c r="AG10" s="25">
        <f>IFERROR(IFERROR((H10*W10*J10/15)-AE10,""),"")</f>
        <v>264741.83800000005</v>
      </c>
      <c r="AH10" s="26">
        <f>IFERROR(AG10-AF10,"")</f>
        <v>37673.588000000047</v>
      </c>
      <c r="AI10" s="6">
        <f>IF(F10="",(G10/$F$57)*$AL$27,(F10/$F$57)*$AL$27)</f>
        <v>0</v>
      </c>
      <c r="AJ10" s="6">
        <f>(AH10-AI10)*70%</f>
        <v>26371.511600000031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AH10/G10</f>
        <v>579.59366153846224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0.14230311417570515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</row>
    <row r="15" spans="1:40" x14ac:dyDescent="0.35">
      <c r="A15" s="37" t="s">
        <v>1</v>
      </c>
      <c r="B15" s="37" t="s">
        <v>2</v>
      </c>
      <c r="C15" s="37" t="s">
        <v>110</v>
      </c>
      <c r="D15" s="37" t="s">
        <v>66</v>
      </c>
      <c r="E15" s="37"/>
      <c r="F15" s="37" t="s">
        <v>137</v>
      </c>
      <c r="G15" s="37" t="s">
        <v>138</v>
      </c>
      <c r="H15" s="37" t="s">
        <v>4</v>
      </c>
      <c r="I15" s="37" t="s">
        <v>5</v>
      </c>
      <c r="J15" s="37" t="s">
        <v>6</v>
      </c>
      <c r="K15" s="37" t="s">
        <v>7</v>
      </c>
      <c r="L15" s="37" t="s">
        <v>279</v>
      </c>
      <c r="M15" s="37" t="s">
        <v>280</v>
      </c>
      <c r="N15" s="37" t="s">
        <v>281</v>
      </c>
      <c r="O15" s="37" t="s">
        <v>282</v>
      </c>
      <c r="P15" s="37" t="s">
        <v>283</v>
      </c>
      <c r="Q15" s="37" t="s">
        <v>284</v>
      </c>
      <c r="R15" s="37" t="s">
        <v>904</v>
      </c>
      <c r="S15" s="37" t="s">
        <v>285</v>
      </c>
      <c r="T15" s="37" t="s">
        <v>289</v>
      </c>
      <c r="U15" s="37" t="s">
        <v>8</v>
      </c>
      <c r="V15" s="37" t="s">
        <v>9</v>
      </c>
      <c r="W15" s="37" t="s">
        <v>10</v>
      </c>
      <c r="X15" s="37" t="s">
        <v>100</v>
      </c>
      <c r="Y15" s="37" t="s">
        <v>106</v>
      </c>
      <c r="Z15" s="37" t="s">
        <v>12</v>
      </c>
      <c r="AA15" s="37" t="s">
        <v>258</v>
      </c>
      <c r="AB15" s="37" t="s">
        <v>13</v>
      </c>
      <c r="AC15" s="37" t="s">
        <v>74</v>
      </c>
      <c r="AD15" s="37" t="s">
        <v>21</v>
      </c>
      <c r="AE15" s="37" t="s">
        <v>14</v>
      </c>
      <c r="AF15" s="37" t="s">
        <v>15</v>
      </c>
      <c r="AG15" s="37" t="s">
        <v>16</v>
      </c>
      <c r="AH15" s="15" t="s">
        <v>17</v>
      </c>
      <c r="AI15" s="14" t="s">
        <v>679</v>
      </c>
      <c r="AJ15" s="14" t="s">
        <v>678</v>
      </c>
    </row>
    <row r="16" spans="1:40" x14ac:dyDescent="0.35">
      <c r="A16" s="133">
        <v>45019</v>
      </c>
      <c r="B16" s="39" t="s">
        <v>474</v>
      </c>
      <c r="C16" s="39" t="s">
        <v>391</v>
      </c>
      <c r="D16" s="45">
        <v>146133</v>
      </c>
      <c r="E16" s="45"/>
      <c r="F16" s="39"/>
      <c r="G16" s="39">
        <v>65</v>
      </c>
      <c r="H16" s="40">
        <v>24674</v>
      </c>
      <c r="I16" s="53">
        <v>0.5</v>
      </c>
      <c r="J16" s="42">
        <f>IFERROR(K16/H16,"")</f>
        <v>0.51264488935721808</v>
      </c>
      <c r="K16" s="40">
        <v>12649</v>
      </c>
      <c r="L16" s="39">
        <v>16</v>
      </c>
      <c r="M16" s="39">
        <v>45</v>
      </c>
      <c r="N16" s="39">
        <v>4</v>
      </c>
      <c r="O16" s="39"/>
      <c r="P16" s="39"/>
      <c r="Q16" s="39"/>
      <c r="R16" s="39"/>
      <c r="S16" s="39"/>
      <c r="T16" s="39"/>
      <c r="U16" s="43">
        <v>250</v>
      </c>
      <c r="V16" s="43">
        <f>H16*U16*I16/15</f>
        <v>205616.66666666666</v>
      </c>
      <c r="W16" s="43">
        <v>305.58999999999997</v>
      </c>
      <c r="X16" s="43">
        <v>257695.91</v>
      </c>
      <c r="Y16" s="43">
        <f>G16*40</f>
        <v>2600</v>
      </c>
      <c r="Z16" s="43">
        <v>6098.2</v>
      </c>
      <c r="AA16" s="43">
        <v>0</v>
      </c>
      <c r="AB16" s="43">
        <v>1625</v>
      </c>
      <c r="AC16" s="43">
        <v>0</v>
      </c>
      <c r="AD16" s="43">
        <f>IF(F16="",G16*4.11,G16*4.11)</f>
        <v>267.15000000000003</v>
      </c>
      <c r="AE16" s="43">
        <v>515.39</v>
      </c>
      <c r="AF16" s="43">
        <f>V16+Y16+Z16+AA16+AB16+AC16+AD16</f>
        <v>216207.01666666666</v>
      </c>
      <c r="AG16" s="43">
        <f>IFERROR(IFERROR((H16*W16*J16/15)-AE16,""),"")</f>
        <v>257178.4706666666</v>
      </c>
      <c r="AH16" s="26">
        <f>IFERROR(AG16-AF16,"")</f>
        <v>40971.45399999994</v>
      </c>
      <c r="AI16" s="6">
        <f>IF(F16="",(G16/$F$57)*$AL$27,(F16/$F$57)*$AL$27)</f>
        <v>0</v>
      </c>
      <c r="AJ16" s="6">
        <f>(AH16-AI16)*70%</f>
        <v>28680.017799999958</v>
      </c>
      <c r="AL16">
        <f>F4+G4+F10+G10+F16+G16+F22+G22+F28+G28+F34+G34+F40+G40+F46+G46+F52+G52</f>
        <v>715</v>
      </c>
      <c r="AM16" s="50" t="s">
        <v>22</v>
      </c>
      <c r="AN16" t="s">
        <v>72</v>
      </c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630.33006153846065</v>
      </c>
      <c r="AL17" s="11">
        <f>AH4+AH10+AH16+AH22+AH28+AH34+AH40+AH46+AH52</f>
        <v>362939.30879999977</v>
      </c>
      <c r="AM17" s="11">
        <f>AL17*30%</f>
        <v>108881.79263999993</v>
      </c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0.15931136806977805</v>
      </c>
      <c r="AL18" s="11"/>
      <c r="AM18" s="11"/>
    </row>
    <row r="19" spans="1:40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1"/>
    </row>
    <row r="21" spans="1:40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77" t="s">
        <v>187</v>
      </c>
      <c r="AM21" s="211" t="s">
        <v>680</v>
      </c>
      <c r="AN21" s="191"/>
    </row>
    <row r="22" spans="1:40" x14ac:dyDescent="0.35">
      <c r="A22" s="133">
        <v>45019</v>
      </c>
      <c r="B22" s="21" t="s">
        <v>474</v>
      </c>
      <c r="C22" s="21" t="s">
        <v>481</v>
      </c>
      <c r="D22" s="44">
        <v>145927</v>
      </c>
      <c r="E22" s="44"/>
      <c r="F22" s="21">
        <v>130</v>
      </c>
      <c r="G22" s="21"/>
      <c r="H22" s="22">
        <v>61240</v>
      </c>
      <c r="I22" s="33">
        <v>0.53</v>
      </c>
      <c r="J22" s="24">
        <f>IFERROR(K22/H22,"")</f>
        <v>0.53</v>
      </c>
      <c r="K22" s="22">
        <v>32457.200000000001</v>
      </c>
      <c r="L22" s="21">
        <v>22</v>
      </c>
      <c r="M22" s="21">
        <v>57</v>
      </c>
      <c r="N22" s="21">
        <v>48</v>
      </c>
      <c r="O22" s="21">
        <v>3</v>
      </c>
      <c r="P22" s="21"/>
      <c r="Q22" s="21"/>
      <c r="R22" s="21"/>
      <c r="S22" s="21"/>
      <c r="T22" s="21"/>
      <c r="U22" s="25">
        <v>280</v>
      </c>
      <c r="V22" s="25">
        <f>H22*U22*I22/15</f>
        <v>605867.73333333328</v>
      </c>
      <c r="W22" s="25">
        <v>308.3</v>
      </c>
      <c r="X22" s="25">
        <v>732513.59</v>
      </c>
      <c r="Y22" s="25">
        <f>F22*40</f>
        <v>5200</v>
      </c>
      <c r="Z22" s="25">
        <v>18301.13</v>
      </c>
      <c r="AA22" s="25">
        <v>0</v>
      </c>
      <c r="AB22" s="25">
        <v>3640</v>
      </c>
      <c r="AC22" s="25">
        <v>0</v>
      </c>
      <c r="AD22" s="25">
        <f>IF(F22="",G22*4.11,F22*4.11)</f>
        <v>534.30000000000007</v>
      </c>
      <c r="AE22" s="25">
        <v>1465.02</v>
      </c>
      <c r="AF22" s="25">
        <f>V22+Y22+Z22+AA22+AB22+AC22+AD22</f>
        <v>633543.16333333333</v>
      </c>
      <c r="AG22" s="25">
        <f>IFERROR(IFERROR((H22*W22*J22/15)-AE22,""),"")</f>
        <v>665638.63066666666</v>
      </c>
      <c r="AH22" s="26">
        <f>IFERROR(AG22-AF22,"")</f>
        <v>32095.467333333334</v>
      </c>
      <c r="AI22" s="6">
        <f>IF(F22="",(G22/$F$57)*$AL$27,(F22/$F$57)*$AL$27)</f>
        <v>0</v>
      </c>
      <c r="AJ22" s="6">
        <f>(AH22-AI22)*70%</f>
        <v>22466.827133333332</v>
      </c>
      <c r="AL22" s="178">
        <v>0</v>
      </c>
      <c r="AN22" s="174"/>
    </row>
    <row r="23" spans="1:4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246.88821025641028</v>
      </c>
      <c r="AL23" s="178">
        <v>0</v>
      </c>
      <c r="AM23" s="6"/>
      <c r="AN23" s="174"/>
    </row>
    <row r="24" spans="1:40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4.8217555073671578E-2</v>
      </c>
      <c r="AL24" s="178">
        <v>0</v>
      </c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  <c r="AL25" s="178">
        <v>0</v>
      </c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  <c r="AL26" s="205"/>
      <c r="AN26" s="174"/>
    </row>
    <row r="27" spans="1:40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  <c r="AL27" s="212">
        <f>SUM(AL22:AL26)</f>
        <v>0</v>
      </c>
      <c r="AM27" s="211" t="s">
        <v>682</v>
      </c>
      <c r="AN27" s="191"/>
    </row>
    <row r="28" spans="1:40" x14ac:dyDescent="0.35">
      <c r="A28" s="133">
        <v>45019</v>
      </c>
      <c r="B28" s="21" t="s">
        <v>474</v>
      </c>
      <c r="C28" s="21" t="s">
        <v>481</v>
      </c>
      <c r="D28" s="44">
        <v>146212</v>
      </c>
      <c r="E28" s="44"/>
      <c r="F28" s="21"/>
      <c r="G28" s="21">
        <v>15</v>
      </c>
      <c r="H28" s="22">
        <v>5570</v>
      </c>
      <c r="I28" s="33">
        <v>0.5</v>
      </c>
      <c r="J28" s="24">
        <f>IFERROR(K28/H28,"")</f>
        <v>0.48240574506283662</v>
      </c>
      <c r="K28" s="22">
        <v>2687</v>
      </c>
      <c r="L28" s="21">
        <v>1</v>
      </c>
      <c r="M28" s="21">
        <v>11</v>
      </c>
      <c r="N28" s="21">
        <v>3</v>
      </c>
      <c r="O28" s="21"/>
      <c r="P28" s="21"/>
      <c r="Q28" s="21"/>
      <c r="R28" s="21"/>
      <c r="S28" s="21"/>
      <c r="T28" s="21"/>
      <c r="U28" s="25">
        <v>240</v>
      </c>
      <c r="V28" s="25">
        <f>H28*U28*I28/15</f>
        <v>44560</v>
      </c>
      <c r="W28" s="25">
        <v>305.04000000000002</v>
      </c>
      <c r="X28" s="25">
        <v>54642.68</v>
      </c>
      <c r="Y28" s="25">
        <f>G28*40</f>
        <v>600</v>
      </c>
      <c r="Z28" s="25">
        <v>2111.66</v>
      </c>
      <c r="AA28" s="25">
        <v>0</v>
      </c>
      <c r="AB28" s="25">
        <v>360</v>
      </c>
      <c r="AC28" s="25">
        <v>0</v>
      </c>
      <c r="AD28" s="25">
        <f>IF(F28="",G28*4.11,F28*4.11)</f>
        <v>61.650000000000006</v>
      </c>
      <c r="AE28" s="25">
        <v>109.28</v>
      </c>
      <c r="AF28" s="25">
        <f>V28+Y28+Z28+AA28+AB28+AC28+AD28</f>
        <v>47693.310000000005</v>
      </c>
      <c r="AG28" s="25">
        <f>IFERROR(IFERROR((H28*W28*J28/15)-AE28,""),"")</f>
        <v>54533.552000000003</v>
      </c>
      <c r="AH28" s="26">
        <f>IFERROR(AG28-AF28,"")</f>
        <v>6840.2419999999984</v>
      </c>
      <c r="AI28" s="6">
        <f>IF(F28="",(G28/$F$57)*$AL$27,(F28/$F$57)*$AL$27)</f>
        <v>0</v>
      </c>
      <c r="AJ28" s="6">
        <f>(AH28-AI28)*70%</f>
        <v>4788.1693999999989</v>
      </c>
      <c r="AL28" s="57"/>
    </row>
    <row r="29" spans="1:40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AH28/G28</f>
        <v>456.01613333333324</v>
      </c>
      <c r="AL29" s="95"/>
      <c r="AM29" s="11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0.1254318075595002</v>
      </c>
      <c r="AL30" s="95"/>
      <c r="AM30" s="11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7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6" x14ac:dyDescent="0.35">
      <c r="A34" s="133">
        <v>45019</v>
      </c>
      <c r="B34" s="21" t="s">
        <v>482</v>
      </c>
      <c r="C34" s="21" t="s">
        <v>483</v>
      </c>
      <c r="D34" s="44">
        <v>145927</v>
      </c>
      <c r="E34" s="44"/>
      <c r="F34" s="21">
        <v>98</v>
      </c>
      <c r="G34" s="21"/>
      <c r="H34" s="22">
        <v>57202.6</v>
      </c>
      <c r="I34" s="33">
        <v>0.53</v>
      </c>
      <c r="J34" s="24">
        <f>IFERROR(K34/H34,"")</f>
        <v>0.52420414456685538</v>
      </c>
      <c r="K34" s="22">
        <v>29985.84</v>
      </c>
      <c r="L34" s="21"/>
      <c r="M34" s="21">
        <v>57</v>
      </c>
      <c r="N34" s="21">
        <v>31</v>
      </c>
      <c r="O34" s="21">
        <v>9</v>
      </c>
      <c r="P34" s="21">
        <v>1</v>
      </c>
      <c r="Q34" s="21"/>
      <c r="R34" s="21"/>
      <c r="S34" s="21"/>
      <c r="T34" s="21"/>
      <c r="U34" s="25">
        <v>265</v>
      </c>
      <c r="V34" s="25">
        <f>H34*U34*I34/15</f>
        <v>535607.01133333344</v>
      </c>
      <c r="W34" s="25">
        <v>308.3</v>
      </c>
      <c r="X34" s="25">
        <v>552202.55000000005</v>
      </c>
      <c r="Y34" s="25">
        <f>F34*40</f>
        <v>3920</v>
      </c>
      <c r="Z34" s="25">
        <v>16084.93</v>
      </c>
      <c r="AA34" s="25">
        <v>0</v>
      </c>
      <c r="AB34" s="25">
        <v>2592.1</v>
      </c>
      <c r="AC34" s="25">
        <v>0</v>
      </c>
      <c r="AD34" s="25">
        <f>IF(F34="",G34*4.11,F34*4.11)</f>
        <v>402.78000000000003</v>
      </c>
      <c r="AE34" s="25">
        <v>1104.4000000000001</v>
      </c>
      <c r="AF34" s="25">
        <f>V34+Y34+Z34+AA34+AB34+AC34+AD34</f>
        <v>558606.8213333335</v>
      </c>
      <c r="AG34" s="25">
        <f>IFERROR(IFERROR((H34*W34*J34/15)-AE34,""),"")</f>
        <v>615204.56480000005</v>
      </c>
      <c r="AH34" s="26">
        <f>IFERROR(AG34-AF34,"")</f>
        <v>56597.74346666655</v>
      </c>
      <c r="AI34" s="6">
        <f>IF(F34="",(G34/$F$57)*$AL$27,(F34/$F$57)*$AL$27)</f>
        <v>0</v>
      </c>
      <c r="AJ34" s="6">
        <f>(AH34-AI34)*70%</f>
        <v>39618.420426666584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577.5279945578219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9.199825018376806E-2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6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6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6" x14ac:dyDescent="0.35">
      <c r="A40" s="133">
        <v>45019</v>
      </c>
      <c r="B40" s="21" t="s">
        <v>482</v>
      </c>
      <c r="C40" s="21" t="s">
        <v>483</v>
      </c>
      <c r="D40" s="44">
        <v>145927</v>
      </c>
      <c r="E40" s="44"/>
      <c r="F40" s="21">
        <v>2</v>
      </c>
      <c r="G40" s="21"/>
      <c r="H40" s="22">
        <v>1167.4000000000001</v>
      </c>
      <c r="I40" s="33">
        <v>0.53</v>
      </c>
      <c r="J40" s="24">
        <f>IFERROR(K40/H40,"")</f>
        <v>0.52419907486722628</v>
      </c>
      <c r="K40" s="22">
        <v>611.95000000000005</v>
      </c>
      <c r="L40" s="21"/>
      <c r="M40" s="21"/>
      <c r="N40" s="21"/>
      <c r="O40" s="21"/>
      <c r="P40" s="21"/>
      <c r="Q40" s="21">
        <v>2</v>
      </c>
      <c r="R40" s="21"/>
      <c r="S40" s="21"/>
      <c r="T40" s="21"/>
      <c r="U40" s="25">
        <v>240</v>
      </c>
      <c r="V40" s="25">
        <f>H40*U40*I40/15</f>
        <v>9899.5519999999997</v>
      </c>
      <c r="W40" s="25">
        <v>308.3</v>
      </c>
      <c r="X40" s="25">
        <v>11269.43</v>
      </c>
      <c r="Y40" s="25">
        <f>F40*40</f>
        <v>80</v>
      </c>
      <c r="Z40" s="25">
        <v>328.26</v>
      </c>
      <c r="AA40" s="25">
        <v>0</v>
      </c>
      <c r="AB40" s="25">
        <v>52.9</v>
      </c>
      <c r="AC40" s="25">
        <v>0</v>
      </c>
      <c r="AD40" s="25">
        <f>IF(F40="",G40*4.11,F40*4.11)</f>
        <v>8.2200000000000006</v>
      </c>
      <c r="AE40" s="25">
        <v>22.53</v>
      </c>
      <c r="AF40" s="25">
        <f>V40+Y40+Z40+AA40+AB40+AC40+AD40</f>
        <v>10368.931999999999</v>
      </c>
      <c r="AG40" s="25">
        <f>IFERROR(IFERROR((H40*W40*J40/15)-AE40,""),"")</f>
        <v>12555.082333333332</v>
      </c>
      <c r="AH40" s="26">
        <f>IFERROR(AG40-AF40,"")</f>
        <v>2186.150333333333</v>
      </c>
      <c r="AI40" s="6">
        <f>IF(F40="",(G40/$F$57)*$AL$27,(F40/$F$57)*$AL$27)</f>
        <v>0</v>
      </c>
      <c r="AJ40" s="6">
        <f>(AH40-AI40)*70%</f>
        <v>1530.305233333333</v>
      </c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1093.0751666666665</v>
      </c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0.17412473094893019</v>
      </c>
    </row>
    <row r="43" spans="1:36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6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6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6" x14ac:dyDescent="0.35">
      <c r="A46" s="133">
        <v>45020</v>
      </c>
      <c r="B46" s="21" t="s">
        <v>474</v>
      </c>
      <c r="C46" s="21" t="s">
        <v>485</v>
      </c>
      <c r="D46" s="44">
        <v>146371</v>
      </c>
      <c r="E46" s="44"/>
      <c r="F46" s="21"/>
      <c r="G46" s="21">
        <v>130</v>
      </c>
      <c r="H46" s="22">
        <v>51194</v>
      </c>
      <c r="I46" s="33">
        <v>0.5</v>
      </c>
      <c r="J46" s="24">
        <f>IFERROR(K46/H46,"")</f>
        <v>0.50538149001836152</v>
      </c>
      <c r="K46" s="22">
        <v>25872.5</v>
      </c>
      <c r="L46" s="21">
        <v>9</v>
      </c>
      <c r="M46" s="21">
        <v>55</v>
      </c>
      <c r="N46" s="21">
        <v>55</v>
      </c>
      <c r="O46" s="21">
        <v>11</v>
      </c>
      <c r="P46" s="21"/>
      <c r="Q46" s="21"/>
      <c r="R46" s="21"/>
      <c r="S46" s="21"/>
      <c r="T46" s="21"/>
      <c r="U46" s="25">
        <v>235</v>
      </c>
      <c r="V46" s="25">
        <f>H46*U46*I46/15</f>
        <v>401019.66666666669</v>
      </c>
      <c r="W46" s="25">
        <v>300.18</v>
      </c>
      <c r="X46" s="25">
        <v>517759.85</v>
      </c>
      <c r="Y46" s="25">
        <f>G46*40</f>
        <v>5200</v>
      </c>
      <c r="Z46" s="25">
        <v>21558.7</v>
      </c>
      <c r="AA46" s="25">
        <v>0</v>
      </c>
      <c r="AB46" s="25">
        <v>3055</v>
      </c>
      <c r="AC46" s="25">
        <v>0</v>
      </c>
      <c r="AD46" s="25">
        <f>IF(F46="",G46*4.11,F46*4.11)</f>
        <v>534.30000000000007</v>
      </c>
      <c r="AE46" s="25">
        <v>1035.51</v>
      </c>
      <c r="AF46" s="25">
        <f>V46+Y46+Z46+AA46+AB46+AC46+AD46</f>
        <v>431367.66666666669</v>
      </c>
      <c r="AG46" s="25">
        <f>IFERROR(IFERROR((H46*W46*J46/15)-AE46,""),"")</f>
        <v>516724.95999999996</v>
      </c>
      <c r="AH46" s="26">
        <f>IFERROR(AG46-AF46,"")</f>
        <v>85357.293333333277</v>
      </c>
      <c r="AI46" s="6">
        <f>IF(F46="",(G46/$F$57)*$AL$27,(F46/$F$57)*$AL$27)</f>
        <v>0</v>
      </c>
      <c r="AJ46" s="6">
        <f>(AH46-AI46)*70%</f>
        <v>59750.105333333289</v>
      </c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AH46/G46</f>
        <v>656.59456410256371</v>
      </c>
    </row>
    <row r="48" spans="1:36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0.1651890269309485</v>
      </c>
    </row>
    <row r="49" spans="1:36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6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6" x14ac:dyDescent="0.35">
      <c r="A52" s="133">
        <v>45021</v>
      </c>
      <c r="B52" s="21" t="s">
        <v>486</v>
      </c>
      <c r="C52" s="21" t="s">
        <v>487</v>
      </c>
      <c r="D52" s="44">
        <v>145928</v>
      </c>
      <c r="E52" s="44"/>
      <c r="F52" s="21">
        <v>100</v>
      </c>
      <c r="G52" s="21"/>
      <c r="H52" s="22">
        <v>57600</v>
      </c>
      <c r="I52" s="33">
        <v>0.54</v>
      </c>
      <c r="J52" s="24">
        <f>IFERROR(K52/H52,"")</f>
        <v>0.55269097222222219</v>
      </c>
      <c r="K52" s="22">
        <v>31835</v>
      </c>
      <c r="L52" s="21">
        <v>10</v>
      </c>
      <c r="M52" s="21">
        <v>54</v>
      </c>
      <c r="N52" s="21">
        <v>25</v>
      </c>
      <c r="O52" s="21">
        <v>11</v>
      </c>
      <c r="P52" s="21"/>
      <c r="Q52" s="21"/>
      <c r="R52" s="21"/>
      <c r="S52" s="21"/>
      <c r="T52" s="21"/>
      <c r="U52" s="25">
        <v>280</v>
      </c>
      <c r="V52" s="25">
        <f>H52*U52*I52/15</f>
        <v>580608</v>
      </c>
      <c r="W52" s="25">
        <v>304.79000000000002</v>
      </c>
      <c r="X52" s="25">
        <v>646862.28</v>
      </c>
      <c r="Y52" s="25">
        <v>0</v>
      </c>
      <c r="Z52" s="25">
        <v>3870</v>
      </c>
      <c r="AA52" s="25">
        <v>0</v>
      </c>
      <c r="AB52" s="25">
        <v>2800</v>
      </c>
      <c r="AC52" s="25">
        <f>F52*30</f>
        <v>3000</v>
      </c>
      <c r="AD52" s="25">
        <f>IF(F52="",G52*4.11,F52*4.11)</f>
        <v>411.00000000000006</v>
      </c>
      <c r="AE52" s="25">
        <v>1293.73</v>
      </c>
      <c r="AF52" s="25">
        <f>V52+Y52+Z52+AA52+AB52+AC52+AD52</f>
        <v>590689</v>
      </c>
      <c r="AG52" s="25">
        <f>IFERROR(IFERROR((H52*W52*J52/15)-AE52,""),"")</f>
        <v>645572.24666666659</v>
      </c>
      <c r="AH52" s="26">
        <f>IFERROR(AG52-AF52,"")</f>
        <v>54883.246666666586</v>
      </c>
      <c r="AI52" s="6">
        <f>IF(F52="",(G52/$F$57)*$AL$27,(F52/$F$57)*$AL$27)</f>
        <v>0</v>
      </c>
      <c r="AJ52" s="6">
        <f>(AH52-AI52)*70%</f>
        <v>38418.272666666606</v>
      </c>
    </row>
    <row r="53" spans="1:36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548.83246666666582</v>
      </c>
    </row>
    <row r="54" spans="1:36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8.5014879357112272E-2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6" ht="15" thickBot="1" x14ac:dyDescent="0.4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6" ht="16" thickBot="1" x14ac:dyDescent="0.4">
      <c r="A57" s="377" t="s">
        <v>480</v>
      </c>
      <c r="B57" s="378"/>
      <c r="C57" s="378"/>
      <c r="D57" s="378"/>
      <c r="E57" s="378"/>
      <c r="F57" s="30">
        <f>SUM(F4:G52)</f>
        <v>715</v>
      </c>
      <c r="G57" s="30"/>
      <c r="H57" s="30"/>
      <c r="I57" s="30"/>
      <c r="J57" s="30"/>
      <c r="K57" s="30"/>
      <c r="L57" s="46"/>
      <c r="M57" s="46"/>
      <c r="N57" s="46"/>
      <c r="O57" s="46"/>
      <c r="P57" s="46"/>
      <c r="Q57" s="46"/>
      <c r="R57" s="46"/>
      <c r="S57" s="46"/>
      <c r="T57" s="46"/>
      <c r="U57" s="30"/>
      <c r="V57" s="31">
        <f>V4+V10+V16+V22+V28+V34+V40+V46+V52</f>
        <v>3256710.9633333334</v>
      </c>
      <c r="W57" s="30"/>
      <c r="X57" s="30"/>
      <c r="Y57" s="31">
        <f>Y4+Y10+Y16+Y22+Y28+Y34+Y40+Y46+Y52</f>
        <v>24600</v>
      </c>
      <c r="Z57" s="31">
        <f>Z4+Z10+Z16+Z22+Z28+Z34+Z40+Z46+Z52</f>
        <v>93483.88</v>
      </c>
      <c r="AA57" s="31">
        <f>AA4+AA10+AA16+AA22+AA28+AA34+AA40+AA46+AA52</f>
        <v>0</v>
      </c>
      <c r="AB57" s="31">
        <f>AB4+AB10+AB16+AB16+AB22+AB28+AB34+AB40+AB46+AB52</f>
        <v>20422.5</v>
      </c>
      <c r="AC57" s="31">
        <f t="shared" ref="AC57:AJ57" si="0">AC4+AC10+AC16+AC22+AC28+AC34+AC40+AC46+AC52</f>
        <v>3000</v>
      </c>
      <c r="AD57" s="31">
        <f t="shared" si="0"/>
        <v>2938.6500000000005</v>
      </c>
      <c r="AE57" s="31">
        <f t="shared" si="0"/>
        <v>7539.99</v>
      </c>
      <c r="AF57" s="31">
        <f t="shared" si="0"/>
        <v>3399530.9933333336</v>
      </c>
      <c r="AG57" s="31">
        <f t="shared" si="0"/>
        <v>3762470.3021333329</v>
      </c>
      <c r="AH57" s="31">
        <f t="shared" si="0"/>
        <v>362939.30879999977</v>
      </c>
      <c r="AI57" s="31">
        <f t="shared" si="0"/>
        <v>0</v>
      </c>
      <c r="AJ57" s="31">
        <f t="shared" si="0"/>
        <v>254057.5161599998</v>
      </c>
    </row>
    <row r="59" spans="1:36" x14ac:dyDescent="0.35">
      <c r="AI59" s="47"/>
      <c r="AJ59" s="47"/>
    </row>
    <row r="60" spans="1:36" x14ac:dyDescent="0.35">
      <c r="AI60" s="47"/>
      <c r="AJ60" s="47"/>
    </row>
    <row r="61" spans="1:36" x14ac:dyDescent="0.35">
      <c r="AI61" s="14"/>
      <c r="AJ61" s="14"/>
    </row>
    <row r="62" spans="1:36" x14ac:dyDescent="0.35">
      <c r="AI62" s="6"/>
      <c r="AJ62" s="6"/>
    </row>
    <row r="65" spans="35:36" x14ac:dyDescent="0.35">
      <c r="AI65" s="47"/>
      <c r="AJ65" s="47"/>
    </row>
    <row r="66" spans="35:36" x14ac:dyDescent="0.35">
      <c r="AI66" s="47"/>
      <c r="AJ66" s="47"/>
    </row>
    <row r="67" spans="35:36" x14ac:dyDescent="0.35">
      <c r="AI67" s="14"/>
      <c r="AJ67" s="14"/>
    </row>
    <row r="68" spans="35:36" x14ac:dyDescent="0.35">
      <c r="AI68" s="6"/>
      <c r="AJ68" s="6"/>
    </row>
    <row r="71" spans="35:36" x14ac:dyDescent="0.35">
      <c r="AI71" s="47"/>
      <c r="AJ71" s="47"/>
    </row>
    <row r="72" spans="35:36" x14ac:dyDescent="0.35">
      <c r="AI72" s="47"/>
      <c r="AJ72" s="47"/>
    </row>
    <row r="73" spans="35:36" x14ac:dyDescent="0.35">
      <c r="AI73" s="14"/>
      <c r="AJ73" s="14"/>
    </row>
    <row r="74" spans="35:36" x14ac:dyDescent="0.35">
      <c r="AI74" s="6"/>
      <c r="AJ74" s="6"/>
    </row>
    <row r="77" spans="35:36" x14ac:dyDescent="0.35">
      <c r="AI77" s="47"/>
      <c r="AJ77" s="47"/>
    </row>
    <row r="78" spans="35:36" x14ac:dyDescent="0.35">
      <c r="AI78" s="47"/>
      <c r="AJ78" s="47"/>
    </row>
    <row r="79" spans="35:36" x14ac:dyDescent="0.35">
      <c r="AI79" s="14"/>
      <c r="AJ79" s="14"/>
    </row>
    <row r="80" spans="35:36" x14ac:dyDescent="0.35">
      <c r="AI80" s="6"/>
      <c r="AJ80" s="6"/>
    </row>
    <row r="83" spans="35:36" x14ac:dyDescent="0.35">
      <c r="AI83" s="47"/>
      <c r="AJ83" s="47"/>
    </row>
    <row r="84" spans="35:36" x14ac:dyDescent="0.35">
      <c r="AI84" s="47"/>
      <c r="AJ84" s="47"/>
    </row>
    <row r="85" spans="35:36" x14ac:dyDescent="0.35">
      <c r="AI85" s="14"/>
      <c r="AJ85" s="14"/>
    </row>
    <row r="86" spans="35:36" x14ac:dyDescent="0.35">
      <c r="AI86" s="6"/>
      <c r="AJ86" s="6"/>
    </row>
    <row r="89" spans="35:36" x14ac:dyDescent="0.35">
      <c r="AI89" s="47"/>
      <c r="AJ89" s="47"/>
    </row>
    <row r="90" spans="35:36" x14ac:dyDescent="0.35">
      <c r="AI90" s="47"/>
      <c r="AJ90" s="47"/>
    </row>
    <row r="91" spans="35:36" x14ac:dyDescent="0.35">
      <c r="AI91" s="14"/>
      <c r="AJ91" s="14"/>
    </row>
    <row r="92" spans="35:36" x14ac:dyDescent="0.35">
      <c r="AI92" s="6"/>
      <c r="AJ92" s="6"/>
    </row>
    <row r="1048576" spans="35:35" x14ac:dyDescent="0.35">
      <c r="AI1048576" s="6"/>
    </row>
  </sheetData>
  <mergeCells count="2">
    <mergeCell ref="U2:AC2"/>
    <mergeCell ref="A57:E5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6"/>
  <dimension ref="A1:AN99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bestFit="1" customWidth="1"/>
    <col min="39" max="39" width="15.72656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AF99</f>
        <v>2691519.4416666669</v>
      </c>
      <c r="AM3" s="164">
        <f>AH99-AI99</f>
        <v>248757.38052000001</v>
      </c>
    </row>
    <row r="4" spans="1:40" x14ac:dyDescent="0.35">
      <c r="A4" s="133">
        <v>45026</v>
      </c>
      <c r="B4" s="21" t="s">
        <v>474</v>
      </c>
      <c r="C4" s="21" t="s">
        <v>161</v>
      </c>
      <c r="D4" s="44">
        <v>146196</v>
      </c>
      <c r="E4" s="44"/>
      <c r="F4" s="21"/>
      <c r="G4" s="21">
        <v>65</v>
      </c>
      <c r="H4" s="22">
        <v>24580</v>
      </c>
      <c r="I4" s="33">
        <v>0.5</v>
      </c>
      <c r="J4" s="24">
        <f>IFERROR(K4/H4,"")</f>
        <v>0.52697314890154601</v>
      </c>
      <c r="K4" s="22">
        <v>12953</v>
      </c>
      <c r="L4" s="21">
        <v>25</v>
      </c>
      <c r="M4" s="21">
        <v>36</v>
      </c>
      <c r="N4" s="21">
        <v>3</v>
      </c>
      <c r="O4" s="21">
        <v>1</v>
      </c>
      <c r="P4" s="21"/>
      <c r="Q4" s="21"/>
      <c r="R4" s="21"/>
      <c r="S4" s="21"/>
      <c r="T4" s="21"/>
      <c r="U4" s="25">
        <v>250</v>
      </c>
      <c r="V4" s="25">
        <f>H4*U4*I4/15</f>
        <v>204833.33333333334</v>
      </c>
      <c r="W4" s="25">
        <v>301.45999999999998</v>
      </c>
      <c r="X4" s="25">
        <v>260321.92000000001</v>
      </c>
      <c r="Y4" s="25">
        <f>G4*40</f>
        <v>2600</v>
      </c>
      <c r="Z4" s="25">
        <v>10132.9</v>
      </c>
      <c r="AA4" s="25">
        <v>0</v>
      </c>
      <c r="AB4" s="25">
        <v>1625</v>
      </c>
      <c r="AC4" s="25">
        <v>0</v>
      </c>
      <c r="AD4" s="25">
        <f>G4*4.11</f>
        <v>267.15000000000003</v>
      </c>
      <c r="AE4" s="25">
        <v>520.65</v>
      </c>
      <c r="AF4" s="25">
        <f>V4+Y4+Z4+AA4+AB4+AC4+AD4</f>
        <v>219458.38333333333</v>
      </c>
      <c r="AG4" s="25">
        <f>IFERROR(IFERROR((H4*W4*J4/15)-AE4,""),"")</f>
        <v>259800.1086666667</v>
      </c>
      <c r="AH4" s="26">
        <f>IFERROR(AG4-AF4,"")</f>
        <v>40341.725333333365</v>
      </c>
      <c r="AI4" s="6">
        <f>IF(F4="",(G4/$F$99)*$AL$21,(F4/$F$99)*$AL$21)</f>
        <v>11.343804537521814</v>
      </c>
      <c r="AJ4" s="6">
        <f>(AH4-AI4)*70%</f>
        <v>28231.26707015709</v>
      </c>
      <c r="AL4" s="166" t="s">
        <v>749</v>
      </c>
      <c r="AM4" s="167">
        <f>AM3/AL3</f>
        <v>9.2422657874602687E-2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IFERROR(AH4/G4,"")</f>
        <v>620.64192820512869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0.15527986320087847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F4+G4+F10+G10+F16+G16+F22+G22+F28+G28+F34+G34+F40+G40+F46+G46+F52+G52+F58+G58+F64+G64+F70+G70+F76+G76+F82+G82+F88+G88+F94+G94</f>
        <v>573</v>
      </c>
      <c r="AM9" s="50" t="s">
        <v>22</v>
      </c>
      <c r="AN9" t="s">
        <v>72</v>
      </c>
    </row>
    <row r="10" spans="1:40" x14ac:dyDescent="0.35">
      <c r="A10" s="133">
        <v>45026</v>
      </c>
      <c r="B10" s="21" t="s">
        <v>474</v>
      </c>
      <c r="C10" s="21" t="s">
        <v>237</v>
      </c>
      <c r="D10" s="44">
        <v>146197</v>
      </c>
      <c r="E10" s="44"/>
      <c r="F10" s="21">
        <v>49</v>
      </c>
      <c r="G10" s="21"/>
      <c r="H10" s="22">
        <v>25760</v>
      </c>
      <c r="I10" s="33">
        <v>0.53</v>
      </c>
      <c r="J10" s="24">
        <f>IFERROR(K10/H10,"")</f>
        <v>0.53175465838509317</v>
      </c>
      <c r="K10" s="22">
        <v>13698</v>
      </c>
      <c r="L10" s="21"/>
      <c r="M10" s="21">
        <v>4</v>
      </c>
      <c r="N10" s="21">
        <v>3</v>
      </c>
      <c r="O10" s="21">
        <v>35</v>
      </c>
      <c r="P10" s="21">
        <v>6</v>
      </c>
      <c r="Q10" s="21">
        <v>1</v>
      </c>
      <c r="R10" s="21"/>
      <c r="S10" s="21"/>
      <c r="T10" s="21"/>
      <c r="U10" s="25">
        <v>250</v>
      </c>
      <c r="V10" s="25">
        <f>H10*U10*I10/15</f>
        <v>227546.66666666666</v>
      </c>
      <c r="W10" s="25">
        <v>283.26</v>
      </c>
      <c r="X10" s="25">
        <v>258672.59</v>
      </c>
      <c r="Y10" s="25">
        <f>F10*40</f>
        <v>1960</v>
      </c>
      <c r="Z10" s="25">
        <v>10474.81</v>
      </c>
      <c r="AA10" s="25">
        <v>0</v>
      </c>
      <c r="AB10" s="25">
        <v>1225</v>
      </c>
      <c r="AC10" s="25">
        <v>0</v>
      </c>
      <c r="AD10" s="25">
        <f>IF(F10="",G10*4.11,F10*4.11)</f>
        <v>201.39000000000001</v>
      </c>
      <c r="AE10" s="25">
        <v>517.34</v>
      </c>
      <c r="AF10" s="25">
        <f>V10+Y10+Z10+AA10+AB10+AC10+AD10</f>
        <v>241407.86666666667</v>
      </c>
      <c r="AG10" s="25">
        <f>IFERROR(IFERROR((H10*W10*J10/15)-AE10,""),"")</f>
        <v>258155.69200000001</v>
      </c>
      <c r="AH10" s="26">
        <f>IFERROR(AG10-AF10,"")</f>
        <v>16747.825333333341</v>
      </c>
      <c r="AI10" s="6">
        <f>IF(F10="",(G10/$F$99)*$AL$21,(F10/$F$99)*$AL$21)</f>
        <v>8.5514834205933692</v>
      </c>
      <c r="AJ10" s="6">
        <f>(AH10-AI10)*70%</f>
        <v>11717.491694938923</v>
      </c>
      <c r="AL10" s="11">
        <f>AH4+AH10+AH16+AH22+AH28+AH34+AH40+AH46+AH52+AH58+AH64+AH70+AH76+AH82+AH88+AH94</f>
        <v>248857.38052000001</v>
      </c>
      <c r="AM10" s="11">
        <f>AL10*30%</f>
        <v>74657.214156000002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341.79235374149675</v>
      </c>
      <c r="AL11" s="11"/>
      <c r="AM11" s="11"/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6.4874902441947088E-2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80" t="s">
        <v>187</v>
      </c>
      <c r="AM14" s="211" t="s">
        <v>680</v>
      </c>
      <c r="AN14" s="191"/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178">
        <v>100</v>
      </c>
      <c r="AM15" t="s">
        <v>490</v>
      </c>
      <c r="AN15" s="174"/>
    </row>
    <row r="16" spans="1:40" x14ac:dyDescent="0.35">
      <c r="A16" s="133">
        <v>45026</v>
      </c>
      <c r="B16" s="21" t="s">
        <v>474</v>
      </c>
      <c r="C16" s="21" t="s">
        <v>237</v>
      </c>
      <c r="D16" s="44">
        <v>146194</v>
      </c>
      <c r="E16" s="44"/>
      <c r="F16" s="21">
        <v>50</v>
      </c>
      <c r="G16" s="21"/>
      <c r="H16" s="22">
        <v>24840</v>
      </c>
      <c r="I16" s="33">
        <v>0.52</v>
      </c>
      <c r="J16" s="24">
        <f>IFERROR(K16/H16,"")</f>
        <v>0.53055555555555556</v>
      </c>
      <c r="K16" s="22">
        <v>13179</v>
      </c>
      <c r="L16" s="21"/>
      <c r="M16" s="21">
        <v>13</v>
      </c>
      <c r="N16" s="21">
        <v>29</v>
      </c>
      <c r="O16" s="21">
        <v>8</v>
      </c>
      <c r="P16" s="21"/>
      <c r="Q16" s="21"/>
      <c r="R16" s="21"/>
      <c r="S16" s="21"/>
      <c r="T16" s="21"/>
      <c r="U16" s="25">
        <v>270</v>
      </c>
      <c r="V16" s="25">
        <f>H16*U16*I16/15</f>
        <v>232502.39999999999</v>
      </c>
      <c r="W16" s="25">
        <v>301.33</v>
      </c>
      <c r="X16" s="25">
        <v>264746.61</v>
      </c>
      <c r="Y16" s="25">
        <f>F16*40</f>
        <v>2000</v>
      </c>
      <c r="Z16" s="25">
        <v>10688.58</v>
      </c>
      <c r="AA16" s="25">
        <v>0</v>
      </c>
      <c r="AB16" s="25">
        <v>1350</v>
      </c>
      <c r="AC16" s="25">
        <v>0</v>
      </c>
      <c r="AD16" s="25">
        <f>IF(F16="",G16*4.11,F16*4.11)</f>
        <v>205.50000000000003</v>
      </c>
      <c r="AE16" s="25">
        <v>529.49</v>
      </c>
      <c r="AF16" s="25">
        <f>V16+Y16+Z16+AA16+AB16+AC16+AD16</f>
        <v>246746.47999999998</v>
      </c>
      <c r="AG16" s="25">
        <f>IFERROR(IFERROR((H16*W16*J16/15)-AE16,""),"")</f>
        <v>264219.04800000001</v>
      </c>
      <c r="AH16" s="26">
        <f>IFERROR(AG16-AF16,"")</f>
        <v>17472.568000000028</v>
      </c>
      <c r="AI16" s="6">
        <f>IF(F16="",(G16/$F$99)*$AL$21,(F16/$F$99)*$AL$21)</f>
        <v>8.7260034904013963</v>
      </c>
      <c r="AJ16" s="6">
        <f>(AH16-AI16)*70%</f>
        <v>12224.689397556736</v>
      </c>
      <c r="AL16" s="178">
        <v>0</v>
      </c>
      <c r="AM16" s="6"/>
      <c r="AN16" s="174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349.45136000000059</v>
      </c>
      <c r="AL17" s="178">
        <v>0</v>
      </c>
      <c r="AN17" s="174"/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6.6129100578698724E-2</v>
      </c>
      <c r="AL18" s="178">
        <v>0</v>
      </c>
      <c r="AN18" s="174"/>
    </row>
    <row r="19" spans="1:40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205">
        <v>0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78"/>
      <c r="AN20" s="174"/>
    </row>
    <row r="21" spans="1:40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213">
        <f>SUM(AL15:AL20)</f>
        <v>100</v>
      </c>
      <c r="AM21" s="211" t="s">
        <v>682</v>
      </c>
      <c r="AN21" s="191"/>
    </row>
    <row r="22" spans="1:40" x14ac:dyDescent="0.35">
      <c r="A22" s="133">
        <v>45027</v>
      </c>
      <c r="B22" s="21" t="s">
        <v>489</v>
      </c>
      <c r="C22" s="21" t="s">
        <v>331</v>
      </c>
      <c r="D22" s="44">
        <v>146182</v>
      </c>
      <c r="E22" s="44"/>
      <c r="F22" s="21">
        <v>23</v>
      </c>
      <c r="G22" s="21"/>
      <c r="H22" s="22">
        <v>10860</v>
      </c>
      <c r="I22" s="33">
        <v>0.53</v>
      </c>
      <c r="J22" s="24">
        <f>IFERROR(K22/H22,"")</f>
        <v>0.5465441988950277</v>
      </c>
      <c r="K22" s="22">
        <v>5935.47</v>
      </c>
      <c r="L22" s="21"/>
      <c r="M22" s="21">
        <v>23</v>
      </c>
      <c r="N22" s="21"/>
      <c r="O22" s="21"/>
      <c r="P22" s="21"/>
      <c r="Q22" s="21"/>
      <c r="R22" s="21"/>
      <c r="S22" s="21"/>
      <c r="T22" s="21"/>
      <c r="U22" s="25">
        <v>280</v>
      </c>
      <c r="V22" s="25">
        <f>H22*U22*I22/15</f>
        <v>107441.60000000001</v>
      </c>
      <c r="W22" s="25">
        <v>301.52999999999997</v>
      </c>
      <c r="X22" s="25">
        <v>119314.81</v>
      </c>
      <c r="Y22" s="25">
        <f>F22*40</f>
        <v>920</v>
      </c>
      <c r="Z22" s="25">
        <v>2726.82</v>
      </c>
      <c r="AA22" s="25">
        <v>0</v>
      </c>
      <c r="AB22" s="25">
        <v>638.19000000000005</v>
      </c>
      <c r="AC22" s="25">
        <v>0</v>
      </c>
      <c r="AD22" s="25">
        <f>IF(F22="",G22*4.11,F22*4.11)</f>
        <v>94.53</v>
      </c>
      <c r="AE22" s="25">
        <v>238.63</v>
      </c>
      <c r="AF22" s="25">
        <f>V22+Y22+Z22+AA22+AB22+AC22+AD22</f>
        <v>111821.14000000001</v>
      </c>
      <c r="AG22" s="25">
        <f>IFERROR(IFERROR((H22*W22*J22/15)-AE22,""),"")</f>
        <v>119076.18794</v>
      </c>
      <c r="AH22" s="26">
        <f>IFERROR(AG22-AF22,"")</f>
        <v>7255.0479399999895</v>
      </c>
      <c r="AI22" s="6">
        <f>IF(F22="",(G22/$F$99)*$AL$21,(F22/$F$99)*$AL$21)</f>
        <v>4.0139616055846421</v>
      </c>
      <c r="AJ22" s="6">
        <f>(AH22-AI22)*70%</f>
        <v>5075.7237848760833</v>
      </c>
    </row>
    <row r="23" spans="1:4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315.43686695652127</v>
      </c>
      <c r="AL23" s="95">
        <f>AL10-AL21</f>
        <v>248757.38052000001</v>
      </c>
      <c r="AM23" s="11" t="s">
        <v>471</v>
      </c>
    </row>
    <row r="24" spans="1:40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6.0927781326487004E-2</v>
      </c>
      <c r="AL24" s="134">
        <f>AL23*30%</f>
        <v>74627.214156000002</v>
      </c>
      <c r="AM24" s="121" t="s">
        <v>424</v>
      </c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</row>
    <row r="27" spans="1:40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</row>
    <row r="28" spans="1:40" x14ac:dyDescent="0.35">
      <c r="A28" s="133">
        <v>45027</v>
      </c>
      <c r="B28" s="21" t="s">
        <v>474</v>
      </c>
      <c r="C28" s="21" t="s">
        <v>331</v>
      </c>
      <c r="D28" s="44">
        <v>146182</v>
      </c>
      <c r="E28" s="44"/>
      <c r="F28" s="21">
        <v>31</v>
      </c>
      <c r="G28" s="21"/>
      <c r="H28" s="22">
        <v>16580</v>
      </c>
      <c r="I28" s="33">
        <v>0.54</v>
      </c>
      <c r="J28" s="24">
        <f>IFERROR(K28/H28,"")</f>
        <v>0.48250844390832326</v>
      </c>
      <c r="K28" s="22">
        <v>7999.99</v>
      </c>
      <c r="L28" s="21"/>
      <c r="M28" s="21">
        <v>5</v>
      </c>
      <c r="N28" s="21">
        <v>15</v>
      </c>
      <c r="O28" s="21">
        <v>8</v>
      </c>
      <c r="P28" s="21">
        <v>2</v>
      </c>
      <c r="Q28" s="21">
        <v>1</v>
      </c>
      <c r="R28" s="21"/>
      <c r="S28" s="21"/>
      <c r="T28" s="21"/>
      <c r="U28" s="25">
        <v>280</v>
      </c>
      <c r="V28" s="25">
        <f>H28*U28*I28/15</f>
        <v>167126.39999999999</v>
      </c>
      <c r="W28" s="25">
        <v>301.52999999999997</v>
      </c>
      <c r="X28" s="25">
        <v>160815.60999999999</v>
      </c>
      <c r="Y28" s="25">
        <f>F28*40</f>
        <v>1240</v>
      </c>
      <c r="Z28" s="25">
        <v>3675.29</v>
      </c>
      <c r="AA28" s="25">
        <v>0</v>
      </c>
      <c r="AB28" s="25">
        <v>860.17</v>
      </c>
      <c r="AC28" s="25">
        <v>0</v>
      </c>
      <c r="AD28" s="25">
        <f>IF(F28="",G28*4.11,F28*4.11)</f>
        <v>127.41000000000001</v>
      </c>
      <c r="AE28" s="25">
        <v>321.63</v>
      </c>
      <c r="AF28" s="25">
        <f>V28+Y28+Z28+AA28+AB28+AC28+AD28</f>
        <v>173029.27000000002</v>
      </c>
      <c r="AG28" s="25">
        <f>IFERROR(IFERROR((H28*W28*J28/15)-AE28,""),"")</f>
        <v>160494.16897999996</v>
      </c>
      <c r="AH28" s="26">
        <f>IFERROR(AG28-AF28,"")</f>
        <v>-12535.10102000006</v>
      </c>
      <c r="AI28" s="6">
        <f>IF(F28="",(G28/$F$99)*$AL$21,(F28/$F$99)*$AL$21)</f>
        <v>5.4101221640488655</v>
      </c>
      <c r="AJ28" s="6">
        <f>(AH28-AI28)*70%</f>
        <v>-8778.3577995148753</v>
      </c>
    </row>
    <row r="29" spans="1:40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-404.3580974193568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-7.8103155396020196E-2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6" x14ac:dyDescent="0.35">
      <c r="A34" s="133">
        <v>45027</v>
      </c>
      <c r="B34" s="21" t="s">
        <v>474</v>
      </c>
      <c r="C34" s="21" t="s">
        <v>331</v>
      </c>
      <c r="D34" s="44">
        <v>146182</v>
      </c>
      <c r="E34" s="44"/>
      <c r="F34" s="21">
        <v>55</v>
      </c>
      <c r="G34" s="21"/>
      <c r="H34" s="22">
        <v>24420</v>
      </c>
      <c r="I34" s="33">
        <v>0.52</v>
      </c>
      <c r="J34" s="24">
        <f>IFERROR(K34/H34,"")</f>
        <v>0.58122563472563471</v>
      </c>
      <c r="K34" s="22">
        <v>14193.53</v>
      </c>
      <c r="L34" s="21">
        <v>9</v>
      </c>
      <c r="M34" s="21">
        <v>28</v>
      </c>
      <c r="N34" s="21">
        <v>18</v>
      </c>
      <c r="O34" s="21"/>
      <c r="P34" s="21"/>
      <c r="Q34" s="21"/>
      <c r="R34" s="21"/>
      <c r="S34" s="21"/>
      <c r="T34" s="21"/>
      <c r="U34" s="25">
        <v>275</v>
      </c>
      <c r="V34" s="25">
        <f>H34*U34*I34/15</f>
        <v>232804</v>
      </c>
      <c r="W34" s="25">
        <v>301.52999999999997</v>
      </c>
      <c r="X34" s="25">
        <v>285318.03000000003</v>
      </c>
      <c r="Y34" s="25">
        <f>F34*40</f>
        <v>2200</v>
      </c>
      <c r="Z34" s="25">
        <v>6520.67</v>
      </c>
      <c r="AA34" s="25">
        <v>0</v>
      </c>
      <c r="AB34" s="25">
        <v>1526.12</v>
      </c>
      <c r="AC34" s="25">
        <v>0</v>
      </c>
      <c r="AD34" s="25">
        <f>IF(F34="",G34*4.11,F34*4.11)</f>
        <v>226.05</v>
      </c>
      <c r="AE34" s="25">
        <v>570.63</v>
      </c>
      <c r="AF34" s="25">
        <f>V34+Y34+Z34+AA34+AB34+AC34+AD34</f>
        <v>243276.84</v>
      </c>
      <c r="AG34" s="25">
        <f>IFERROR(IFERROR((H34*W34*J34/15)-AE34,""),"")</f>
        <v>284747.71006000001</v>
      </c>
      <c r="AH34" s="26">
        <f>IFERROR(AG34-AF34,"")</f>
        <v>41470.870060000016</v>
      </c>
      <c r="AI34" s="6">
        <f>IF(F34="",(G34/$F$99)*$AL$21,(F34/$F$99)*$AL$21)</f>
        <v>9.5986038394415356</v>
      </c>
      <c r="AJ34" s="6">
        <f>(AH34-AI34)*70%</f>
        <v>29022.890019312399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754.01581927272753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0.14564075002134896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6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6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6" x14ac:dyDescent="0.35">
      <c r="A40" s="133">
        <v>45028</v>
      </c>
      <c r="B40" s="21" t="s">
        <v>474</v>
      </c>
      <c r="C40" s="21" t="s">
        <v>331</v>
      </c>
      <c r="D40" s="44">
        <v>146181</v>
      </c>
      <c r="E40" s="44"/>
      <c r="F40" s="21">
        <v>51</v>
      </c>
      <c r="G40" s="21"/>
      <c r="H40" s="22">
        <v>22060</v>
      </c>
      <c r="I40" s="33">
        <v>0.52</v>
      </c>
      <c r="J40" s="24">
        <f>IFERROR(K40/H40,"")</f>
        <v>0.53399818676337263</v>
      </c>
      <c r="K40" s="22">
        <v>11780</v>
      </c>
      <c r="L40" s="21">
        <v>11</v>
      </c>
      <c r="M40" s="21">
        <v>40</v>
      </c>
      <c r="N40" s="21"/>
      <c r="O40" s="21"/>
      <c r="P40" s="21"/>
      <c r="Q40" s="21"/>
      <c r="R40" s="21"/>
      <c r="S40" s="21"/>
      <c r="T40" s="21"/>
      <c r="U40" s="25">
        <v>275</v>
      </c>
      <c r="V40" s="25">
        <f>H40*U40*I40/15</f>
        <v>210305.33333333334</v>
      </c>
      <c r="W40" s="25">
        <v>304.04000000000002</v>
      </c>
      <c r="X40" s="25">
        <v>271071.59000000003</v>
      </c>
      <c r="Y40" s="25">
        <f>F40*40</f>
        <v>2040</v>
      </c>
      <c r="Z40" s="25">
        <v>6608.8</v>
      </c>
      <c r="AA40" s="25">
        <v>0</v>
      </c>
      <c r="AB40" s="25">
        <v>1414.33</v>
      </c>
      <c r="AC40" s="25">
        <v>0</v>
      </c>
      <c r="AD40" s="25">
        <f>IF(F40="",G40*4.11,F40*4.11)</f>
        <v>209.61</v>
      </c>
      <c r="AE40" s="25">
        <v>542.14</v>
      </c>
      <c r="AF40" s="25">
        <f>V40+Y40+Z40+AA40+AB40+AC40+AD40</f>
        <v>220578.0733333333</v>
      </c>
      <c r="AG40" s="25">
        <f>IFERROR(IFERROR((H40*W40*J40/15)-AE40,""),"")</f>
        <v>238230.60666666666</v>
      </c>
      <c r="AH40" s="26">
        <f>IFERROR(AG40-AF40,"")</f>
        <v>17652.533333333355</v>
      </c>
      <c r="AI40" s="6">
        <f>IF(F40="",(G40/$F$99)*$AL$21,(F40/$F$99)*$AL$21)</f>
        <v>8.9005235602094235</v>
      </c>
      <c r="AJ40" s="6">
        <f>(AH40-AI40)*70%</f>
        <v>12350.542966841202</v>
      </c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346.12810457516383</v>
      </c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7.4098511439518178E-2</v>
      </c>
    </row>
    <row r="43" spans="1:36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6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6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6" x14ac:dyDescent="0.35">
      <c r="A46" s="133">
        <v>45028</v>
      </c>
      <c r="B46" s="21" t="s">
        <v>474</v>
      </c>
      <c r="C46" s="21" t="s">
        <v>331</v>
      </c>
      <c r="D46" s="44">
        <v>146181</v>
      </c>
      <c r="E46" s="44"/>
      <c r="F46" s="21">
        <v>31</v>
      </c>
      <c r="G46" s="21"/>
      <c r="H46" s="22">
        <v>14470</v>
      </c>
      <c r="I46" s="33">
        <v>0.52</v>
      </c>
      <c r="J46" s="24">
        <f>IFERROR(K46/H46,"")</f>
        <v>0.55618521078092609</v>
      </c>
      <c r="K46" s="22">
        <v>8048</v>
      </c>
      <c r="L46" s="21"/>
      <c r="M46" s="21">
        <v>20</v>
      </c>
      <c r="N46" s="21">
        <v>11</v>
      </c>
      <c r="O46" s="21"/>
      <c r="P46" s="21"/>
      <c r="Q46" s="21"/>
      <c r="R46" s="21"/>
      <c r="S46" s="21"/>
      <c r="T46" s="21"/>
      <c r="U46" s="25">
        <v>275</v>
      </c>
      <c r="V46" s="25">
        <f>H46*U46*I46/15</f>
        <v>137947.33333333334</v>
      </c>
      <c r="W46" s="25">
        <v>304.04000000000002</v>
      </c>
      <c r="X46" s="25">
        <v>164769</v>
      </c>
      <c r="Y46" s="25">
        <f>F46*40</f>
        <v>1240</v>
      </c>
      <c r="Z46" s="25">
        <v>4017.11</v>
      </c>
      <c r="AA46" s="25">
        <v>0</v>
      </c>
      <c r="AB46" s="25">
        <v>859.69</v>
      </c>
      <c r="AC46" s="25">
        <v>0</v>
      </c>
      <c r="AD46" s="25">
        <f>IF(F46="",G46*4.11,F46*4.11)</f>
        <v>127.41000000000001</v>
      </c>
      <c r="AE46" s="25">
        <v>329.53</v>
      </c>
      <c r="AF46" s="25">
        <f>V46+Y46+Z46+AA46+AB46+AC46+AD46</f>
        <v>144191.54333333333</v>
      </c>
      <c r="AG46" s="25">
        <f>IFERROR(IFERROR((H46*W46*J46/15)-AE46,""),"")</f>
        <v>162798.0646666667</v>
      </c>
      <c r="AH46" s="26">
        <f>IFERROR(AG46-AF46,"")</f>
        <v>18606.521333333367</v>
      </c>
      <c r="AI46" s="6">
        <f>IF(F46="",(G46/$F$99)*$AL$21,(F46/$F$99)*$AL$21)</f>
        <v>5.4101221640488655</v>
      </c>
      <c r="AJ46" s="6">
        <f>(AH46-AI46)*70%</f>
        <v>13020.777847818523</v>
      </c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600.21036559139895</v>
      </c>
    </row>
    <row r="48" spans="1:36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0.1142920302611134</v>
      </c>
    </row>
    <row r="49" spans="1:36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6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6" x14ac:dyDescent="0.35">
      <c r="A52" s="133">
        <v>45028</v>
      </c>
      <c r="B52" s="21" t="s">
        <v>474</v>
      </c>
      <c r="C52" s="21" t="s">
        <v>331</v>
      </c>
      <c r="D52" s="44">
        <v>146181</v>
      </c>
      <c r="E52" s="44"/>
      <c r="F52" s="21">
        <v>51</v>
      </c>
      <c r="G52" s="21"/>
      <c r="H52" s="22">
        <v>25570</v>
      </c>
      <c r="I52" s="33">
        <v>0.54</v>
      </c>
      <c r="J52" s="24">
        <f>IFERROR(K52/H52,"")</f>
        <v>0.55189675400860383</v>
      </c>
      <c r="K52" s="22">
        <v>14112</v>
      </c>
      <c r="L52" s="21"/>
      <c r="M52" s="21">
        <v>23</v>
      </c>
      <c r="N52" s="21">
        <v>26</v>
      </c>
      <c r="O52" s="21">
        <v>2</v>
      </c>
      <c r="P52" s="21"/>
      <c r="Q52" s="21"/>
      <c r="R52" s="21"/>
      <c r="S52" s="21"/>
      <c r="T52" s="21"/>
      <c r="U52" s="25">
        <v>280</v>
      </c>
      <c r="V52" s="25">
        <f>H52*U52*I52/15</f>
        <v>257745.60000000003</v>
      </c>
      <c r="W52" s="25">
        <v>304.04000000000002</v>
      </c>
      <c r="X52" s="25">
        <v>271071.59000000003</v>
      </c>
      <c r="Y52" s="25">
        <f>F52*40</f>
        <v>2040</v>
      </c>
      <c r="Z52" s="25">
        <v>6608.8</v>
      </c>
      <c r="AA52" s="25">
        <v>0</v>
      </c>
      <c r="AB52" s="25">
        <v>1414.33</v>
      </c>
      <c r="AC52" s="25">
        <v>0</v>
      </c>
      <c r="AD52" s="25">
        <f>IF(F52="",G52*4.11,F52*4.11)</f>
        <v>209.61</v>
      </c>
      <c r="AE52" s="25">
        <v>542.14</v>
      </c>
      <c r="AF52" s="25">
        <f>V52+Y52+Z52+AA52+AB52+AC52+AD52</f>
        <v>268018.34000000003</v>
      </c>
      <c r="AG52" s="25">
        <f>IFERROR(IFERROR((H52*W52*J52/15)-AE52,""),"")</f>
        <v>285498.69200000004</v>
      </c>
      <c r="AH52" s="26">
        <f>IFERROR(AG52-AF52,"")</f>
        <v>17480.352000000014</v>
      </c>
      <c r="AI52" s="6">
        <f>IF(F52="",(G52/$F$99)*$AL$21,(F52/$F$99)*$AL$21)</f>
        <v>8.9005235602094235</v>
      </c>
      <c r="AJ52" s="6">
        <f>(AH52-AI52)*70%</f>
        <v>12230.016033507862</v>
      </c>
    </row>
    <row r="53" spans="1:36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342.75200000000024</v>
      </c>
    </row>
    <row r="54" spans="1:36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6.1227432873843114E-2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6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36" x14ac:dyDescent="0.35">
      <c r="A58" s="133">
        <v>45028</v>
      </c>
      <c r="B58" s="21" t="s">
        <v>474</v>
      </c>
      <c r="C58" s="21" t="s">
        <v>331</v>
      </c>
      <c r="D58" s="44">
        <v>146181</v>
      </c>
      <c r="E58" s="44"/>
      <c r="F58" s="21">
        <v>20</v>
      </c>
      <c r="G58" s="21"/>
      <c r="H58" s="22">
        <v>10980</v>
      </c>
      <c r="I58" s="33">
        <v>0.55000000000000004</v>
      </c>
      <c r="J58" s="24">
        <f>IFERROR(K58/H58,"")</f>
        <v>0.56284153005464477</v>
      </c>
      <c r="K58" s="22">
        <v>6180</v>
      </c>
      <c r="L58" s="21"/>
      <c r="M58" s="21">
        <v>20</v>
      </c>
      <c r="N58" s="21"/>
      <c r="O58" s="21"/>
      <c r="P58" s="21"/>
      <c r="Q58" s="21"/>
      <c r="R58" s="21"/>
      <c r="S58" s="21"/>
      <c r="T58" s="21"/>
      <c r="U58" s="25">
        <v>280</v>
      </c>
      <c r="V58" s="25">
        <f>H58*U58*I58/15</f>
        <v>112728.00000000001</v>
      </c>
      <c r="W58" s="25">
        <v>304.04000000000002</v>
      </c>
      <c r="X58" s="25">
        <v>106302.58</v>
      </c>
      <c r="Y58" s="25">
        <f>F58*40</f>
        <v>800</v>
      </c>
      <c r="Z58" s="25">
        <v>2591.69</v>
      </c>
      <c r="AA58" s="25">
        <v>0</v>
      </c>
      <c r="AB58" s="25">
        <v>554.64</v>
      </c>
      <c r="AC58" s="25">
        <f>G58*30</f>
        <v>0</v>
      </c>
      <c r="AD58" s="25">
        <f>IF(F58="",G58*4.11,F58*4.11)</f>
        <v>82.2</v>
      </c>
      <c r="AE58" s="25">
        <v>212.6</v>
      </c>
      <c r="AF58" s="25">
        <f>V58+Y58+Z58+AA58+AB58+AC58+AD58</f>
        <v>116756.53000000001</v>
      </c>
      <c r="AG58" s="25">
        <f>IFERROR(IFERROR((H58*W58*J58/15)-AE58,""),"")</f>
        <v>125051.87999999999</v>
      </c>
      <c r="AH58" s="26">
        <f>IFERROR(AG58-AF58,"")</f>
        <v>8295.3499999999767</v>
      </c>
      <c r="AI58" s="6">
        <f>IF(F58="",(G58/$F$99)*$AL$21,(F58/$F$99)*$AL$21)</f>
        <v>3.4904013961605584</v>
      </c>
      <c r="AJ58" s="6">
        <f>(AH58-AI58)*70%</f>
        <v>5804.301719022671</v>
      </c>
    </row>
    <row r="59" spans="1:36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414.76749999999885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6.6335268210281823E-2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37" t="s">
        <v>1</v>
      </c>
      <c r="B63" s="37" t="s">
        <v>2</v>
      </c>
      <c r="C63" s="37" t="s">
        <v>110</v>
      </c>
      <c r="D63" s="37" t="s">
        <v>66</v>
      </c>
      <c r="E63" s="37"/>
      <c r="F63" s="37" t="s">
        <v>137</v>
      </c>
      <c r="G63" s="37" t="s">
        <v>138</v>
      </c>
      <c r="H63" s="37" t="s">
        <v>4</v>
      </c>
      <c r="I63" s="37" t="s">
        <v>5</v>
      </c>
      <c r="J63" s="37" t="s">
        <v>6</v>
      </c>
      <c r="K63" s="37" t="s">
        <v>7</v>
      </c>
      <c r="L63" s="37" t="s">
        <v>279</v>
      </c>
      <c r="M63" s="37" t="s">
        <v>280</v>
      </c>
      <c r="N63" s="37" t="s">
        <v>281</v>
      </c>
      <c r="O63" s="37" t="s">
        <v>282</v>
      </c>
      <c r="P63" s="37" t="s">
        <v>283</v>
      </c>
      <c r="Q63" s="37" t="s">
        <v>284</v>
      </c>
      <c r="R63" s="37" t="s">
        <v>904</v>
      </c>
      <c r="S63" s="37" t="s">
        <v>285</v>
      </c>
      <c r="T63" s="37" t="s">
        <v>289</v>
      </c>
      <c r="U63" s="37" t="s">
        <v>8</v>
      </c>
      <c r="V63" s="37" t="s">
        <v>9</v>
      </c>
      <c r="W63" s="37" t="s">
        <v>10</v>
      </c>
      <c r="X63" s="37" t="s">
        <v>100</v>
      </c>
      <c r="Y63" s="37" t="s">
        <v>106</v>
      </c>
      <c r="Z63" s="37" t="s">
        <v>12</v>
      </c>
      <c r="AA63" s="37" t="s">
        <v>258</v>
      </c>
      <c r="AB63" s="37" t="s">
        <v>13</v>
      </c>
      <c r="AC63" s="37" t="s">
        <v>74</v>
      </c>
      <c r="AD63" s="37" t="s">
        <v>21</v>
      </c>
      <c r="AE63" s="37" t="s">
        <v>14</v>
      </c>
      <c r="AF63" s="37" t="s">
        <v>15</v>
      </c>
      <c r="AG63" s="37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133">
        <v>45028</v>
      </c>
      <c r="B64" s="39" t="s">
        <v>474</v>
      </c>
      <c r="C64" s="39" t="s">
        <v>222</v>
      </c>
      <c r="D64" s="45">
        <v>146691</v>
      </c>
      <c r="E64" s="45"/>
      <c r="F64" s="39"/>
      <c r="G64" s="39">
        <v>10</v>
      </c>
      <c r="H64" s="40">
        <v>4930.18</v>
      </c>
      <c r="I64" s="53">
        <v>0.5</v>
      </c>
      <c r="J64" s="42">
        <f>IFERROR(K64/H64,"")</f>
        <v>0.53474923836452215</v>
      </c>
      <c r="K64" s="40">
        <v>2636.41</v>
      </c>
      <c r="L64" s="39"/>
      <c r="M64" s="39"/>
      <c r="N64" s="39">
        <v>1</v>
      </c>
      <c r="O64" s="39">
        <v>2</v>
      </c>
      <c r="P64" s="39">
        <v>7</v>
      </c>
      <c r="Q64" s="39"/>
      <c r="R64" s="39"/>
      <c r="S64" s="39"/>
      <c r="T64" s="39"/>
      <c r="U64" s="43">
        <v>230</v>
      </c>
      <c r="V64" s="43">
        <f>H64*U64*I64/15</f>
        <v>37798.046666666669</v>
      </c>
      <c r="W64" s="43">
        <v>298.89999999999998</v>
      </c>
      <c r="X64" s="43">
        <v>52534.65</v>
      </c>
      <c r="Y64" s="43">
        <f>G64*40</f>
        <v>400</v>
      </c>
      <c r="Z64" s="43">
        <v>1671.28</v>
      </c>
      <c r="AA64" s="43">
        <v>0</v>
      </c>
      <c r="AB64" s="43">
        <v>250.28</v>
      </c>
      <c r="AC64" s="43">
        <v>0</v>
      </c>
      <c r="AD64" s="43">
        <f>IF(F64="",G64*4.11,F64*4.11)</f>
        <v>41.1</v>
      </c>
      <c r="AE64" s="43">
        <v>105.07</v>
      </c>
      <c r="AF64" s="43">
        <f>V64+Y64+Z64+AA64+AB64+AC64+AD64</f>
        <v>40160.706666666665</v>
      </c>
      <c r="AG64" s="43">
        <f>IFERROR(IFERROR((H64*W64*J64/15)-AE64,""),"")</f>
        <v>52429.79326666666</v>
      </c>
      <c r="AH64" s="26">
        <f>IFERROR(AG64-AF64,"")</f>
        <v>12269.086599999995</v>
      </c>
      <c r="AI64" s="6">
        <f>IF(F64="",(G64/$F$99)*$AL$21,(F64/$F$99)*$AL$21)</f>
        <v>1.7452006980802792</v>
      </c>
      <c r="AJ64" s="6">
        <f>(AH64-AI64)*70%</f>
        <v>8587.1389795113391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AH64/G64</f>
        <v>1226.9086599999996</v>
      </c>
    </row>
    <row r="66" spans="1:36" ht="15" customHeight="1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0.23400982219398381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47"/>
      <c r="AI68" s="47"/>
      <c r="AJ68" s="47"/>
    </row>
    <row r="69" spans="1:36" x14ac:dyDescent="0.35">
      <c r="A69" s="37" t="s">
        <v>1</v>
      </c>
      <c r="B69" s="37" t="s">
        <v>2</v>
      </c>
      <c r="C69" s="37" t="s">
        <v>110</v>
      </c>
      <c r="D69" s="37" t="s">
        <v>66</v>
      </c>
      <c r="E69" s="37"/>
      <c r="F69" s="37" t="s">
        <v>137</v>
      </c>
      <c r="G69" s="37" t="s">
        <v>138</v>
      </c>
      <c r="H69" s="37" t="s">
        <v>4</v>
      </c>
      <c r="I69" s="37" t="s">
        <v>5</v>
      </c>
      <c r="J69" s="37" t="s">
        <v>6</v>
      </c>
      <c r="K69" s="37" t="s">
        <v>7</v>
      </c>
      <c r="L69" s="37" t="s">
        <v>279</v>
      </c>
      <c r="M69" s="37" t="s">
        <v>280</v>
      </c>
      <c r="N69" s="37" t="s">
        <v>281</v>
      </c>
      <c r="O69" s="37" t="s">
        <v>282</v>
      </c>
      <c r="P69" s="37" t="s">
        <v>283</v>
      </c>
      <c r="Q69" s="37" t="s">
        <v>284</v>
      </c>
      <c r="R69" s="37" t="s">
        <v>904</v>
      </c>
      <c r="S69" s="37" t="s">
        <v>285</v>
      </c>
      <c r="T69" s="37" t="s">
        <v>289</v>
      </c>
      <c r="U69" s="37" t="s">
        <v>8</v>
      </c>
      <c r="V69" s="37" t="s">
        <v>9</v>
      </c>
      <c r="W69" s="37" t="s">
        <v>10</v>
      </c>
      <c r="X69" s="37" t="s">
        <v>100</v>
      </c>
      <c r="Y69" s="37" t="s">
        <v>106</v>
      </c>
      <c r="Z69" s="37" t="s">
        <v>12</v>
      </c>
      <c r="AA69" s="37" t="s">
        <v>258</v>
      </c>
      <c r="AB69" s="37" t="s">
        <v>13</v>
      </c>
      <c r="AC69" s="37" t="s">
        <v>74</v>
      </c>
      <c r="AD69" s="37" t="s">
        <v>21</v>
      </c>
      <c r="AE69" s="37" t="s">
        <v>14</v>
      </c>
      <c r="AF69" s="37" t="s">
        <v>15</v>
      </c>
      <c r="AG69" s="37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133">
        <v>45028</v>
      </c>
      <c r="B70" s="39" t="s">
        <v>474</v>
      </c>
      <c r="C70" s="39" t="s">
        <v>222</v>
      </c>
      <c r="D70" s="45">
        <v>146691</v>
      </c>
      <c r="E70" s="45"/>
      <c r="F70" s="39"/>
      <c r="G70" s="39">
        <v>43</v>
      </c>
      <c r="H70" s="40">
        <v>21199.81</v>
      </c>
      <c r="I70" s="53">
        <v>0.5</v>
      </c>
      <c r="J70" s="42">
        <f>IFERROR(K70/H70,"")</f>
        <v>0.53474913218561859</v>
      </c>
      <c r="K70" s="40">
        <v>11336.58</v>
      </c>
      <c r="L70" s="39">
        <v>4</v>
      </c>
      <c r="M70" s="39">
        <v>34</v>
      </c>
      <c r="N70" s="39">
        <v>5</v>
      </c>
      <c r="O70" s="39"/>
      <c r="P70" s="39"/>
      <c r="Q70" s="39"/>
      <c r="R70" s="39"/>
      <c r="S70" s="39"/>
      <c r="T70" s="39"/>
      <c r="U70" s="43">
        <v>255</v>
      </c>
      <c r="V70" s="43">
        <f>H70*U70*I70/15</f>
        <v>180198.38500000004</v>
      </c>
      <c r="W70" s="43">
        <v>298.89999999999998</v>
      </c>
      <c r="X70" s="43">
        <v>225899.02</v>
      </c>
      <c r="Y70" s="43">
        <f>G70*30</f>
        <v>1290</v>
      </c>
      <c r="Z70" s="43">
        <v>7186.51</v>
      </c>
      <c r="AA70" s="43">
        <v>0</v>
      </c>
      <c r="AB70" s="43">
        <v>1076.21</v>
      </c>
      <c r="AC70" s="43">
        <v>0</v>
      </c>
      <c r="AD70" s="43">
        <f>IF(F70="",G70*4.11,F70*4.11)</f>
        <v>176.73000000000002</v>
      </c>
      <c r="AE70" s="43">
        <v>451.8</v>
      </c>
      <c r="AF70" s="43">
        <f>V70+Y70+Z70+AA70+AB70+AC70+AD70</f>
        <v>189927.83500000005</v>
      </c>
      <c r="AG70" s="43">
        <f>IFERROR(IFERROR((H70*W70*J70/15)-AE70,""),"")</f>
        <v>225448.45079999999</v>
      </c>
      <c r="AH70" s="26">
        <f>IFERROR(AG70-AF70,"")</f>
        <v>35520.615799999941</v>
      </c>
      <c r="AI70" s="6">
        <f>IF(F70="",(G70/$F$99)*$AL$21,(F70/$F$99)*$AL$21)</f>
        <v>7.504363001745201</v>
      </c>
      <c r="AJ70" s="6">
        <f>(AH70-AI70)*70%</f>
        <v>24859.178005898735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AH70/G70</f>
        <v>826.06083255813815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0.15755537762160549</v>
      </c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47"/>
      <c r="AI73" s="47"/>
      <c r="AJ73" s="47"/>
    </row>
    <row r="74" spans="1:36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47"/>
      <c r="AI74" s="47"/>
      <c r="AJ74" s="47"/>
    </row>
    <row r="75" spans="1:36" x14ac:dyDescent="0.35">
      <c r="A75" s="14" t="s">
        <v>1</v>
      </c>
      <c r="B75" s="14" t="s">
        <v>2</v>
      </c>
      <c r="C75" s="14" t="s">
        <v>110</v>
      </c>
      <c r="D75" s="14" t="s">
        <v>66</v>
      </c>
      <c r="E75" s="14"/>
      <c r="F75" s="14" t="s">
        <v>137</v>
      </c>
      <c r="G75" s="14" t="s">
        <v>138</v>
      </c>
      <c r="H75" s="14" t="s">
        <v>4</v>
      </c>
      <c r="I75" s="14" t="s">
        <v>5</v>
      </c>
      <c r="J75" s="14" t="s">
        <v>6</v>
      </c>
      <c r="K75" s="14" t="s">
        <v>7</v>
      </c>
      <c r="L75" s="14" t="s">
        <v>279</v>
      </c>
      <c r="M75" s="14" t="s">
        <v>280</v>
      </c>
      <c r="N75" s="14" t="s">
        <v>281</v>
      </c>
      <c r="O75" s="14" t="s">
        <v>282</v>
      </c>
      <c r="P75" s="14" t="s">
        <v>283</v>
      </c>
      <c r="Q75" s="14" t="s">
        <v>284</v>
      </c>
      <c r="R75" s="14" t="s">
        <v>904</v>
      </c>
      <c r="S75" s="14" t="s">
        <v>285</v>
      </c>
      <c r="T75" s="14" t="s">
        <v>289</v>
      </c>
      <c r="U75" s="14" t="s">
        <v>8</v>
      </c>
      <c r="V75" s="14" t="s">
        <v>9</v>
      </c>
      <c r="W75" s="14" t="s">
        <v>10</v>
      </c>
      <c r="X75" s="14" t="s">
        <v>100</v>
      </c>
      <c r="Y75" s="14" t="s">
        <v>106</v>
      </c>
      <c r="Z75" s="14" t="s">
        <v>12</v>
      </c>
      <c r="AA75" s="14" t="s">
        <v>258</v>
      </c>
      <c r="AB75" s="14" t="s">
        <v>13</v>
      </c>
      <c r="AC75" s="14" t="s">
        <v>74</v>
      </c>
      <c r="AD75" s="14" t="s">
        <v>21</v>
      </c>
      <c r="AE75" s="14" t="s">
        <v>14</v>
      </c>
      <c r="AF75" s="14" t="s">
        <v>15</v>
      </c>
      <c r="AG75" s="14" t="s">
        <v>16</v>
      </c>
      <c r="AH75" s="15" t="s">
        <v>17</v>
      </c>
      <c r="AI75" s="14" t="s">
        <v>679</v>
      </c>
      <c r="AJ75" s="14" t="s">
        <v>678</v>
      </c>
    </row>
    <row r="76" spans="1:36" x14ac:dyDescent="0.35">
      <c r="A76" s="133">
        <v>45030</v>
      </c>
      <c r="B76" s="21" t="s">
        <v>474</v>
      </c>
      <c r="C76" s="21" t="s">
        <v>331</v>
      </c>
      <c r="D76" s="44">
        <v>146550</v>
      </c>
      <c r="E76" s="44"/>
      <c r="F76" s="21">
        <v>14</v>
      </c>
      <c r="G76" s="21"/>
      <c r="H76" s="22">
        <v>7720</v>
      </c>
      <c r="I76" s="33">
        <v>0.55000000000000004</v>
      </c>
      <c r="J76" s="24">
        <f>IFERROR(K76/H76,"")</f>
        <v>0.48627072538860105</v>
      </c>
      <c r="K76" s="22">
        <v>3754.01</v>
      </c>
      <c r="L76" s="21"/>
      <c r="M76" s="21"/>
      <c r="N76" s="21">
        <v>10</v>
      </c>
      <c r="O76" s="21">
        <v>3</v>
      </c>
      <c r="P76" s="21">
        <v>1</v>
      </c>
      <c r="Q76" s="21"/>
      <c r="R76" s="21"/>
      <c r="S76" s="21"/>
      <c r="T76" s="21"/>
      <c r="U76" s="25">
        <v>280</v>
      </c>
      <c r="V76" s="25">
        <f>H76*U76*I76/15</f>
        <v>79258.666666666672</v>
      </c>
      <c r="W76" s="25">
        <v>300.79000000000002</v>
      </c>
      <c r="X76" s="25">
        <v>75278.429999999993</v>
      </c>
      <c r="Y76" s="25">
        <f>F76*40</f>
        <v>560</v>
      </c>
      <c r="Z76" s="25">
        <v>1961.6</v>
      </c>
      <c r="AA76" s="25">
        <v>0</v>
      </c>
      <c r="AB76" s="25">
        <v>389.91</v>
      </c>
      <c r="AC76" s="25">
        <v>0</v>
      </c>
      <c r="AD76" s="25">
        <f>IF(F76="",G76*4.11,F76*4.11)</f>
        <v>57.540000000000006</v>
      </c>
      <c r="AE76" s="25">
        <v>150.55000000000001</v>
      </c>
      <c r="AF76" s="25">
        <f>V76+Y76+Z76+AA76+AB76+AC76+AD76</f>
        <v>82227.716666666674</v>
      </c>
      <c r="AG76" s="25">
        <f>IFERROR(IFERROR((H76*W76*J76/15)-AE76,""),"")</f>
        <v>75127.361193333345</v>
      </c>
      <c r="AH76" s="26">
        <f>IFERROR(AG76-AF76,"")</f>
        <v>-7100.3554733333294</v>
      </c>
      <c r="AI76" s="6">
        <f>IF(F76="",(G76/$F$99)*$AL$21,(F76/$F$99)*$AL$21)</f>
        <v>2.4432809773123907</v>
      </c>
      <c r="AJ76" s="6">
        <f>(AH76-AI76)*70%</f>
        <v>-4971.9591280174491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AH76/F76</f>
        <v>-507.1682480952378</v>
      </c>
    </row>
    <row r="78" spans="1:36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7">
        <f>IFERROR(AH76/AG76,"")</f>
        <v>-9.4510912676158271E-2</v>
      </c>
    </row>
    <row r="79" spans="1:36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47"/>
      <c r="AI79" s="47"/>
      <c r="AJ79" s="47"/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47"/>
      <c r="AI80" s="47"/>
      <c r="AJ80" s="47"/>
    </row>
    <row r="81" spans="1:36" x14ac:dyDescent="0.35">
      <c r="A81" s="14" t="s">
        <v>1</v>
      </c>
      <c r="B81" s="14" t="s">
        <v>2</v>
      </c>
      <c r="C81" s="14" t="s">
        <v>110</v>
      </c>
      <c r="D81" s="14" t="s">
        <v>66</v>
      </c>
      <c r="E81" s="14"/>
      <c r="F81" s="14" t="s">
        <v>137</v>
      </c>
      <c r="G81" s="14" t="s">
        <v>138</v>
      </c>
      <c r="H81" s="14" t="s">
        <v>4</v>
      </c>
      <c r="I81" s="14" t="s">
        <v>5</v>
      </c>
      <c r="J81" s="14" t="s">
        <v>6</v>
      </c>
      <c r="K81" s="14" t="s">
        <v>7</v>
      </c>
      <c r="L81" s="14" t="s">
        <v>279</v>
      </c>
      <c r="M81" s="14" t="s">
        <v>280</v>
      </c>
      <c r="N81" s="14" t="s">
        <v>281</v>
      </c>
      <c r="O81" s="14" t="s">
        <v>282</v>
      </c>
      <c r="P81" s="14" t="s">
        <v>283</v>
      </c>
      <c r="Q81" s="14" t="s">
        <v>284</v>
      </c>
      <c r="R81" s="14" t="s">
        <v>904</v>
      </c>
      <c r="S81" s="14" t="s">
        <v>285</v>
      </c>
      <c r="T81" s="14" t="s">
        <v>289</v>
      </c>
      <c r="U81" s="14" t="s">
        <v>8</v>
      </c>
      <c r="V81" s="14" t="s">
        <v>9</v>
      </c>
      <c r="W81" s="14" t="s">
        <v>10</v>
      </c>
      <c r="X81" s="14" t="s">
        <v>100</v>
      </c>
      <c r="Y81" s="14" t="s">
        <v>106</v>
      </c>
      <c r="Z81" s="14" t="s">
        <v>12</v>
      </c>
      <c r="AA81" s="14" t="s">
        <v>258</v>
      </c>
      <c r="AB81" s="14" t="s">
        <v>13</v>
      </c>
      <c r="AC81" s="14" t="s">
        <v>74</v>
      </c>
      <c r="AD81" s="14" t="s">
        <v>21</v>
      </c>
      <c r="AE81" s="14" t="s">
        <v>14</v>
      </c>
      <c r="AF81" s="14" t="s">
        <v>15</v>
      </c>
      <c r="AG81" s="14" t="s">
        <v>16</v>
      </c>
      <c r="AH81" s="15" t="s">
        <v>17</v>
      </c>
      <c r="AI81" s="14" t="s">
        <v>679</v>
      </c>
      <c r="AJ81" s="14" t="s">
        <v>678</v>
      </c>
    </row>
    <row r="82" spans="1:36" x14ac:dyDescent="0.35">
      <c r="A82" s="133">
        <v>45030</v>
      </c>
      <c r="B82" s="21" t="s">
        <v>474</v>
      </c>
      <c r="C82" s="21" t="s">
        <v>331</v>
      </c>
      <c r="D82" s="44">
        <v>146550</v>
      </c>
      <c r="E82" s="44"/>
      <c r="F82" s="21">
        <v>28</v>
      </c>
      <c r="G82" s="21"/>
      <c r="H82" s="22">
        <v>12400</v>
      </c>
      <c r="I82" s="33">
        <v>0.52</v>
      </c>
      <c r="J82" s="24">
        <f>IFERROR(K82/H82,"")</f>
        <v>0.60548548387096779</v>
      </c>
      <c r="K82" s="22">
        <v>7508.02</v>
      </c>
      <c r="L82" s="21">
        <v>16</v>
      </c>
      <c r="M82" s="21">
        <v>12</v>
      </c>
      <c r="N82" s="21"/>
      <c r="O82" s="21"/>
      <c r="P82" s="21"/>
      <c r="Q82" s="21"/>
      <c r="R82" s="21"/>
      <c r="S82" s="21"/>
      <c r="T82" s="21"/>
      <c r="U82" s="25">
        <v>275</v>
      </c>
      <c r="V82" s="25">
        <f>H82*U82*I82/15</f>
        <v>118213.33333333333</v>
      </c>
      <c r="W82" s="25">
        <v>300.79000000000002</v>
      </c>
      <c r="X82" s="25">
        <v>150556.87</v>
      </c>
      <c r="Y82" s="25">
        <f>F82*30</f>
        <v>840</v>
      </c>
      <c r="Z82" s="25">
        <v>3923.21</v>
      </c>
      <c r="AA82" s="25">
        <v>0</v>
      </c>
      <c r="AB82" s="25">
        <v>779.82</v>
      </c>
      <c r="AC82" s="25">
        <f>G82*30</f>
        <v>0</v>
      </c>
      <c r="AD82" s="25">
        <f>IF(F82="",G82*4.11,F82*4.11)</f>
        <v>115.08000000000001</v>
      </c>
      <c r="AE82" s="25">
        <v>301.11</v>
      </c>
      <c r="AF82" s="25">
        <f>V82+Y82+Z82+AA82+AB82+AC82+AD82</f>
        <v>123871.44333333334</v>
      </c>
      <c r="AG82" s="25">
        <f>IFERROR(IFERROR((H82*W82*J82/15)-AE82,""),"")</f>
        <v>150254.71238666671</v>
      </c>
      <c r="AH82" s="26">
        <f>IFERROR(AG82-AF82,"")</f>
        <v>26383.269053333366</v>
      </c>
      <c r="AI82" s="6">
        <f>IF(F82="",(G82/$F$99)*$AL$21,(F82/$F$99)*$AL$21)</f>
        <v>4.8865619546247814</v>
      </c>
      <c r="AJ82" s="6">
        <f>(AH82-AI82)*70%</f>
        <v>18464.867743965118</v>
      </c>
    </row>
    <row r="83" spans="1:36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3"/>
      <c r="AA83" s="21"/>
      <c r="AB83" s="21"/>
      <c r="AC83" s="21"/>
      <c r="AD83" s="21"/>
      <c r="AE83" s="21"/>
      <c r="AF83" s="21"/>
      <c r="AG83" s="21"/>
      <c r="AH83" s="26">
        <f>AH82/F82</f>
        <v>942.25960904762019</v>
      </c>
    </row>
    <row r="84" spans="1:36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7">
        <f>IFERROR(AH82/AG82,"")</f>
        <v>0.17559029353727321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47"/>
      <c r="AI85" s="47"/>
      <c r="AJ85" s="47"/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47"/>
      <c r="AI86" s="47"/>
      <c r="AJ86" s="47"/>
    </row>
    <row r="87" spans="1:36" x14ac:dyDescent="0.35">
      <c r="A87" s="14" t="s">
        <v>1</v>
      </c>
      <c r="B87" s="14" t="s">
        <v>2</v>
      </c>
      <c r="C87" s="14" t="s">
        <v>110</v>
      </c>
      <c r="D87" s="14" t="s">
        <v>66</v>
      </c>
      <c r="E87" s="14"/>
      <c r="F87" s="14" t="s">
        <v>137</v>
      </c>
      <c r="G87" s="14" t="s">
        <v>138</v>
      </c>
      <c r="H87" s="14" t="s">
        <v>4</v>
      </c>
      <c r="I87" s="14" t="s">
        <v>5</v>
      </c>
      <c r="J87" s="14" t="s">
        <v>6</v>
      </c>
      <c r="K87" s="14" t="s">
        <v>7</v>
      </c>
      <c r="L87" s="14" t="s">
        <v>279</v>
      </c>
      <c r="M87" s="14" t="s">
        <v>280</v>
      </c>
      <c r="N87" s="14" t="s">
        <v>281</v>
      </c>
      <c r="O87" s="14" t="s">
        <v>282</v>
      </c>
      <c r="P87" s="14" t="s">
        <v>283</v>
      </c>
      <c r="Q87" s="14" t="s">
        <v>284</v>
      </c>
      <c r="R87" s="14" t="s">
        <v>904</v>
      </c>
      <c r="S87" s="14" t="s">
        <v>285</v>
      </c>
      <c r="T87" s="14" t="s">
        <v>289</v>
      </c>
      <c r="U87" s="14" t="s">
        <v>8</v>
      </c>
      <c r="V87" s="14" t="s">
        <v>9</v>
      </c>
      <c r="W87" s="14" t="s">
        <v>10</v>
      </c>
      <c r="X87" s="14" t="s">
        <v>100</v>
      </c>
      <c r="Y87" s="14" t="s">
        <v>106</v>
      </c>
      <c r="Z87" s="14" t="s">
        <v>12</v>
      </c>
      <c r="AA87" s="14" t="s">
        <v>258</v>
      </c>
      <c r="AB87" s="14" t="s">
        <v>13</v>
      </c>
      <c r="AC87" s="14" t="s">
        <v>74</v>
      </c>
      <c r="AD87" s="14" t="s">
        <v>21</v>
      </c>
      <c r="AE87" s="14" t="s">
        <v>14</v>
      </c>
      <c r="AF87" s="14" t="s">
        <v>15</v>
      </c>
      <c r="AG87" s="14" t="s">
        <v>16</v>
      </c>
      <c r="AH87" s="15" t="s">
        <v>17</v>
      </c>
      <c r="AI87" s="14" t="s">
        <v>679</v>
      </c>
      <c r="AJ87" s="14" t="s">
        <v>678</v>
      </c>
    </row>
    <row r="88" spans="1:36" x14ac:dyDescent="0.35">
      <c r="A88" s="133">
        <v>45030</v>
      </c>
      <c r="B88" s="21" t="s">
        <v>474</v>
      </c>
      <c r="C88" s="21" t="s">
        <v>331</v>
      </c>
      <c r="D88" s="44">
        <v>146550</v>
      </c>
      <c r="E88" s="44"/>
      <c r="F88" s="21">
        <v>23</v>
      </c>
      <c r="G88" s="21"/>
      <c r="H88" s="22">
        <v>11810</v>
      </c>
      <c r="I88" s="33">
        <v>0.54</v>
      </c>
      <c r="J88" s="24">
        <f>IFERROR(K88/H88,"")</f>
        <v>0.5222099915325995</v>
      </c>
      <c r="K88" s="22">
        <v>6167.3</v>
      </c>
      <c r="L88" s="21"/>
      <c r="M88" s="21">
        <v>23</v>
      </c>
      <c r="N88" s="21"/>
      <c r="O88" s="21"/>
      <c r="P88" s="21"/>
      <c r="Q88" s="21"/>
      <c r="R88" s="21"/>
      <c r="S88" s="21"/>
      <c r="T88" s="21"/>
      <c r="U88" s="25">
        <v>280</v>
      </c>
      <c r="V88" s="25">
        <f>H88*U88*I88/15</f>
        <v>119044.80000000002</v>
      </c>
      <c r="W88" s="25">
        <v>300.79000000000002</v>
      </c>
      <c r="X88" s="25">
        <v>123671.71</v>
      </c>
      <c r="Y88" s="25">
        <f>F88*40</f>
        <v>920</v>
      </c>
      <c r="Z88" s="25">
        <v>3222.64</v>
      </c>
      <c r="AA88" s="25">
        <v>0</v>
      </c>
      <c r="AB88" s="25">
        <v>640.57000000000005</v>
      </c>
      <c r="AC88" s="25">
        <f>F88*30</f>
        <v>690</v>
      </c>
      <c r="AD88" s="25">
        <f>IF(F88="",G88*4.11,F88*4.11)</f>
        <v>94.53</v>
      </c>
      <c r="AE88" s="25">
        <v>247.34</v>
      </c>
      <c r="AF88" s="25">
        <f>V88+Y88+Z88+AA88+AB88+AC88+AD88</f>
        <v>124612.54000000002</v>
      </c>
      <c r="AG88" s="25">
        <f>IFERROR(IFERROR((H88*W88*J88/15)-AE88,""),"")</f>
        <v>123423.47113333334</v>
      </c>
      <c r="AH88" s="26">
        <f>IFERROR(AG88-AF88,"")</f>
        <v>-1189.0688666666829</v>
      </c>
      <c r="AI88" s="6">
        <f>IF(F88="",(G88/$F$99)*$AL$21,(F88/$F$99)*$AL$21)</f>
        <v>4.0139616055846421</v>
      </c>
      <c r="AJ88" s="6">
        <f>(AH88-AI88)*70%</f>
        <v>-835.15797979058721</v>
      </c>
    </row>
    <row r="89" spans="1:36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3"/>
      <c r="AA89" s="21"/>
      <c r="AB89" s="21"/>
      <c r="AC89" s="21"/>
      <c r="AD89" s="21"/>
      <c r="AE89" s="21"/>
      <c r="AF89" s="21"/>
      <c r="AG89" s="21"/>
      <c r="AH89" s="26">
        <f>AH88/F88</f>
        <v>-51.698646376812299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7">
        <f>IFERROR(AH88/AG88,"")</f>
        <v>-9.6340578963472982E-3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47"/>
      <c r="AI91" s="47"/>
      <c r="AJ91" s="47"/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/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133">
        <v>45030</v>
      </c>
      <c r="B94" s="21" t="s">
        <v>474</v>
      </c>
      <c r="C94" s="21" t="s">
        <v>331</v>
      </c>
      <c r="D94" s="44">
        <v>146550</v>
      </c>
      <c r="E94" s="44"/>
      <c r="F94" s="21">
        <v>29</v>
      </c>
      <c r="G94" s="21"/>
      <c r="H94" s="22">
        <v>14020</v>
      </c>
      <c r="I94" s="33">
        <v>0.53</v>
      </c>
      <c r="J94" s="24">
        <f>IFERROR(K94/H94,"")</f>
        <v>0.5546476462196861</v>
      </c>
      <c r="K94" s="22">
        <v>7776.16</v>
      </c>
      <c r="L94" s="21"/>
      <c r="M94" s="21">
        <v>26</v>
      </c>
      <c r="N94" s="21">
        <v>3</v>
      </c>
      <c r="O94" s="21"/>
      <c r="P94" s="21"/>
      <c r="Q94" s="21"/>
      <c r="R94" s="21"/>
      <c r="S94" s="21"/>
      <c r="T94" s="21"/>
      <c r="U94" s="25">
        <v>280</v>
      </c>
      <c r="V94" s="25">
        <f>H94*U94*I94/15</f>
        <v>138704.53333333333</v>
      </c>
      <c r="W94" s="25">
        <v>300.79000000000002</v>
      </c>
      <c r="X94" s="25">
        <v>155933.9</v>
      </c>
      <c r="Y94" s="25">
        <f>F94*60</f>
        <v>1740</v>
      </c>
      <c r="Z94" s="25">
        <v>4063.33</v>
      </c>
      <c r="AA94" s="25">
        <v>0</v>
      </c>
      <c r="AB94" s="25">
        <v>807.68</v>
      </c>
      <c r="AC94" s="25">
        <f>G94*30</f>
        <v>0</v>
      </c>
      <c r="AD94" s="25">
        <f>IF(F94="",G94*4.11,F94*4.11)</f>
        <v>119.19000000000001</v>
      </c>
      <c r="AE94" s="25">
        <v>311.87</v>
      </c>
      <c r="AF94" s="25">
        <f>V94+Y94+Z94+AA94+AB94+AC94+AD94</f>
        <v>145434.73333333331</v>
      </c>
      <c r="AG94" s="25">
        <f>IFERROR(IFERROR((H94*W94*J94/15)-AE94,""),"")</f>
        <v>155620.87442666668</v>
      </c>
      <c r="AH94" s="26">
        <f>IFERROR(AG94-AF94,"")</f>
        <v>10186.141093333368</v>
      </c>
      <c r="AI94" s="6">
        <f>IF(F94="",(G94/$F$99)*$AL$21,(F94/$F$99)*$AL$21)</f>
        <v>5.0610820244328103</v>
      </c>
      <c r="AJ94" s="6">
        <f>(AH94-AI94)*70%</f>
        <v>7126.756007916254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AH94/F94</f>
        <v>351.24624459770234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6.5454850648158966E-2</v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47"/>
      <c r="AJ97" s="47"/>
    </row>
    <row r="98" spans="1:36" ht="15" thickBot="1" x14ac:dyDescent="0.4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47"/>
      <c r="AI98" s="47"/>
      <c r="AJ98" s="47"/>
    </row>
    <row r="99" spans="1:36" ht="16" thickBot="1" x14ac:dyDescent="0.4">
      <c r="A99" s="377" t="s">
        <v>488</v>
      </c>
      <c r="B99" s="378"/>
      <c r="C99" s="378"/>
      <c r="D99" s="378"/>
      <c r="E99" s="378"/>
      <c r="F99" s="30">
        <f>SUM(F4:G94)</f>
        <v>573</v>
      </c>
      <c r="G99" s="30"/>
      <c r="H99" s="30"/>
      <c r="I99" s="30"/>
      <c r="J99" s="30"/>
      <c r="K99" s="30"/>
      <c r="L99" s="46"/>
      <c r="M99" s="46"/>
      <c r="N99" s="46"/>
      <c r="O99" s="46"/>
      <c r="P99" s="46"/>
      <c r="Q99" s="46"/>
      <c r="R99" s="46"/>
      <c r="S99" s="46"/>
      <c r="T99" s="46"/>
      <c r="U99" s="30"/>
      <c r="V99" s="31">
        <f>V4+V10+V16+V22+V28+V34+V40+V46+V52+V58+V64+V70+V76+V82+V88+V94</f>
        <v>2564198.4316666662</v>
      </c>
      <c r="W99" s="30"/>
      <c r="X99" s="30"/>
      <c r="Y99" s="31">
        <f>Y4+Y10+Y16+Y22+Y28+Y34+Y40+Y46+Y52+Y58+Y64+Y70+Y76+Y82+Y88+Y94</f>
        <v>22790</v>
      </c>
      <c r="Z99" s="31">
        <f>Z4+Z10+Z16+Z22+Z28+Z34+Z40+Z46+Z52+Z58+Z64+Z70+Z76+Z82+Z88+Z94</f>
        <v>86074.040000000023</v>
      </c>
      <c r="AA99" s="31">
        <f>AA4+AA10+AA16+AA22+AA28+AA34+AA40+AA46+AA52+AA58+AA64+AA70+AA76+AA82+AA88+AA94</f>
        <v>0</v>
      </c>
      <c r="AB99" s="31">
        <f>AB4+AB10+AB16+AB16+AB22+AB28+AB34+AB40+AB46+AB52+AB58+AB64+AB70+AB76+AB82+AB88+AB94</f>
        <v>16761.939999999999</v>
      </c>
      <c r="AC99" s="31">
        <f t="shared" ref="AC99:AJ99" si="0">AC4+AC10+AC16+AC22+AC28+AC34+AC40+AC46+AC52+AC58+AC64+AC70+AC76+AC82+AC88+AC94</f>
        <v>690</v>
      </c>
      <c r="AD99" s="31">
        <f t="shared" si="0"/>
        <v>2355.0300000000002</v>
      </c>
      <c r="AE99" s="31">
        <f t="shared" si="0"/>
        <v>5892.52</v>
      </c>
      <c r="AF99" s="31">
        <f t="shared" si="0"/>
        <v>2691519.4416666669</v>
      </c>
      <c r="AG99" s="31">
        <f t="shared" si="0"/>
        <v>2940376.8221866665</v>
      </c>
      <c r="AH99" s="31">
        <f t="shared" si="0"/>
        <v>248857.38052000001</v>
      </c>
      <c r="AI99" s="31">
        <f t="shared" si="0"/>
        <v>100</v>
      </c>
      <c r="AJ99" s="31">
        <f t="shared" si="0"/>
        <v>174130.16636400003</v>
      </c>
    </row>
  </sheetData>
  <mergeCells count="2">
    <mergeCell ref="U2:AC2"/>
    <mergeCell ref="A99:E9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7"/>
  <dimension ref="A1:AO56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bestFit="1" customWidth="1"/>
    <col min="39" max="39" width="15.7265625" customWidth="1"/>
  </cols>
  <sheetData>
    <row r="1" spans="1:41" ht="15" thickBot="1" x14ac:dyDescent="0.4"/>
    <row r="2" spans="1:41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AF51</f>
        <v>5632640.9491666667</v>
      </c>
      <c r="AM3" s="164">
        <f>AH51-AI51</f>
        <v>323203.36950666649</v>
      </c>
    </row>
    <row r="4" spans="1:41" x14ac:dyDescent="0.35">
      <c r="A4" s="133">
        <v>45031</v>
      </c>
      <c r="B4" s="21" t="s">
        <v>474</v>
      </c>
      <c r="C4" s="21" t="s">
        <v>125</v>
      </c>
      <c r="D4" s="44">
        <v>146511</v>
      </c>
      <c r="E4" s="44"/>
      <c r="F4" s="21"/>
      <c r="G4" s="21">
        <v>64</v>
      </c>
      <c r="H4" s="22">
        <v>22870</v>
      </c>
      <c r="I4" s="33">
        <v>0.5</v>
      </c>
      <c r="J4" s="24">
        <f>IFERROR(K4/H4,"")</f>
        <v>0.4838871884564932</v>
      </c>
      <c r="K4" s="22">
        <v>11066.5</v>
      </c>
      <c r="L4" s="21">
        <v>14</v>
      </c>
      <c r="M4" s="21">
        <v>45</v>
      </c>
      <c r="N4" s="21">
        <v>5</v>
      </c>
      <c r="O4" s="21"/>
      <c r="P4" s="21"/>
      <c r="Q4" s="21"/>
      <c r="R4" s="21"/>
      <c r="S4" s="21"/>
      <c r="T4" s="21"/>
      <c r="U4" s="25">
        <v>240</v>
      </c>
      <c r="V4" s="25">
        <f>H4*U4*I4/15</f>
        <v>182960</v>
      </c>
      <c r="W4" s="25">
        <v>295.77</v>
      </c>
      <c r="X4" s="25">
        <v>218209.4</v>
      </c>
      <c r="Y4" s="25">
        <f>G4*40</f>
        <v>2560</v>
      </c>
      <c r="Z4" s="25">
        <v>11183.2</v>
      </c>
      <c r="AA4" s="25">
        <v>0</v>
      </c>
      <c r="AB4" s="25">
        <v>1536</v>
      </c>
      <c r="AC4" s="25">
        <v>0</v>
      </c>
      <c r="AD4" s="25">
        <f>G4*4.11</f>
        <v>263.04000000000002</v>
      </c>
      <c r="AE4" s="25">
        <v>436.41</v>
      </c>
      <c r="AF4" s="25">
        <f>V4+Y4+Z4+AA4+AB4+AC4+AD4</f>
        <v>198502.24000000002</v>
      </c>
      <c r="AG4" s="25">
        <f>IFERROR(IFERROR((H4*W4*J4/15)-AE4,""),"")</f>
        <v>217772.83699999997</v>
      </c>
      <c r="AH4" s="26">
        <f>IFERROR(AG4-AF4,"")</f>
        <v>19270.596999999951</v>
      </c>
      <c r="AI4" s="6">
        <f>IF(F4="",(G4/$F$51)*$AL$21,(F4/$F$51)*$AL$21)</f>
        <v>83.299481865284974</v>
      </c>
      <c r="AJ4" s="6">
        <f>(AH4-AI4)*70%</f>
        <v>13431.108262694266</v>
      </c>
      <c r="AL4" s="166" t="s">
        <v>749</v>
      </c>
      <c r="AM4" s="167">
        <f>AM3/AL3</f>
        <v>5.738043174125692E-2</v>
      </c>
    </row>
    <row r="5" spans="1:41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IFERROR(AH4/G4,"")</f>
        <v>301.10307812499923</v>
      </c>
      <c r="AM5" s="63"/>
    </row>
    <row r="6" spans="1:41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8.8489442785740779E-2</v>
      </c>
      <c r="AM6" s="63"/>
    </row>
    <row r="7" spans="1:41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1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1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F4+G4+F10+G10+F16+G16+F22+G22+F28+G28+F34+G34+F40+G40+F46+G46</f>
        <v>965</v>
      </c>
      <c r="AM9" s="50" t="s">
        <v>22</v>
      </c>
      <c r="AN9" t="s">
        <v>72</v>
      </c>
    </row>
    <row r="10" spans="1:41" x14ac:dyDescent="0.35">
      <c r="A10" s="20">
        <v>45031</v>
      </c>
      <c r="B10" s="21" t="s">
        <v>474</v>
      </c>
      <c r="C10" s="21" t="s">
        <v>492</v>
      </c>
      <c r="D10" s="44">
        <v>1724</v>
      </c>
      <c r="E10" s="44"/>
      <c r="F10" s="21">
        <v>200</v>
      </c>
      <c r="G10" s="21"/>
      <c r="H10" s="22">
        <v>118220</v>
      </c>
      <c r="I10" s="33">
        <v>0.55000000000000004</v>
      </c>
      <c r="J10" s="24">
        <f>IFERROR(K10/H10,"")</f>
        <v>0.56157249196413472</v>
      </c>
      <c r="K10" s="22">
        <v>66389.100000000006</v>
      </c>
      <c r="L10" s="21">
        <v>12</v>
      </c>
      <c r="M10" s="21">
        <v>117</v>
      </c>
      <c r="N10" s="21">
        <v>71</v>
      </c>
      <c r="O10" s="21"/>
      <c r="P10" s="21"/>
      <c r="Q10" s="21"/>
      <c r="R10" s="21"/>
      <c r="S10" s="21"/>
      <c r="T10" s="21"/>
      <c r="U10" s="25">
        <v>275</v>
      </c>
      <c r="V10" s="25">
        <f>H10*U10*I10/15</f>
        <v>1192051.6666666667</v>
      </c>
      <c r="W10" s="25">
        <v>297.52999999999997</v>
      </c>
      <c r="X10" s="25">
        <v>1316849.9099999999</v>
      </c>
      <c r="Y10" s="25">
        <f>F10*40</f>
        <v>8000</v>
      </c>
      <c r="Z10" s="25">
        <v>33891.199999999997</v>
      </c>
      <c r="AA10" s="25">
        <v>0</v>
      </c>
      <c r="AB10" s="25">
        <v>5500</v>
      </c>
      <c r="AC10" s="25">
        <v>0</v>
      </c>
      <c r="AD10" s="25">
        <f>IF(F10="",G10*4.11,F10*4.11)</f>
        <v>822.00000000000011</v>
      </c>
      <c r="AE10" s="25">
        <v>2633.7</v>
      </c>
      <c r="AF10" s="25">
        <f>V10+Y10+Z10+AA10+AB10+AC10+AD10</f>
        <v>1240264.8666666667</v>
      </c>
      <c r="AG10" s="25">
        <f>IFERROR(IFERROR((H10*W10*J10/15)-AE10,""),"")</f>
        <v>1314216.2282</v>
      </c>
      <c r="AH10" s="26">
        <f>IFERROR(AG10-AF10,"")</f>
        <v>73951.361533333315</v>
      </c>
      <c r="AI10" s="6">
        <f>IF(F10="",(G10/$F$51)*$AL$21,(F10/$F$51)*$AL$21)</f>
        <v>260.3108808290155</v>
      </c>
      <c r="AJ10" s="6">
        <f>(AH10-AI10)*70%</f>
        <v>51583.735456753006</v>
      </c>
      <c r="AL10" s="11">
        <f>AH4+AH10+AH16+AH22+AH28+AH34+AH40+AH46</f>
        <v>324459.36950666649</v>
      </c>
      <c r="AM10" s="11">
        <f>AL10*30%</f>
        <v>97337.810851999951</v>
      </c>
    </row>
    <row r="11" spans="1:41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369.75680766666659</v>
      </c>
      <c r="AL11" s="11"/>
      <c r="AM11" s="11"/>
    </row>
    <row r="12" spans="1:4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5.6270315300108474E-2</v>
      </c>
    </row>
    <row r="13" spans="1:41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1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80" t="s">
        <v>187</v>
      </c>
      <c r="AM14" s="211" t="s">
        <v>680</v>
      </c>
      <c r="AN14" s="190"/>
      <c r="AO14" s="191"/>
    </row>
    <row r="15" spans="1:41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178">
        <v>650</v>
      </c>
      <c r="AM15" t="s">
        <v>494</v>
      </c>
      <c r="AO15" s="174"/>
    </row>
    <row r="16" spans="1:41" x14ac:dyDescent="0.35">
      <c r="A16" s="133">
        <v>45031</v>
      </c>
      <c r="B16" s="21" t="s">
        <v>474</v>
      </c>
      <c r="C16" s="21" t="s">
        <v>492</v>
      </c>
      <c r="D16" s="44">
        <v>146510</v>
      </c>
      <c r="E16" s="44"/>
      <c r="F16" s="21">
        <v>100</v>
      </c>
      <c r="G16" s="21"/>
      <c r="H16" s="22">
        <v>60560</v>
      </c>
      <c r="I16" s="33">
        <v>0.55000000000000004</v>
      </c>
      <c r="J16" s="24">
        <f>IFERROR(K16/H16,"")</f>
        <v>0.57282034346103039</v>
      </c>
      <c r="K16" s="22">
        <v>34690</v>
      </c>
      <c r="L16" s="21">
        <v>1</v>
      </c>
      <c r="M16" s="21">
        <v>24</v>
      </c>
      <c r="N16" s="21">
        <v>52</v>
      </c>
      <c r="O16" s="21">
        <v>23</v>
      </c>
      <c r="P16" s="21"/>
      <c r="Q16" s="21"/>
      <c r="R16" s="21"/>
      <c r="S16" s="21"/>
      <c r="T16" s="21"/>
      <c r="U16" s="25">
        <v>275</v>
      </c>
      <c r="V16" s="25">
        <f>H16*U16*I16/15</f>
        <v>610646.66666666663</v>
      </c>
      <c r="W16" s="25">
        <v>296.76</v>
      </c>
      <c r="X16" s="25">
        <v>686296.01</v>
      </c>
      <c r="Y16" s="25">
        <f>F16*40</f>
        <v>4000</v>
      </c>
      <c r="Z16" s="25">
        <v>16741.2</v>
      </c>
      <c r="AA16" s="25">
        <v>0</v>
      </c>
      <c r="AB16" s="25">
        <v>2750</v>
      </c>
      <c r="AC16" s="25">
        <v>0</v>
      </c>
      <c r="AD16" s="25">
        <f>IF(F16="",G16*4.11,F16*4.11)</f>
        <v>411.00000000000006</v>
      </c>
      <c r="AE16" s="25">
        <v>1372.6</v>
      </c>
      <c r="AF16" s="25">
        <f>V16+Y16+Z16+AA16+AB16+AC16+AD16</f>
        <v>634548.86666666658</v>
      </c>
      <c r="AG16" s="25">
        <f>IFERROR(IFERROR((H16*W16*J16/15)-AE16,""),"")</f>
        <v>684934.35999999987</v>
      </c>
      <c r="AH16" s="26">
        <f>IFERROR(AG16-AF16,"")</f>
        <v>50385.493333333288</v>
      </c>
      <c r="AI16" s="6">
        <f>IF(F16="",(G16/$F$51)*$AL$21,(F16/$F$51)*$AL$21)</f>
        <v>130.15544041450775</v>
      </c>
      <c r="AJ16" s="6">
        <f>(AH16-AI16)*70%</f>
        <v>35178.736525043147</v>
      </c>
      <c r="AL16" s="178">
        <v>606</v>
      </c>
      <c r="AM16" s="6" t="s">
        <v>494</v>
      </c>
      <c r="AO16" s="174"/>
    </row>
    <row r="17" spans="1:4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503.85493333333289</v>
      </c>
      <c r="AL17" s="178">
        <v>0</v>
      </c>
      <c r="AO17" s="174"/>
    </row>
    <row r="18" spans="1:41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7.3562513834658991E-2</v>
      </c>
      <c r="AL18" s="178">
        <v>0</v>
      </c>
      <c r="AO18" s="174"/>
    </row>
    <row r="19" spans="1:41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205">
        <v>0</v>
      </c>
      <c r="AO19" s="174"/>
    </row>
    <row r="20" spans="1:4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78"/>
      <c r="AO20" s="174"/>
    </row>
    <row r="21" spans="1:41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214">
        <f>SUM(AL15:AL20)</f>
        <v>1256</v>
      </c>
      <c r="AM21" s="211" t="s">
        <v>682</v>
      </c>
      <c r="AN21" s="190"/>
      <c r="AO21" s="191"/>
    </row>
    <row r="22" spans="1:41" x14ac:dyDescent="0.35">
      <c r="A22" s="133">
        <v>45033</v>
      </c>
      <c r="B22" s="21" t="s">
        <v>493</v>
      </c>
      <c r="C22" s="21" t="s">
        <v>492</v>
      </c>
      <c r="D22" s="44">
        <v>146509</v>
      </c>
      <c r="E22" s="44"/>
      <c r="F22" s="98">
        <v>200</v>
      </c>
      <c r="G22" s="21"/>
      <c r="H22" s="22">
        <v>114328.35</v>
      </c>
      <c r="I22" s="33">
        <v>0.55000000000000004</v>
      </c>
      <c r="J22" s="24">
        <f>IFERROR(K22/H22,"")</f>
        <v>0.5632898576774702</v>
      </c>
      <c r="K22" s="22">
        <v>64400</v>
      </c>
      <c r="L22" s="21">
        <v>8</v>
      </c>
      <c r="M22" s="21">
        <v>111</v>
      </c>
      <c r="N22" s="21">
        <v>67</v>
      </c>
      <c r="O22" s="21">
        <v>14</v>
      </c>
      <c r="P22" s="21"/>
      <c r="Q22" s="21"/>
      <c r="R22" s="21"/>
      <c r="S22" s="21"/>
      <c r="T22" s="21"/>
      <c r="U22" s="25">
        <v>275</v>
      </c>
      <c r="V22" s="25">
        <f>H22*U22*I22/15</f>
        <v>1152810.8625</v>
      </c>
      <c r="W22" s="25">
        <v>298.68</v>
      </c>
      <c r="X22" s="25">
        <v>1282345.8500000001</v>
      </c>
      <c r="Y22" s="25">
        <f>F22*40</f>
        <v>8000</v>
      </c>
      <c r="Z22" s="25">
        <v>34075.599999999999</v>
      </c>
      <c r="AA22" s="25">
        <v>0</v>
      </c>
      <c r="AB22" s="25">
        <v>5500</v>
      </c>
      <c r="AC22" s="25">
        <v>0</v>
      </c>
      <c r="AD22" s="25">
        <f>IF(F22="",G22*4.11,F22*4.11)</f>
        <v>822.00000000000011</v>
      </c>
      <c r="AE22" s="25">
        <v>2564.69</v>
      </c>
      <c r="AF22" s="25">
        <f>V22+Y22+Z22+AA22+AB22+AC22+AD22</f>
        <v>1201208.4625000001</v>
      </c>
      <c r="AG22" s="25">
        <f>IFERROR(IFERROR((H22*W22*J22/15)-AE22,""),"")</f>
        <v>1279768.1100000001</v>
      </c>
      <c r="AH22" s="26">
        <f>IFERROR(AG22-AF22,"")</f>
        <v>78559.647499999963</v>
      </c>
      <c r="AI22" s="6">
        <f>IF(F22="",(G22/$F$51)*$AL$21,(F22/$F$51)*$AL$21)</f>
        <v>260.3108808290155</v>
      </c>
      <c r="AJ22" s="6">
        <f>(AH22-AI22)*70%</f>
        <v>54809.535633419662</v>
      </c>
    </row>
    <row r="23" spans="1:41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392.7982374999998</v>
      </c>
      <c r="AL23" s="95">
        <f>AL10-AL21</f>
        <v>323203.36950666649</v>
      </c>
      <c r="AM23" s="11" t="s">
        <v>471</v>
      </c>
    </row>
    <row r="24" spans="1:41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6.1385845518529103E-2</v>
      </c>
      <c r="AL24" s="135">
        <f>AL23*30%</f>
        <v>96961.010851999948</v>
      </c>
      <c r="AM24" s="13" t="s">
        <v>499</v>
      </c>
    </row>
    <row r="25" spans="1:4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</row>
    <row r="26" spans="1:4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</row>
    <row r="27" spans="1:41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</row>
    <row r="28" spans="1:41" x14ac:dyDescent="0.35">
      <c r="A28" s="133">
        <v>45033</v>
      </c>
      <c r="B28" s="21" t="s">
        <v>474</v>
      </c>
      <c r="C28" s="21" t="s">
        <v>492</v>
      </c>
      <c r="D28" s="44">
        <v>146508</v>
      </c>
      <c r="E28" s="44"/>
      <c r="F28" s="21">
        <v>200</v>
      </c>
      <c r="G28" s="21"/>
      <c r="H28" s="22">
        <v>113840</v>
      </c>
      <c r="I28" s="33">
        <v>0.55000000000000004</v>
      </c>
      <c r="J28" s="24">
        <f>IFERROR(K28/H28,"")</f>
        <v>0.55685637737174987</v>
      </c>
      <c r="K28" s="22">
        <v>63392.53</v>
      </c>
      <c r="L28" s="21">
        <v>6</v>
      </c>
      <c r="M28" s="21">
        <v>79</v>
      </c>
      <c r="N28" s="21">
        <v>93</v>
      </c>
      <c r="O28" s="21">
        <v>22</v>
      </c>
      <c r="P28" s="21"/>
      <c r="Q28" s="21"/>
      <c r="R28" s="21"/>
      <c r="S28" s="21"/>
      <c r="T28" s="21"/>
      <c r="U28" s="25">
        <v>275</v>
      </c>
      <c r="V28" s="25">
        <f>H28*U28*I28/15</f>
        <v>1147886.6666666667</v>
      </c>
      <c r="W28" s="25">
        <v>297.79000000000002</v>
      </c>
      <c r="X28" s="25">
        <v>1258521.97</v>
      </c>
      <c r="Y28" s="25">
        <f>F28*40</f>
        <v>8000</v>
      </c>
      <c r="Z28" s="25">
        <v>42388.6</v>
      </c>
      <c r="AA28" s="25">
        <v>0</v>
      </c>
      <c r="AB28" s="25">
        <v>5500</v>
      </c>
      <c r="AC28" s="25">
        <v>0</v>
      </c>
      <c r="AD28" s="25">
        <f>IF(F28="",G28*4.11,F28*4.11)</f>
        <v>822.00000000000011</v>
      </c>
      <c r="AE28" s="25">
        <v>2517.04</v>
      </c>
      <c r="AF28" s="25">
        <f>V28+Y28+Z28+AA28+AB28+AC28+AD28</f>
        <v>1204597.2666666668</v>
      </c>
      <c r="AG28" s="25">
        <f>IFERROR(IFERROR((H28*W28*J28/15)-AE28,""),"")</f>
        <v>1255993.7272466668</v>
      </c>
      <c r="AH28" s="26">
        <f>IFERROR(AG28-AF28,"")</f>
        <v>51396.460579999955</v>
      </c>
      <c r="AI28" s="6">
        <f>IF(F28="",(G28/$F$51)*$AL$21,(F28/$F$51)*$AL$21)</f>
        <v>260.3108808290155</v>
      </c>
      <c r="AJ28" s="6">
        <f>(AH28-AI28)*70%</f>
        <v>35795.304789419657</v>
      </c>
    </row>
    <row r="29" spans="1:41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256.98230289999975</v>
      </c>
    </row>
    <row r="30" spans="1:4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4.092095323809377E-2</v>
      </c>
    </row>
    <row r="31" spans="1:4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7"/>
    </row>
    <row r="32" spans="1:4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6" x14ac:dyDescent="0.35">
      <c r="A34" s="133">
        <v>45034</v>
      </c>
      <c r="B34" s="21" t="s">
        <v>474</v>
      </c>
      <c r="C34" s="21" t="s">
        <v>492</v>
      </c>
      <c r="D34" s="44">
        <v>146961</v>
      </c>
      <c r="E34" s="44"/>
      <c r="F34" s="21">
        <v>100</v>
      </c>
      <c r="G34" s="21"/>
      <c r="H34" s="22">
        <v>56640</v>
      </c>
      <c r="I34" s="33">
        <v>0.55000000000000004</v>
      </c>
      <c r="J34" s="24">
        <f>IFERROR(K34/H34,"")</f>
        <v>0.56056673728813555</v>
      </c>
      <c r="K34" s="22">
        <v>31750.5</v>
      </c>
      <c r="L34" s="21">
        <v>2</v>
      </c>
      <c r="M34" s="21">
        <v>43</v>
      </c>
      <c r="N34" s="21">
        <v>47</v>
      </c>
      <c r="O34" s="21">
        <v>8</v>
      </c>
      <c r="P34" s="21"/>
      <c r="Q34" s="21"/>
      <c r="R34" s="21"/>
      <c r="S34" s="21"/>
      <c r="T34" s="21"/>
      <c r="U34" s="25">
        <v>275</v>
      </c>
      <c r="V34" s="25">
        <f>H34*U34*I34/15</f>
        <v>571120</v>
      </c>
      <c r="W34" s="25">
        <v>295.95</v>
      </c>
      <c r="X34" s="25">
        <v>626432.26</v>
      </c>
      <c r="Y34" s="25">
        <f>F34*40</f>
        <v>4000</v>
      </c>
      <c r="Z34" s="25">
        <v>17644.2</v>
      </c>
      <c r="AA34" s="25">
        <v>0</v>
      </c>
      <c r="AB34" s="25">
        <v>2750</v>
      </c>
      <c r="AC34" s="25">
        <v>0</v>
      </c>
      <c r="AD34" s="25">
        <f>IF(F34="",G34*4.11,F34*4.11)</f>
        <v>411.00000000000006</v>
      </c>
      <c r="AE34" s="25">
        <v>1252.8699999999999</v>
      </c>
      <c r="AF34" s="25">
        <f>V34+Y34+Z34+AA34+AB34+AC34+AD34</f>
        <v>595925.19999999995</v>
      </c>
      <c r="AG34" s="25">
        <f>IFERROR(IFERROR((H34*W34*J34/15)-AE34,""),"")</f>
        <v>625184.495</v>
      </c>
      <c r="AH34" s="26">
        <f>IFERROR(AG34-AF34,"")</f>
        <v>29259.295000000042</v>
      </c>
      <c r="AI34" s="6">
        <f>IF(F34="",(G34/$F$51)*$AL$21,(F34/$F$51)*$AL$21)</f>
        <v>130.15544041450775</v>
      </c>
      <c r="AJ34" s="6">
        <f>(AH34-AI34)*70%</f>
        <v>20390.397691709873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292.59295000000043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4.6801056702469951E-2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6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6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6" x14ac:dyDescent="0.35">
      <c r="A40" s="133">
        <v>45034</v>
      </c>
      <c r="B40" s="21" t="s">
        <v>495</v>
      </c>
      <c r="C40" s="21" t="s">
        <v>465</v>
      </c>
      <c r="D40" s="44">
        <v>146507</v>
      </c>
      <c r="E40" s="44"/>
      <c r="F40" s="21">
        <v>100</v>
      </c>
      <c r="G40" s="21"/>
      <c r="H40" s="22">
        <v>54850</v>
      </c>
      <c r="I40" s="33">
        <v>0.54</v>
      </c>
      <c r="J40" s="24">
        <f>IFERROR(K40/H40,"")</f>
        <v>0.52720145852324518</v>
      </c>
      <c r="K40" s="22">
        <v>28917</v>
      </c>
      <c r="L40" s="21">
        <v>11</v>
      </c>
      <c r="M40" s="21">
        <v>73</v>
      </c>
      <c r="N40" s="21">
        <v>16</v>
      </c>
      <c r="O40" s="21"/>
      <c r="P40" s="21"/>
      <c r="Q40" s="21"/>
      <c r="R40" s="21"/>
      <c r="S40" s="21"/>
      <c r="T40" s="21"/>
      <c r="U40" s="25">
        <v>260</v>
      </c>
      <c r="V40" s="25">
        <f>H40*U40*I40/15</f>
        <v>513396.00000000006</v>
      </c>
      <c r="W40" s="25">
        <v>297.8</v>
      </c>
      <c r="X40" s="25">
        <v>574098.84</v>
      </c>
      <c r="Y40" s="25">
        <f>F40*40</f>
        <v>4000</v>
      </c>
      <c r="Z40" s="25">
        <v>31351.4</v>
      </c>
      <c r="AA40" s="25">
        <v>0</v>
      </c>
      <c r="AB40" s="25">
        <v>2600</v>
      </c>
      <c r="AC40" s="25">
        <v>0</v>
      </c>
      <c r="AD40" s="25">
        <f>IF(F40="",G40*4.11,F40*4.11)</f>
        <v>411.00000000000006</v>
      </c>
      <c r="AE40" s="25">
        <v>1148.2</v>
      </c>
      <c r="AF40" s="25">
        <f>V40+Y40+Z40+AA40+AB40+AC40+AD40</f>
        <v>551758.4</v>
      </c>
      <c r="AG40" s="25">
        <f>IFERROR(IFERROR((H40*W40*J40/15)-AE40,""),"")</f>
        <v>572950.64</v>
      </c>
      <c r="AH40" s="26">
        <f>IFERROR(AG40-AF40,"")</f>
        <v>21192.239999999991</v>
      </c>
      <c r="AI40" s="6">
        <f>IF(F40="",(G40/$F$51)*$AL$21,(F40/$F$51)*$AL$21)</f>
        <v>130.15544041450775</v>
      </c>
      <c r="AJ40" s="6">
        <f>(AH40-AI40)*70%</f>
        <v>14743.459191709839</v>
      </c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211.9223999999999</v>
      </c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3.6987898294345199E-2</v>
      </c>
    </row>
    <row r="43" spans="1:36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6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6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6" x14ac:dyDescent="0.35">
      <c r="A46" s="133">
        <v>45033</v>
      </c>
      <c r="B46" s="21" t="s">
        <v>493</v>
      </c>
      <c r="C46" s="21" t="s">
        <v>492</v>
      </c>
      <c r="D46" s="44">
        <v>146508</v>
      </c>
      <c r="E46" s="44"/>
      <c r="F46" s="98">
        <v>1</v>
      </c>
      <c r="G46" s="21"/>
      <c r="H46" s="22">
        <v>571.64</v>
      </c>
      <c r="I46" s="33">
        <v>0.55000000000000004</v>
      </c>
      <c r="J46" s="24">
        <f>IFERROR(K46/H46,"")</f>
        <v>0.55447484430760619</v>
      </c>
      <c r="K46" s="22">
        <v>316.95999999999998</v>
      </c>
      <c r="L46" s="21">
        <v>1</v>
      </c>
      <c r="M46" s="21"/>
      <c r="N46" s="21"/>
      <c r="O46" s="21"/>
      <c r="P46" s="21"/>
      <c r="Q46" s="21"/>
      <c r="R46" s="21"/>
      <c r="S46" s="21"/>
      <c r="T46" s="21"/>
      <c r="U46" s="25">
        <v>275</v>
      </c>
      <c r="V46" s="25">
        <f>H46*U46*I46/15</f>
        <v>5764.0366666666669</v>
      </c>
      <c r="W46" s="25">
        <v>297.79000000000002</v>
      </c>
      <c r="X46" s="25">
        <v>6292.6</v>
      </c>
      <c r="Y46" s="25">
        <f>F46*40</f>
        <v>40</v>
      </c>
      <c r="Z46" s="25">
        <v>0</v>
      </c>
      <c r="AA46" s="25">
        <v>0</v>
      </c>
      <c r="AB46" s="25">
        <v>27.5</v>
      </c>
      <c r="AC46" s="25">
        <v>0</v>
      </c>
      <c r="AD46" s="25">
        <f>IF(F46="",G46*4.11,F46*4.11)</f>
        <v>4.1100000000000003</v>
      </c>
      <c r="AE46" s="25">
        <v>12.58</v>
      </c>
      <c r="AF46" s="25">
        <f>V46+Y46+Z46+AA46+AB46+AC46+AD46</f>
        <v>5835.6466666666665</v>
      </c>
      <c r="AG46" s="25">
        <f>IFERROR(IFERROR((H46*W46*J46/15)-AE46,""),"")</f>
        <v>6279.9212266666682</v>
      </c>
      <c r="AH46" s="26">
        <f>IFERROR(AG46-AF46,"")</f>
        <v>444.27456000000166</v>
      </c>
      <c r="AI46" s="6">
        <f>IF(F46="",(G46/$F$51)*$AL$21,(F46/$F$51)*$AL$21)</f>
        <v>1.3015544041450777</v>
      </c>
      <c r="AJ46" s="6">
        <f>(AH46-AI46)*70%</f>
        <v>310.0811039170996</v>
      </c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444.27456000000166</v>
      </c>
    </row>
    <row r="48" spans="1:36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7.0745244082594805E-2</v>
      </c>
    </row>
    <row r="49" spans="1:36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6" ht="15" thickBot="1" x14ac:dyDescent="0.4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6" ht="16" thickBot="1" x14ac:dyDescent="0.4">
      <c r="A51" s="377" t="s">
        <v>491</v>
      </c>
      <c r="B51" s="378"/>
      <c r="C51" s="378"/>
      <c r="D51" s="378"/>
      <c r="E51" s="378"/>
      <c r="F51" s="30">
        <f>SUM(F4:G46)</f>
        <v>965</v>
      </c>
      <c r="G51" s="30"/>
      <c r="H51" s="30"/>
      <c r="I51" s="30"/>
      <c r="J51" s="30"/>
      <c r="K51" s="30"/>
      <c r="L51" s="46"/>
      <c r="M51" s="46"/>
      <c r="N51" s="46"/>
      <c r="O51" s="46"/>
      <c r="P51" s="46"/>
      <c r="Q51" s="46"/>
      <c r="R51" s="46"/>
      <c r="S51" s="46"/>
      <c r="T51" s="46"/>
      <c r="U51" s="30"/>
      <c r="V51" s="31">
        <f>V4+V10+V16+V22+V28+V34+V40+V46</f>
        <v>5376635.8991666678</v>
      </c>
      <c r="W51" s="30"/>
      <c r="X51" s="30"/>
      <c r="Y51" s="31">
        <f>Y4+Y10+Y16+Y22+Y28+Y34+Y40+Y46</f>
        <v>38600</v>
      </c>
      <c r="Z51" s="31">
        <f>Z4+Z10+Z16+Z22+Z28+Z34+Z40+Z46</f>
        <v>187275.4</v>
      </c>
      <c r="AA51" s="31">
        <f>AA4+AA10+AA16+AA22+AA28+AA34+AA40+AA46</f>
        <v>0</v>
      </c>
      <c r="AB51" s="31">
        <f>AB4+AB10+AB16+AB16+AB22+AB28+AB34+AB40+AB46</f>
        <v>28913.5</v>
      </c>
      <c r="AC51" s="31">
        <f t="shared" ref="AC51:AJ51" si="0">AC4+AC10+AC16+AC22+AC28+AC34+AC40+AC46</f>
        <v>0</v>
      </c>
      <c r="AD51" s="31">
        <f t="shared" si="0"/>
        <v>3966.1500000000005</v>
      </c>
      <c r="AE51" s="31">
        <f t="shared" si="0"/>
        <v>11938.089999999998</v>
      </c>
      <c r="AF51" s="31">
        <f t="shared" si="0"/>
        <v>5632640.9491666667</v>
      </c>
      <c r="AG51" s="31">
        <f t="shared" si="0"/>
        <v>5957100.3186733322</v>
      </c>
      <c r="AH51" s="31">
        <f t="shared" si="0"/>
        <v>324459.36950666649</v>
      </c>
      <c r="AI51" s="31">
        <f t="shared" si="0"/>
        <v>1255.9999999999995</v>
      </c>
      <c r="AJ51" s="31">
        <f t="shared" si="0"/>
        <v>226242.35865466655</v>
      </c>
    </row>
    <row r="53" spans="1:36" x14ac:dyDescent="0.35">
      <c r="AI53" s="47"/>
      <c r="AJ53" s="47"/>
    </row>
    <row r="54" spans="1:36" x14ac:dyDescent="0.35">
      <c r="AI54" s="47"/>
      <c r="AJ54" s="47"/>
    </row>
    <row r="55" spans="1:36" x14ac:dyDescent="0.35">
      <c r="AI55" s="14"/>
      <c r="AJ55" s="14"/>
    </row>
    <row r="56" spans="1:36" x14ac:dyDescent="0.35">
      <c r="AI56" s="6"/>
      <c r="AJ56" s="6"/>
    </row>
  </sheetData>
  <mergeCells count="2">
    <mergeCell ref="U2:AC2"/>
    <mergeCell ref="A51:E5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58"/>
  <dimension ref="A1:AN70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bestFit="1" customWidth="1"/>
    <col min="39" max="39" width="15.72656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37" t="s">
        <v>1</v>
      </c>
      <c r="B3" s="37" t="s">
        <v>2</v>
      </c>
      <c r="C3" s="37" t="s">
        <v>110</v>
      </c>
      <c r="D3" s="37" t="s">
        <v>66</v>
      </c>
      <c r="E3" s="37" t="s">
        <v>32</v>
      </c>
      <c r="F3" s="37" t="s">
        <v>137</v>
      </c>
      <c r="G3" s="37" t="s">
        <v>138</v>
      </c>
      <c r="H3" s="37" t="s">
        <v>4</v>
      </c>
      <c r="I3" s="37" t="s">
        <v>5</v>
      </c>
      <c r="J3" s="37" t="s">
        <v>6</v>
      </c>
      <c r="K3" s="37" t="s">
        <v>7</v>
      </c>
      <c r="L3" s="37" t="s">
        <v>279</v>
      </c>
      <c r="M3" s="37" t="s">
        <v>280</v>
      </c>
      <c r="N3" s="37" t="s">
        <v>281</v>
      </c>
      <c r="O3" s="37" t="s">
        <v>282</v>
      </c>
      <c r="P3" s="37" t="s">
        <v>283</v>
      </c>
      <c r="Q3" s="37" t="s">
        <v>284</v>
      </c>
      <c r="R3" s="37" t="s">
        <v>904</v>
      </c>
      <c r="S3" s="37" t="s">
        <v>285</v>
      </c>
      <c r="T3" s="37" t="s">
        <v>289</v>
      </c>
      <c r="U3" s="37" t="s">
        <v>8</v>
      </c>
      <c r="V3" s="37" t="s">
        <v>9</v>
      </c>
      <c r="W3" s="37" t="s">
        <v>10</v>
      </c>
      <c r="X3" s="37" t="s">
        <v>100</v>
      </c>
      <c r="Y3" s="37" t="s">
        <v>106</v>
      </c>
      <c r="Z3" s="37" t="s">
        <v>12</v>
      </c>
      <c r="AA3" s="37" t="s">
        <v>258</v>
      </c>
      <c r="AB3" s="37" t="s">
        <v>13</v>
      </c>
      <c r="AC3" s="37" t="s">
        <v>74</v>
      </c>
      <c r="AD3" s="37" t="s">
        <v>21</v>
      </c>
      <c r="AE3" s="37" t="s">
        <v>14</v>
      </c>
      <c r="AF3" s="37" t="s">
        <v>15</v>
      </c>
      <c r="AG3" s="37" t="s">
        <v>16</v>
      </c>
      <c r="AH3" s="15" t="s">
        <v>17</v>
      </c>
      <c r="AI3" s="14" t="s">
        <v>679</v>
      </c>
      <c r="AJ3" s="14" t="s">
        <v>678</v>
      </c>
      <c r="AL3" s="164">
        <f>AF64</f>
        <v>4777482.206666667</v>
      </c>
      <c r="AM3" s="164">
        <f>AH64-AI64</f>
        <v>438810.57133333292</v>
      </c>
    </row>
    <row r="4" spans="1:40" x14ac:dyDescent="0.35">
      <c r="A4" s="133">
        <v>45038</v>
      </c>
      <c r="B4" s="39" t="s">
        <v>482</v>
      </c>
      <c r="C4" s="39" t="s">
        <v>460</v>
      </c>
      <c r="D4" s="45">
        <v>146813</v>
      </c>
      <c r="E4" s="45"/>
      <c r="F4" s="39">
        <v>50</v>
      </c>
      <c r="G4" s="39"/>
      <c r="H4" s="40">
        <v>29560</v>
      </c>
      <c r="I4" s="53">
        <v>0.54</v>
      </c>
      <c r="J4" s="42">
        <f>IFERROR(K4/H4,"")</f>
        <v>0.54795331529093372</v>
      </c>
      <c r="K4" s="40">
        <v>16197.5</v>
      </c>
      <c r="L4" s="39">
        <v>2</v>
      </c>
      <c r="M4" s="39">
        <v>32</v>
      </c>
      <c r="N4" s="39">
        <v>16</v>
      </c>
      <c r="O4" s="39"/>
      <c r="P4" s="39"/>
      <c r="Q4" s="39"/>
      <c r="R4" s="39"/>
      <c r="S4" s="39"/>
      <c r="T4" s="39"/>
      <c r="U4" s="43">
        <v>260</v>
      </c>
      <c r="V4" s="43">
        <f>H4*U4*I4/15</f>
        <v>276681.60000000003</v>
      </c>
      <c r="W4" s="43">
        <v>297.33</v>
      </c>
      <c r="X4" s="43">
        <v>321066.84999999998</v>
      </c>
      <c r="Y4" s="43">
        <f>F4*40</f>
        <v>2000</v>
      </c>
      <c r="Z4" s="43">
        <v>13934.2</v>
      </c>
      <c r="AA4" s="43">
        <v>0</v>
      </c>
      <c r="AB4" s="43">
        <v>1300</v>
      </c>
      <c r="AC4" s="43">
        <v>0</v>
      </c>
      <c r="AD4" s="43">
        <f>F4*4.11</f>
        <v>205.50000000000003</v>
      </c>
      <c r="AE4" s="43">
        <v>642.13</v>
      </c>
      <c r="AF4" s="43">
        <f>V4+Y4+Z4+AA4+AB4+AC4+AD4</f>
        <v>294121.30000000005</v>
      </c>
      <c r="AG4" s="43">
        <f>IFERROR(IFERROR((H4*W4*J4/15)-AE4,""),"")</f>
        <v>320424.71499999997</v>
      </c>
      <c r="AH4" s="26">
        <f>IFERROR(AG4-AF4,"")</f>
        <v>26303.414999999921</v>
      </c>
      <c r="AI4" s="6">
        <f>IF(F4="",(G4/$F$64)*$AL$21,(F4/$F$64)*$AL$21)</f>
        <v>161.17021276595744</v>
      </c>
      <c r="AJ4" s="6">
        <f>(AH4-AI4)*70%</f>
        <v>18299.571351063772</v>
      </c>
      <c r="AL4" s="166" t="s">
        <v>749</v>
      </c>
      <c r="AM4" s="167">
        <f>AM3/AL3</f>
        <v>9.1849755237392861E-2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526.06829999999843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8.2089220240080182E-2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F4+G4+F10+G10+F16+G16+F22+G22+F28+G28+F34+G34+F40+G40+F46+G46+F52+G52+F58+G58</f>
        <v>940</v>
      </c>
      <c r="AM9" s="50" t="s">
        <v>22</v>
      </c>
      <c r="AN9" t="s">
        <v>72</v>
      </c>
    </row>
    <row r="10" spans="1:40" x14ac:dyDescent="0.35">
      <c r="A10" s="133">
        <v>45038</v>
      </c>
      <c r="B10" s="21" t="s">
        <v>482</v>
      </c>
      <c r="C10" s="21" t="s">
        <v>163</v>
      </c>
      <c r="D10" s="44">
        <v>146814</v>
      </c>
      <c r="E10" s="44"/>
      <c r="F10" s="21">
        <v>100</v>
      </c>
      <c r="G10" s="21"/>
      <c r="H10" s="22">
        <v>50740</v>
      </c>
      <c r="I10" s="33">
        <v>0.54</v>
      </c>
      <c r="J10" s="24">
        <f>IFERROR(K10/H10,"")</f>
        <v>0.56000000000000005</v>
      </c>
      <c r="K10" s="22">
        <v>28414.400000000001</v>
      </c>
      <c r="L10" s="21">
        <v>11</v>
      </c>
      <c r="M10" s="21">
        <v>82</v>
      </c>
      <c r="N10" s="21">
        <v>7</v>
      </c>
      <c r="O10" s="21"/>
      <c r="P10" s="21"/>
      <c r="Q10" s="21"/>
      <c r="R10" s="21"/>
      <c r="S10" s="21"/>
      <c r="T10" s="21"/>
      <c r="U10" s="25">
        <v>265</v>
      </c>
      <c r="V10" s="25">
        <f>H10*U10*I10/15</f>
        <v>484059.60000000003</v>
      </c>
      <c r="W10" s="25">
        <v>297.22000000000003</v>
      </c>
      <c r="X10" s="25">
        <v>595464.91</v>
      </c>
      <c r="Y10" s="25">
        <f>F10*40</f>
        <v>4000</v>
      </c>
      <c r="Z10" s="25">
        <v>15397.9</v>
      </c>
      <c r="AA10" s="25">
        <v>0</v>
      </c>
      <c r="AB10" s="25">
        <v>2650</v>
      </c>
      <c r="AC10" s="25">
        <v>0</v>
      </c>
      <c r="AD10" s="25">
        <f>IF(F10="",G10*4.11,F10*4.11)</f>
        <v>411.00000000000006</v>
      </c>
      <c r="AE10" s="25">
        <v>1190.93</v>
      </c>
      <c r="AF10" s="25">
        <f>V10+Y10+Z10+AA10+AB10+AC10+AD10</f>
        <v>506518.50000000006</v>
      </c>
      <c r="AG10" s="25">
        <f>IFERROR(IFERROR((H10*W10*J10/15)-AE10,""),"")</f>
        <v>561830.93453333329</v>
      </c>
      <c r="AH10" s="26">
        <f>IFERROR(AG10-AF10,"")</f>
        <v>55312.434533333231</v>
      </c>
      <c r="AI10" s="6">
        <f>IF(F10="",(G10/$F$64)*$AL$21,(F10/$F$64)*$AL$21)</f>
        <v>322.34042553191489</v>
      </c>
      <c r="AJ10" s="6">
        <f>(AH10-AI10)*70%</f>
        <v>38493.065875460918</v>
      </c>
      <c r="AL10" s="11">
        <f>AH4+AH10+AH16+AH22+AH28+AH34+AH40+AH46+AH52+AH58</f>
        <v>441840.57133333292</v>
      </c>
      <c r="AM10" s="11">
        <f>AL10*30%</f>
        <v>132552.17139999988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553.12434533333226</v>
      </c>
      <c r="AL11" s="11"/>
      <c r="AM11" s="11"/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9.8450318651956609E-2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  <c r="AL13" s="11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  <c r="AL14" s="180" t="s">
        <v>187</v>
      </c>
      <c r="AM14" s="211" t="s">
        <v>680</v>
      </c>
      <c r="AN14" s="191"/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  <c r="AL15" s="178">
        <f>10260-10260</f>
        <v>0</v>
      </c>
      <c r="AM15" t="s">
        <v>500</v>
      </c>
      <c r="AN15" s="174"/>
    </row>
    <row r="16" spans="1:40" x14ac:dyDescent="0.35">
      <c r="A16" s="133">
        <v>45038</v>
      </c>
      <c r="B16" s="21" t="s">
        <v>482</v>
      </c>
      <c r="C16" s="21" t="s">
        <v>163</v>
      </c>
      <c r="D16" s="44">
        <v>146814</v>
      </c>
      <c r="E16" s="44"/>
      <c r="F16" s="21">
        <v>100</v>
      </c>
      <c r="G16" s="21"/>
      <c r="H16" s="22">
        <v>54680</v>
      </c>
      <c r="I16" s="33">
        <v>0.55000000000000004</v>
      </c>
      <c r="J16" s="24">
        <f>IFERROR(K16/H16,"")</f>
        <v>0.57953730797366498</v>
      </c>
      <c r="K16" s="22">
        <v>31689.1</v>
      </c>
      <c r="L16" s="21">
        <v>11</v>
      </c>
      <c r="M16" s="21">
        <v>81</v>
      </c>
      <c r="N16" s="21">
        <v>8</v>
      </c>
      <c r="O16" s="21"/>
      <c r="P16" s="21"/>
      <c r="Q16" s="21"/>
      <c r="R16" s="21"/>
      <c r="S16" s="21"/>
      <c r="T16" s="21"/>
      <c r="U16" s="25">
        <v>265</v>
      </c>
      <c r="V16" s="25">
        <f>H16*U16*I16/15</f>
        <v>531307.33333333337</v>
      </c>
      <c r="W16" s="25">
        <v>297.22000000000003</v>
      </c>
      <c r="X16" s="25">
        <v>595464.91</v>
      </c>
      <c r="Y16" s="25">
        <f>F16*40</f>
        <v>4000</v>
      </c>
      <c r="Z16" s="25">
        <v>15397.9</v>
      </c>
      <c r="AA16" s="25">
        <v>0</v>
      </c>
      <c r="AB16" s="25">
        <v>2650</v>
      </c>
      <c r="AC16" s="25">
        <v>0</v>
      </c>
      <c r="AD16" s="25">
        <f>IF(F16="",G16*4.11,F16*4.11)</f>
        <v>411.00000000000006</v>
      </c>
      <c r="AE16" s="25">
        <v>1190.93</v>
      </c>
      <c r="AF16" s="25">
        <f>V16+Y16+Z16+AA16+AB16+AC16+AD16</f>
        <v>553766.2333333334</v>
      </c>
      <c r="AG16" s="25">
        <f>IFERROR(IFERROR((H16*W16*J16/15)-AE16,""),"")</f>
        <v>626718.02346666669</v>
      </c>
      <c r="AH16" s="26">
        <f>IFERROR(AG16-AF16,"")</f>
        <v>72951.790133333299</v>
      </c>
      <c r="AI16" s="6">
        <f>IF(F16="",(G16/$F$64)*$AL$21,(F16/$F$64)*$AL$21)</f>
        <v>322.34042553191489</v>
      </c>
      <c r="AJ16" s="6">
        <f>(AH16-AI16)*70%</f>
        <v>50840.614795460962</v>
      </c>
      <c r="AL16" s="178">
        <f>7106-7106</f>
        <v>0</v>
      </c>
      <c r="AM16" s="6" t="s">
        <v>501</v>
      </c>
      <c r="AN16" s="174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729.51790133333304</v>
      </c>
      <c r="AL17" s="178">
        <v>3030</v>
      </c>
      <c r="AM17" t="s">
        <v>506</v>
      </c>
      <c r="AN17" s="174"/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0.1164028915744329</v>
      </c>
      <c r="AL18" s="178">
        <v>0</v>
      </c>
      <c r="AN18" s="174"/>
    </row>
    <row r="19" spans="1:40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L19" s="205">
        <v>0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78"/>
      <c r="AN20" s="174"/>
    </row>
    <row r="21" spans="1:40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214">
        <f>SUM(AL15:AL20)</f>
        <v>3030</v>
      </c>
      <c r="AM21" s="211" t="s">
        <v>682</v>
      </c>
      <c r="AN21" s="191"/>
    </row>
    <row r="22" spans="1:40" x14ac:dyDescent="0.35">
      <c r="A22" s="133">
        <v>45040</v>
      </c>
      <c r="B22" s="21" t="s">
        <v>43</v>
      </c>
      <c r="C22" s="21" t="s">
        <v>497</v>
      </c>
      <c r="D22" s="44">
        <v>146806</v>
      </c>
      <c r="E22" s="44"/>
      <c r="F22" s="21">
        <v>150</v>
      </c>
      <c r="G22" s="21"/>
      <c r="H22" s="22">
        <v>83538</v>
      </c>
      <c r="I22" s="33">
        <v>0.5</v>
      </c>
      <c r="J22" s="24">
        <f>IFERROR(K22/H22,"")</f>
        <v>0.49715698245110007</v>
      </c>
      <c r="K22" s="22">
        <v>41531.5</v>
      </c>
      <c r="L22" s="21">
        <v>1</v>
      </c>
      <c r="M22" s="21">
        <v>16</v>
      </c>
      <c r="N22" s="21">
        <v>71</v>
      </c>
      <c r="O22" s="21">
        <v>57</v>
      </c>
      <c r="P22" s="21">
        <v>5</v>
      </c>
      <c r="Q22" s="21"/>
      <c r="R22" s="21"/>
      <c r="S22" s="21"/>
      <c r="T22" s="21"/>
      <c r="U22" s="25">
        <v>240</v>
      </c>
      <c r="V22" s="25">
        <f>H22*U22*I22/15</f>
        <v>668304</v>
      </c>
      <c r="W22" s="25">
        <v>286.44</v>
      </c>
      <c r="X22" s="25">
        <v>793088.74</v>
      </c>
      <c r="Y22" s="25">
        <v>0</v>
      </c>
      <c r="Z22" s="25">
        <v>59293.7</v>
      </c>
      <c r="AA22" s="25">
        <v>0</v>
      </c>
      <c r="AB22" s="136">
        <v>3600</v>
      </c>
      <c r="AC22" s="25">
        <f>F22*30</f>
        <v>4500</v>
      </c>
      <c r="AD22" s="25">
        <f>IF(F22="",G22*4.11,F22*4.11)</f>
        <v>616.5</v>
      </c>
      <c r="AE22" s="25">
        <v>1586.17</v>
      </c>
      <c r="AF22" s="25">
        <f>V22+Y22+Z22+AA22+AB22+AC22+AD22</f>
        <v>736314.2</v>
      </c>
      <c r="AG22" s="25">
        <f>IFERROR(IFERROR((H22*W22*J22/15)-AE22,""),"")</f>
        <v>791499.35399999993</v>
      </c>
      <c r="AH22" s="26">
        <f>IFERROR(AG22-AF22,"")</f>
        <v>55185.15399999998</v>
      </c>
      <c r="AI22" s="6">
        <f>IF(F22="",(G22/$F$64)*$AL$21,(F22/$F$64)*$AL$21)</f>
        <v>483.51063829787239</v>
      </c>
      <c r="AJ22" s="6">
        <f>(AH22-AI22)*70%</f>
        <v>38291.150353191471</v>
      </c>
      <c r="AK22" t="s">
        <v>580</v>
      </c>
    </row>
    <row r="23" spans="1:4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367.90102666666655</v>
      </c>
      <c r="AL23" s="95">
        <f>AL10-AL21</f>
        <v>438810.57133333292</v>
      </c>
      <c r="AM23" s="11" t="s">
        <v>471</v>
      </c>
    </row>
    <row r="24" spans="1:40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6.9722298219336246E-2</v>
      </c>
      <c r="AL24" s="127">
        <f>AL23*30%</f>
        <v>131643.17139999988</v>
      </c>
      <c r="AM24" s="137" t="s">
        <v>424</v>
      </c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</row>
    <row r="27" spans="1:40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</row>
    <row r="28" spans="1:40" x14ac:dyDescent="0.35">
      <c r="A28" s="133">
        <v>45040</v>
      </c>
      <c r="B28" s="21" t="s">
        <v>482</v>
      </c>
      <c r="C28" s="21" t="s">
        <v>325</v>
      </c>
      <c r="D28" s="44">
        <v>146811</v>
      </c>
      <c r="E28" s="44"/>
      <c r="F28" s="21">
        <v>55</v>
      </c>
      <c r="G28" s="21"/>
      <c r="H28" s="22">
        <v>31080</v>
      </c>
      <c r="I28" s="33">
        <v>0.53</v>
      </c>
      <c r="J28" s="24">
        <f>IFERROR(K28/H28,"")</f>
        <v>0.50963642213642213</v>
      </c>
      <c r="K28" s="22">
        <v>15839.5</v>
      </c>
      <c r="L28" s="21">
        <v>1</v>
      </c>
      <c r="M28" s="21">
        <v>17</v>
      </c>
      <c r="N28" s="21">
        <v>28</v>
      </c>
      <c r="O28" s="21">
        <v>8</v>
      </c>
      <c r="P28" s="21"/>
      <c r="Q28" s="21"/>
      <c r="R28" s="21"/>
      <c r="S28" s="21"/>
      <c r="T28" s="21">
        <v>1</v>
      </c>
      <c r="U28" s="25">
        <v>260</v>
      </c>
      <c r="V28" s="25">
        <f>H28*U28*I28/15</f>
        <v>285521.59999999998</v>
      </c>
      <c r="W28" s="25">
        <v>294.52999999999997</v>
      </c>
      <c r="X28" s="25">
        <v>311009.96999999997</v>
      </c>
      <c r="Y28" s="25">
        <f>F28*40</f>
        <v>2200</v>
      </c>
      <c r="Z28" s="25">
        <v>7452.9</v>
      </c>
      <c r="AA28" s="25">
        <v>0</v>
      </c>
      <c r="AB28" s="25">
        <v>1430</v>
      </c>
      <c r="AC28" s="25">
        <v>0</v>
      </c>
      <c r="AD28" s="25">
        <f>IF(F28="",G28*4.11,F28*4.11)</f>
        <v>226.05</v>
      </c>
      <c r="AE28" s="25">
        <v>622.02</v>
      </c>
      <c r="AF28" s="25">
        <f>V28+Y28+Z28+AA28+AB28+AC28+AD28</f>
        <v>296830.55</v>
      </c>
      <c r="AG28" s="25">
        <f>IFERROR(IFERROR((H28*W28*J28/15)-AE28,""),"")</f>
        <v>310391.84233333328</v>
      </c>
      <c r="AH28" s="26">
        <f>IFERROR(AG28-AF28,"")</f>
        <v>13561.292333333287</v>
      </c>
      <c r="AI28" s="6">
        <f>IF(F28="",(G28/$F$64)*$AL$21,(F28/$F$64)*$AL$21)</f>
        <v>177.28723404255319</v>
      </c>
      <c r="AJ28" s="6">
        <f>(AH28-AI28)*70%</f>
        <v>9368.8035695035142</v>
      </c>
    </row>
    <row r="29" spans="1:40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246.56895151515067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4.3690878701540307E-2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6" x14ac:dyDescent="0.35">
      <c r="A34" s="133">
        <v>45040</v>
      </c>
      <c r="B34" s="21" t="s">
        <v>482</v>
      </c>
      <c r="C34" s="21" t="s">
        <v>498</v>
      </c>
      <c r="D34" s="44">
        <v>146811</v>
      </c>
      <c r="E34" s="44"/>
      <c r="F34" s="21">
        <v>55</v>
      </c>
      <c r="G34" s="21"/>
      <c r="H34" s="22">
        <v>28280</v>
      </c>
      <c r="I34" s="33">
        <v>0.53</v>
      </c>
      <c r="J34" s="24">
        <f>IFERROR(K34/H34,"")</f>
        <v>0.56009547383309755</v>
      </c>
      <c r="K34" s="22">
        <v>15839.5</v>
      </c>
      <c r="L34" s="21">
        <v>1</v>
      </c>
      <c r="M34" s="21">
        <v>18</v>
      </c>
      <c r="N34" s="21">
        <v>28</v>
      </c>
      <c r="O34" s="21">
        <v>8</v>
      </c>
      <c r="P34" s="21"/>
      <c r="Q34" s="21"/>
      <c r="R34" s="21"/>
      <c r="S34" s="21"/>
      <c r="T34" s="21"/>
      <c r="U34" s="25">
        <v>270</v>
      </c>
      <c r="V34" s="25">
        <f>H34*U34*I34/15</f>
        <v>269791.2</v>
      </c>
      <c r="W34" s="25">
        <v>294.52999999999997</v>
      </c>
      <c r="X34" s="25">
        <v>311099.96999999997</v>
      </c>
      <c r="Y34" s="25">
        <f>F34*40</f>
        <v>2200</v>
      </c>
      <c r="Z34" s="25">
        <v>12330.9</v>
      </c>
      <c r="AA34" s="25">
        <v>0</v>
      </c>
      <c r="AB34" s="25">
        <v>1485</v>
      </c>
      <c r="AC34" s="25">
        <v>0</v>
      </c>
      <c r="AD34" s="25">
        <f>IF(F34="",G34*4.11,F34*4.11)</f>
        <v>226.05</v>
      </c>
      <c r="AE34" s="25">
        <v>622.02</v>
      </c>
      <c r="AF34" s="25">
        <f>V34+Y34+Z34+AA34+AB34+AC34+AD34</f>
        <v>286033.15000000002</v>
      </c>
      <c r="AG34" s="25">
        <f>IFERROR(IFERROR((H34*W34*J34/15)-AE34,""),"")</f>
        <v>310391.84233333328</v>
      </c>
      <c r="AH34" s="26">
        <f>IFERROR(AG34-AF34,"")</f>
        <v>24358.692333333252</v>
      </c>
      <c r="AI34" s="6">
        <f>IF(F34="",(G34/$F$64)*$AL$21,(F34/$F$64)*$AL$21)</f>
        <v>177.28723404255319</v>
      </c>
      <c r="AJ34" s="6">
        <f>(AH34-AI34)*70%</f>
        <v>16926.983569503489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442.88531515151368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7.8477231070957651E-2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6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6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6" x14ac:dyDescent="0.35">
      <c r="A40" s="133">
        <v>45041</v>
      </c>
      <c r="B40" s="21" t="s">
        <v>482</v>
      </c>
      <c r="C40" s="21" t="s">
        <v>174</v>
      </c>
      <c r="D40" s="44">
        <v>146803</v>
      </c>
      <c r="E40" s="44"/>
      <c r="F40" s="21"/>
      <c r="G40" s="21">
        <v>65</v>
      </c>
      <c r="H40" s="22">
        <v>23630</v>
      </c>
      <c r="I40" s="33">
        <v>0.5</v>
      </c>
      <c r="J40" s="24">
        <f>IFERROR(K40/H40,"")</f>
        <v>0.51409225560727889</v>
      </c>
      <c r="K40" s="22">
        <v>12148</v>
      </c>
      <c r="L40" s="21">
        <v>13</v>
      </c>
      <c r="M40" s="21">
        <v>24</v>
      </c>
      <c r="N40" s="21">
        <v>19</v>
      </c>
      <c r="O40" s="21">
        <v>9</v>
      </c>
      <c r="P40" s="21"/>
      <c r="Q40" s="21"/>
      <c r="R40" s="21"/>
      <c r="S40" s="21"/>
      <c r="T40" s="21"/>
      <c r="U40" s="25">
        <v>230</v>
      </c>
      <c r="V40" s="25">
        <f>H40*U40*I40/15</f>
        <v>181163.33333333334</v>
      </c>
      <c r="W40" s="25">
        <v>283.76</v>
      </c>
      <c r="X40" s="25">
        <v>229804.44</v>
      </c>
      <c r="Y40" s="25">
        <f>G40*40</f>
        <v>2600</v>
      </c>
      <c r="Z40" s="25">
        <v>13524.94</v>
      </c>
      <c r="AA40" s="25">
        <v>0</v>
      </c>
      <c r="AB40" s="25">
        <v>1495</v>
      </c>
      <c r="AC40" s="25">
        <v>0</v>
      </c>
      <c r="AD40" s="25">
        <f>IF(F40="",G40*4.11,F40*4.11)</f>
        <v>267.15000000000003</v>
      </c>
      <c r="AE40" s="25">
        <v>459.61</v>
      </c>
      <c r="AF40" s="25">
        <f>V40+Y40+Z40+AA40+AB40+AC40+AD40</f>
        <v>199050.42333333334</v>
      </c>
      <c r="AG40" s="25">
        <f>IFERROR(IFERROR((H40*W40*J40/15)-AE40,""),"")</f>
        <v>229348.15533333336</v>
      </c>
      <c r="AH40" s="26">
        <f>IFERROR(AG40-AF40,"")</f>
        <v>30297.732000000018</v>
      </c>
      <c r="AI40" s="6">
        <f>IF(F40="",(G40/$F$64)*$AL$21,(F40/$F$64)*$AL$21)</f>
        <v>209.52127659574469</v>
      </c>
      <c r="AJ40" s="6">
        <f>(AH40-AI40)*70%</f>
        <v>21061.747506382992</v>
      </c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AH40/G40</f>
        <v>466.11895384615411</v>
      </c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0.1321036655209433</v>
      </c>
    </row>
    <row r="43" spans="1:36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6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6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6" x14ac:dyDescent="0.35">
      <c r="A46" s="133">
        <v>45041</v>
      </c>
      <c r="B46" s="21" t="s">
        <v>482</v>
      </c>
      <c r="C46" s="21" t="s">
        <v>174</v>
      </c>
      <c r="D46" s="44">
        <v>146804</v>
      </c>
      <c r="E46" s="44"/>
      <c r="F46" s="21"/>
      <c r="G46" s="21">
        <v>65</v>
      </c>
      <c r="H46" s="22">
        <v>23630</v>
      </c>
      <c r="I46" s="33">
        <v>0.5</v>
      </c>
      <c r="J46" s="24">
        <f>IFERROR(K46/H46,"")</f>
        <v>0.49792636479052055</v>
      </c>
      <c r="K46" s="22">
        <v>11766</v>
      </c>
      <c r="L46" s="21">
        <v>18</v>
      </c>
      <c r="M46" s="21">
        <v>37</v>
      </c>
      <c r="N46" s="21">
        <v>7</v>
      </c>
      <c r="O46" s="21">
        <v>3</v>
      </c>
      <c r="P46" s="21"/>
      <c r="Q46" s="21"/>
      <c r="R46" s="21"/>
      <c r="S46" s="21"/>
      <c r="T46" s="21"/>
      <c r="U46" s="25">
        <v>240</v>
      </c>
      <c r="V46" s="25">
        <f>H46*U46*I46/15</f>
        <v>189040</v>
      </c>
      <c r="W46" s="25">
        <v>288.68</v>
      </c>
      <c r="X46" s="25">
        <v>226443.44</v>
      </c>
      <c r="Y46" s="25">
        <f>G46*40</f>
        <v>2600</v>
      </c>
      <c r="Z46" s="25">
        <v>13586</v>
      </c>
      <c r="AA46" s="25">
        <v>0</v>
      </c>
      <c r="AB46" s="25">
        <v>1560</v>
      </c>
      <c r="AC46" s="25">
        <v>0</v>
      </c>
      <c r="AD46" s="25">
        <f>IF(F46="",G46*4.11,F46*4.11)</f>
        <v>267.15000000000003</v>
      </c>
      <c r="AE46" s="25">
        <v>452.9</v>
      </c>
      <c r="AF46" s="25">
        <f>V46+Y46+Z46+AA46+AB46+AC46+AD46</f>
        <v>207053.15</v>
      </c>
      <c r="AG46" s="25">
        <f>IFERROR(IFERROR((H46*W46*J46/15)-AE46,""),"")</f>
        <v>225987.69200000004</v>
      </c>
      <c r="AH46" s="26">
        <f>IFERROR(AG46-AF46,"")</f>
        <v>18934.542000000045</v>
      </c>
      <c r="AI46" s="6">
        <f>IF(F46="",(G46/$F$64)*$AL$21,(F46/$F$64)*$AL$21)</f>
        <v>209.52127659574469</v>
      </c>
      <c r="AJ46" s="6">
        <f>(AH46-AI46)*70%</f>
        <v>13107.51450638301</v>
      </c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AH46/G46</f>
        <v>291.30064615384686</v>
      </c>
    </row>
    <row r="48" spans="1:36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8.3785722277300134E-2</v>
      </c>
    </row>
    <row r="49" spans="1:36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6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6" x14ac:dyDescent="0.35">
      <c r="A52" s="133">
        <v>45043</v>
      </c>
      <c r="B52" s="21" t="s">
        <v>482</v>
      </c>
      <c r="C52" s="21" t="s">
        <v>141</v>
      </c>
      <c r="D52" s="44">
        <v>147091</v>
      </c>
      <c r="E52" s="44"/>
      <c r="F52" s="21">
        <v>100</v>
      </c>
      <c r="G52" s="21"/>
      <c r="H52" s="22">
        <v>54650</v>
      </c>
      <c r="I52" s="33">
        <v>0.55000000000000004</v>
      </c>
      <c r="J52" s="24">
        <f>IFERROR(K52/H52,"")</f>
        <v>0.56673376029277223</v>
      </c>
      <c r="K52" s="22">
        <v>30972</v>
      </c>
      <c r="L52" s="21">
        <v>96</v>
      </c>
      <c r="M52" s="21">
        <v>3</v>
      </c>
      <c r="N52" s="21">
        <v>1</v>
      </c>
      <c r="O52" s="21"/>
      <c r="P52" s="21"/>
      <c r="Q52" s="21"/>
      <c r="R52" s="21"/>
      <c r="S52" s="21"/>
      <c r="T52" s="21"/>
      <c r="U52" s="25">
        <v>263</v>
      </c>
      <c r="V52" s="25">
        <f>H52*U52*I52/15</f>
        <v>527008.16666666674</v>
      </c>
      <c r="W52" s="25">
        <v>290.52999999999997</v>
      </c>
      <c r="X52" s="25">
        <v>599880.85</v>
      </c>
      <c r="Y52" s="25">
        <f>F52*40</f>
        <v>4000</v>
      </c>
      <c r="Z52" s="25">
        <v>15268.2</v>
      </c>
      <c r="AA52" s="25">
        <v>0</v>
      </c>
      <c r="AB52" s="25">
        <v>2630</v>
      </c>
      <c r="AC52" s="25">
        <v>0</v>
      </c>
      <c r="AD52" s="25">
        <f>IF(F52="",G52*4.11,F52*4.11)</f>
        <v>411.00000000000006</v>
      </c>
      <c r="AE52" s="25">
        <v>1199.76</v>
      </c>
      <c r="AF52" s="25">
        <f>V52+Y52+Z52+AA52+AB52+AC52+AD52</f>
        <v>549317.3666666667</v>
      </c>
      <c r="AG52" s="25">
        <f>IFERROR(IFERROR((H52*W52*J52/15)-AE52,""),"")</f>
        <v>598686.58400000003</v>
      </c>
      <c r="AH52" s="26">
        <f>IFERROR(AG52-AF52,"")</f>
        <v>49369.217333333334</v>
      </c>
      <c r="AI52" s="6">
        <f>IF(F52="",(G52/$F$64)*$AL$21,(F52/$F$64)*$AL$21)</f>
        <v>322.34042553191489</v>
      </c>
      <c r="AJ52" s="6">
        <f>(AH52-AI52)*70%</f>
        <v>34332.813835460991</v>
      </c>
    </row>
    <row r="53" spans="1:36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493.69217333333336</v>
      </c>
    </row>
    <row r="54" spans="1:36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8.2462541591433638E-2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6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36" x14ac:dyDescent="0.35">
      <c r="A58" s="133">
        <v>45043</v>
      </c>
      <c r="B58" s="21" t="s">
        <v>482</v>
      </c>
      <c r="C58" s="21" t="s">
        <v>335</v>
      </c>
      <c r="D58" s="44">
        <v>147092</v>
      </c>
      <c r="E58" s="44"/>
      <c r="F58" s="21">
        <v>200</v>
      </c>
      <c r="G58" s="21"/>
      <c r="H58" s="22">
        <v>115840</v>
      </c>
      <c r="I58" s="33">
        <v>0.55000000000000004</v>
      </c>
      <c r="J58" s="24">
        <f>IFERROR(K58/H58,"")</f>
        <v>0.55958649861878451</v>
      </c>
      <c r="K58" s="22">
        <v>64822.5</v>
      </c>
      <c r="L58" s="21">
        <v>144</v>
      </c>
      <c r="M58" s="21">
        <v>20</v>
      </c>
      <c r="N58" s="21">
        <v>21</v>
      </c>
      <c r="O58" s="21">
        <v>13</v>
      </c>
      <c r="P58" s="21">
        <v>1</v>
      </c>
      <c r="Q58" s="21"/>
      <c r="R58" s="21"/>
      <c r="S58" s="21"/>
      <c r="T58" s="21">
        <v>1</v>
      </c>
      <c r="U58" s="25">
        <v>260</v>
      </c>
      <c r="V58" s="25">
        <f>H58*U58*I58/15</f>
        <v>1104341.3333333335</v>
      </c>
      <c r="W58" s="25">
        <v>288.45</v>
      </c>
      <c r="X58" s="25">
        <v>1246516.3400000001</v>
      </c>
      <c r="Y58" s="25">
        <f>F58*40</f>
        <v>8000</v>
      </c>
      <c r="Z58" s="25">
        <v>30114</v>
      </c>
      <c r="AA58" s="25">
        <v>0</v>
      </c>
      <c r="AB58" s="25">
        <v>5200</v>
      </c>
      <c r="AC58" s="25">
        <f>G58*30</f>
        <v>0</v>
      </c>
      <c r="AD58" s="25">
        <f>IF(F58="",G58*4.11,F58*4.11)</f>
        <v>822.00000000000011</v>
      </c>
      <c r="AE58" s="25">
        <v>2493.04</v>
      </c>
      <c r="AF58" s="25">
        <f>V58+Y58+Z58+AA58+AB58+AC58+AD58</f>
        <v>1148477.3333333335</v>
      </c>
      <c r="AG58" s="25">
        <f>IFERROR(IFERROR((H58*W58*J58/15)-AE58,""),"")</f>
        <v>1244043.635</v>
      </c>
      <c r="AH58" s="26">
        <f>IFERROR(AG58-AF58,"")</f>
        <v>95566.301666666521</v>
      </c>
      <c r="AI58" s="6">
        <f>IF(F58="",(G58/$F$64)*$AL$21,(F58/$F$64)*$AL$21)</f>
        <v>644.68085106382978</v>
      </c>
      <c r="AJ58" s="6">
        <f>(AH58-AI58)*70%</f>
        <v>66445.134570921873</v>
      </c>
    </row>
    <row r="59" spans="1:36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477.83150833333258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7.681909137107279E-2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ht="15" thickBot="1" x14ac:dyDescent="0.4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3"/>
      <c r="AA63" s="21"/>
      <c r="AB63" s="21"/>
      <c r="AC63" s="21"/>
      <c r="AD63" s="21"/>
      <c r="AE63" s="21"/>
      <c r="AF63" s="21"/>
      <c r="AG63" s="21"/>
      <c r="AH63" s="24"/>
      <c r="AI63" s="47"/>
      <c r="AJ63" s="47"/>
    </row>
    <row r="64" spans="1:36" ht="16" thickBot="1" x14ac:dyDescent="0.4">
      <c r="A64" s="377" t="s">
        <v>496</v>
      </c>
      <c r="B64" s="378"/>
      <c r="C64" s="378"/>
      <c r="D64" s="378"/>
      <c r="E64" s="378"/>
      <c r="F64" s="30">
        <f>SUM(F4:G58)</f>
        <v>940</v>
      </c>
      <c r="G64" s="30"/>
      <c r="H64" s="30"/>
      <c r="I64" s="30"/>
      <c r="J64" s="30"/>
      <c r="K64" s="30"/>
      <c r="L64" s="46"/>
      <c r="M64" s="46"/>
      <c r="N64" s="46"/>
      <c r="O64" s="46"/>
      <c r="P64" s="46"/>
      <c r="Q64" s="46"/>
      <c r="R64" s="46"/>
      <c r="S64" s="46"/>
      <c r="T64" s="46"/>
      <c r="U64" s="30"/>
      <c r="V64" s="31">
        <f>V4+V10+V16+V22+V28+V34+V40+V46+V52+V58</f>
        <v>4517218.1666666679</v>
      </c>
      <c r="W64" s="30"/>
      <c r="X64" s="30"/>
      <c r="Y64" s="31">
        <f>Y4+Y10+Y16+Y22+Y28+Y34+Y40+Y46+Y52+Y58</f>
        <v>31600</v>
      </c>
      <c r="Z64" s="31">
        <f>Z4+Z10+Z16+Z22+Z28+Z34+Z40+Z46+Z52+Z58</f>
        <v>196300.63999999998</v>
      </c>
      <c r="AA64" s="31">
        <f>AA4+AA10+AA16+AA22+AA28+AA34+AA40+AA46+AA52+AA58</f>
        <v>0</v>
      </c>
      <c r="AB64" s="31">
        <f>AB4+AB10+AB16+AB16+AB22+AB28+AB34+AB40+AB46+AB52+AB58</f>
        <v>26650</v>
      </c>
      <c r="AC64" s="31">
        <f t="shared" ref="AC64:AJ64" si="0">AC4+AC10+AC16+AC22+AC28+AC34+AC40+AC46+AC52+AC58</f>
        <v>4500</v>
      </c>
      <c r="AD64" s="31">
        <f t="shared" si="0"/>
        <v>3863.4000000000005</v>
      </c>
      <c r="AE64" s="31">
        <f t="shared" si="0"/>
        <v>10459.51</v>
      </c>
      <c r="AF64" s="31">
        <f t="shared" si="0"/>
        <v>4777482.206666667</v>
      </c>
      <c r="AG64" s="31">
        <f t="shared" si="0"/>
        <v>5219322.777999999</v>
      </c>
      <c r="AH64" s="31">
        <f t="shared" si="0"/>
        <v>441840.57133333292</v>
      </c>
      <c r="AI64" s="31">
        <f t="shared" si="0"/>
        <v>3029.9999999999995</v>
      </c>
      <c r="AJ64" s="31">
        <f t="shared" si="0"/>
        <v>307167.39993333298</v>
      </c>
    </row>
    <row r="65" spans="35:36" x14ac:dyDescent="0.35">
      <c r="AI65" s="47"/>
      <c r="AJ65" s="47"/>
    </row>
    <row r="66" spans="35:36" x14ac:dyDescent="0.35">
      <c r="AI66" s="47"/>
      <c r="AJ66" s="47"/>
    </row>
    <row r="67" spans="35:36" x14ac:dyDescent="0.35">
      <c r="AI67" s="47"/>
      <c r="AJ67" s="47"/>
    </row>
    <row r="68" spans="35:36" x14ac:dyDescent="0.35">
      <c r="AI68" s="47"/>
      <c r="AJ68" s="47"/>
    </row>
    <row r="69" spans="35:36" x14ac:dyDescent="0.35">
      <c r="AI69" s="47"/>
      <c r="AJ69" s="47"/>
    </row>
    <row r="70" spans="35:36" x14ac:dyDescent="0.35">
      <c r="AI70" s="47"/>
      <c r="AJ70" s="47"/>
    </row>
  </sheetData>
  <mergeCells count="2">
    <mergeCell ref="U2:AC2"/>
    <mergeCell ref="A64:E6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59"/>
  <dimension ref="A1:AO1048576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20.1796875" bestFit="1" customWidth="1"/>
    <col min="39" max="39" width="15.72656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AF75</f>
        <v>4010734.2233333341</v>
      </c>
      <c r="AM3" s="164">
        <f>AH75-AI75</f>
        <v>321889.09547999973</v>
      </c>
    </row>
    <row r="4" spans="1:40" x14ac:dyDescent="0.35">
      <c r="A4" s="133">
        <v>45045</v>
      </c>
      <c r="B4" s="21" t="s">
        <v>503</v>
      </c>
      <c r="C4" s="21" t="s">
        <v>504</v>
      </c>
      <c r="D4" s="44">
        <v>147093</v>
      </c>
      <c r="E4" s="44"/>
      <c r="F4" s="21">
        <v>100</v>
      </c>
      <c r="G4" s="21"/>
      <c r="H4" s="22">
        <v>53660</v>
      </c>
      <c r="I4" s="33">
        <v>0.55000000000000004</v>
      </c>
      <c r="J4" s="24">
        <f>IFERROR(K4/H4,"")</f>
        <v>0.56194558330227362</v>
      </c>
      <c r="K4" s="22">
        <v>30154</v>
      </c>
      <c r="L4" s="21">
        <v>21</v>
      </c>
      <c r="M4" s="21">
        <v>66</v>
      </c>
      <c r="N4" s="21">
        <v>12</v>
      </c>
      <c r="O4" s="21">
        <v>1</v>
      </c>
      <c r="P4" s="21"/>
      <c r="Q4" s="21"/>
      <c r="R4" s="21"/>
      <c r="S4" s="21"/>
      <c r="T4" s="21"/>
      <c r="U4" s="25">
        <v>260</v>
      </c>
      <c r="V4" s="25">
        <f>H4*U4*I4/15</f>
        <v>511558.66666666674</v>
      </c>
      <c r="W4" s="25">
        <v>290.18</v>
      </c>
      <c r="X4" s="25">
        <v>583339.03</v>
      </c>
      <c r="Y4" s="25">
        <f>F4*40</f>
        <v>4000</v>
      </c>
      <c r="Z4" s="25">
        <v>16532.400000000001</v>
      </c>
      <c r="AA4" s="25">
        <v>0</v>
      </c>
      <c r="AB4" s="25">
        <v>2600</v>
      </c>
      <c r="AC4" s="25">
        <v>0</v>
      </c>
      <c r="AD4" s="25">
        <f>F4*4.11</f>
        <v>411.00000000000006</v>
      </c>
      <c r="AE4" s="25">
        <v>1166.68</v>
      </c>
      <c r="AF4" s="25">
        <f>V4+Y4+Z4+AA4+AB4+AC4+AD4</f>
        <v>535102.06666666677</v>
      </c>
      <c r="AG4" s="25">
        <f>IFERROR(IFERROR((H4*W4*J4/15)-AE4,""),"")</f>
        <v>582172.50133333332</v>
      </c>
      <c r="AH4" s="26">
        <f>IFERROR(AG4-AF4,"")</f>
        <v>47070.434666666551</v>
      </c>
      <c r="AI4" s="6">
        <f>IF(F4="",(G4/$F$75)*$AL$26,(F4/$F$75)*$AL$26)</f>
        <v>2.3649553571428572</v>
      </c>
      <c r="AJ4" s="6">
        <f>(AH4-AI4)*70%</f>
        <v>32947.648797916583</v>
      </c>
      <c r="AL4" s="166" t="s">
        <v>749</v>
      </c>
      <c r="AM4" s="167">
        <f>AM3/AL3</f>
        <v>8.0256899997845452E-2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470.70434666666551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8.0853071141049185E-2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M9" s="63"/>
    </row>
    <row r="10" spans="1:40" x14ac:dyDescent="0.35">
      <c r="A10" s="138">
        <v>45048</v>
      </c>
      <c r="B10" s="119" t="s">
        <v>482</v>
      </c>
      <c r="C10" s="119" t="s">
        <v>141</v>
      </c>
      <c r="D10" s="44">
        <v>147089</v>
      </c>
      <c r="E10" s="44"/>
      <c r="F10" s="21">
        <v>100</v>
      </c>
      <c r="G10" s="21"/>
      <c r="H10" s="22">
        <v>57150</v>
      </c>
      <c r="I10" s="33">
        <v>0.55000000000000004</v>
      </c>
      <c r="J10" s="24">
        <f>IFERROR(K10/H10,"")</f>
        <v>0.57814523184601929</v>
      </c>
      <c r="K10" s="22">
        <v>33041</v>
      </c>
      <c r="L10" s="21">
        <v>23</v>
      </c>
      <c r="M10" s="21">
        <v>61</v>
      </c>
      <c r="N10" s="21">
        <v>15</v>
      </c>
      <c r="O10" s="21"/>
      <c r="P10" s="21"/>
      <c r="Q10" s="21"/>
      <c r="R10" s="21"/>
      <c r="S10" s="21"/>
      <c r="T10" s="21">
        <v>1</v>
      </c>
      <c r="U10" s="25">
        <v>263</v>
      </c>
      <c r="V10" s="25">
        <f>H10*U10*I10/15</f>
        <v>551116.50000000012</v>
      </c>
      <c r="W10" s="25">
        <v>280.92</v>
      </c>
      <c r="X10" s="25">
        <v>618796.22</v>
      </c>
      <c r="Y10" s="25">
        <f>F10*40</f>
        <v>4000</v>
      </c>
      <c r="Z10" s="25">
        <v>15154.8</v>
      </c>
      <c r="AA10" s="25">
        <v>0</v>
      </c>
      <c r="AB10" s="25">
        <v>2630</v>
      </c>
      <c r="AC10" s="25">
        <v>0</v>
      </c>
      <c r="AD10" s="25">
        <f>IF(F10="",G10*4.11,F10*4.11)</f>
        <v>411.00000000000006</v>
      </c>
      <c r="AE10" s="25">
        <v>1237.5999999999999</v>
      </c>
      <c r="AF10" s="25">
        <f>V10+Y10+Z10+AA10+AB10+AC10+AD10</f>
        <v>573312.30000000016</v>
      </c>
      <c r="AG10" s="25">
        <f>IFERROR(IFERROR((H10*W10*J10/15)-AE10,""),"")</f>
        <v>617554.24800000002</v>
      </c>
      <c r="AH10" s="26">
        <f>IFERROR(AG10-AF10,"")</f>
        <v>44241.947999999858</v>
      </c>
      <c r="AI10" s="6">
        <f>IF(F10="",(G10/$F$75)*$AL$26,(F10/$F$75)*$AL$26)</f>
        <v>2.3649553571428572</v>
      </c>
      <c r="AJ10" s="6">
        <f>(AH10-AI10)*70%</f>
        <v>30967.708131249896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442.4194799999986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7.1640585654266051E-2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</row>
    <row r="16" spans="1:40" x14ac:dyDescent="0.35">
      <c r="A16" s="138">
        <v>45048</v>
      </c>
      <c r="B16" s="119" t="s">
        <v>482</v>
      </c>
      <c r="C16" s="119" t="s">
        <v>346</v>
      </c>
      <c r="D16" s="44">
        <v>147088</v>
      </c>
      <c r="E16" s="44"/>
      <c r="F16" s="21">
        <v>100</v>
      </c>
      <c r="G16" s="21"/>
      <c r="H16" s="22">
        <v>49510</v>
      </c>
      <c r="I16" s="33">
        <v>0.53</v>
      </c>
      <c r="J16" s="24">
        <f>IFERROR(K16/H16,"")</f>
        <v>0.55166633003433652</v>
      </c>
      <c r="K16" s="22">
        <v>27313</v>
      </c>
      <c r="L16" s="21">
        <v>25</v>
      </c>
      <c r="M16" s="21">
        <v>60</v>
      </c>
      <c r="N16" s="21">
        <v>15</v>
      </c>
      <c r="O16" s="21"/>
      <c r="P16" s="21"/>
      <c r="Q16" s="21"/>
      <c r="R16" s="21"/>
      <c r="S16" s="21"/>
      <c r="T16" s="21"/>
      <c r="U16" s="25">
        <v>250</v>
      </c>
      <c r="V16" s="25">
        <f>H16*U16*I16/15</f>
        <v>437338.33333333331</v>
      </c>
      <c r="W16" s="25">
        <v>281.89</v>
      </c>
      <c r="X16" s="25">
        <v>513290.87</v>
      </c>
      <c r="Y16" s="25">
        <f>F16*40</f>
        <v>4000</v>
      </c>
      <c r="Z16" s="25">
        <v>28825.8</v>
      </c>
      <c r="AA16" s="25">
        <v>0</v>
      </c>
      <c r="AB16" s="25">
        <v>2500</v>
      </c>
      <c r="AC16" s="25">
        <v>0</v>
      </c>
      <c r="AD16" s="25">
        <f>IF(F16="",G16*4.11,F16*4.11)</f>
        <v>411.00000000000006</v>
      </c>
      <c r="AE16" s="25">
        <v>1026.58</v>
      </c>
      <c r="AF16" s="25">
        <f>V16+Y16+Z16+AA16+AB16+AC16+AD16</f>
        <v>473075.1333333333</v>
      </c>
      <c r="AG16" s="25">
        <f>IFERROR(IFERROR((H16*W16*J16/15)-AE16,""),"")</f>
        <v>512257.52466666664</v>
      </c>
      <c r="AH16" s="26">
        <f>IFERROR(AG16-AF16,"")</f>
        <v>39182.391333333333</v>
      </c>
      <c r="AI16" s="6">
        <f>IF(F16="",(G16/$F$75)*$AL$26,(F16/$F$75)*$AL$26)</f>
        <v>2.3649553571428572</v>
      </c>
      <c r="AJ16" s="6">
        <f>(AH16-AI16)*70%</f>
        <v>27426.018464583329</v>
      </c>
      <c r="AL16">
        <f>F4+G4+F10+G10+F16+G16+F22+G22+F28+G28+F34+G34+F40+G40+F46+G46+F52+G52+F58+G58+F64+G64+F70+G70</f>
        <v>896</v>
      </c>
      <c r="AM16" s="50" t="s">
        <v>22</v>
      </c>
      <c r="AN16" t="s">
        <v>72</v>
      </c>
    </row>
    <row r="17" spans="1:4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391.82391333333334</v>
      </c>
      <c r="AL17" s="11">
        <f>AH4+AH10+AH16+AH22+AH28+AH34+AH40+AH46+AH52+AH58+AH64+AH70</f>
        <v>321910.28547999973</v>
      </c>
      <c r="AM17" s="11">
        <f>AL17*30%</f>
        <v>96573.085643999919</v>
      </c>
    </row>
    <row r="18" spans="1:41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7.6489635479400478E-2</v>
      </c>
      <c r="AL18" s="11"/>
      <c r="AM18" s="11"/>
    </row>
    <row r="19" spans="1:41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</row>
    <row r="20" spans="1:4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1"/>
    </row>
    <row r="21" spans="1:41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80" t="s">
        <v>187</v>
      </c>
      <c r="AM21" s="211" t="s">
        <v>680</v>
      </c>
      <c r="AN21" s="190"/>
      <c r="AO21" s="191"/>
    </row>
    <row r="22" spans="1:41" x14ac:dyDescent="0.35">
      <c r="A22" s="20">
        <v>45049</v>
      </c>
      <c r="B22" s="21" t="s">
        <v>482</v>
      </c>
      <c r="C22" s="21" t="s">
        <v>505</v>
      </c>
      <c r="D22" s="44">
        <v>147087</v>
      </c>
      <c r="E22" s="44"/>
      <c r="F22" s="21"/>
      <c r="G22" s="21">
        <v>65</v>
      </c>
      <c r="H22" s="22">
        <v>24290</v>
      </c>
      <c r="I22" s="33">
        <v>0.5</v>
      </c>
      <c r="J22" s="24">
        <f>IFERROR(K22/H22,"")</f>
        <v>0.4895508439687114</v>
      </c>
      <c r="K22" s="22">
        <v>11891.19</v>
      </c>
      <c r="L22" s="21">
        <v>10</v>
      </c>
      <c r="M22" s="21">
        <v>30</v>
      </c>
      <c r="N22" s="21">
        <v>21</v>
      </c>
      <c r="O22" s="21">
        <v>3</v>
      </c>
      <c r="P22" s="21">
        <v>1</v>
      </c>
      <c r="Q22" s="21"/>
      <c r="R22" s="21"/>
      <c r="S22" s="21"/>
      <c r="T22" s="21"/>
      <c r="U22" s="25">
        <v>220</v>
      </c>
      <c r="V22" s="25">
        <f>H22*U22*I22/15</f>
        <v>178126.66666666666</v>
      </c>
      <c r="W22" s="25">
        <v>270.07</v>
      </c>
      <c r="X22" s="25">
        <v>214096.41</v>
      </c>
      <c r="Y22" s="25">
        <f>G22*40</f>
        <v>2600</v>
      </c>
      <c r="Z22" s="25">
        <v>6798.1</v>
      </c>
      <c r="AA22" s="25">
        <v>0</v>
      </c>
      <c r="AB22" s="25">
        <v>1430</v>
      </c>
      <c r="AC22" s="25">
        <v>0</v>
      </c>
      <c r="AD22" s="25">
        <f>IF(F22="",G22*4.11,F22*4.11)</f>
        <v>267.15000000000003</v>
      </c>
      <c r="AE22" s="25">
        <v>428.18</v>
      </c>
      <c r="AF22" s="25">
        <f>V22+Y22+Z22+AA22+AB22+AC22+AD22</f>
        <v>189221.91666666666</v>
      </c>
      <c r="AG22" s="25">
        <f>IFERROR(IFERROR((H22*W22*J22/15)-AE22,""),"")</f>
        <v>213668.73221999998</v>
      </c>
      <c r="AH22" s="26">
        <f>IFERROR(AG22-AF22,"")</f>
        <v>24446.815553333319</v>
      </c>
      <c r="AI22" s="6">
        <f>IF(F22="",(G22/$F$75)*$AL$26,(F22/$F$75)*$AL$26)</f>
        <v>1.5372209821428573</v>
      </c>
      <c r="AJ22" s="6">
        <f>(AH22-AI22)*70%</f>
        <v>17111.694832645822</v>
      </c>
      <c r="AL22" s="178">
        <v>21.19</v>
      </c>
      <c r="AM22" t="s">
        <v>508</v>
      </c>
      <c r="AO22" s="174"/>
    </row>
    <row r="23" spans="1:41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AH22/G22</f>
        <v>376.10485466666643</v>
      </c>
      <c r="AL23" s="178">
        <f>13680-13680</f>
        <v>0</v>
      </c>
      <c r="AM23" s="6" t="s">
        <v>513</v>
      </c>
      <c r="AO23" s="174"/>
    </row>
    <row r="24" spans="1:41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0.11441456735074422</v>
      </c>
      <c r="AL24" s="178">
        <v>0</v>
      </c>
      <c r="AO24" s="174"/>
    </row>
    <row r="25" spans="1:4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  <c r="AL25" s="178"/>
      <c r="AO25" s="174"/>
    </row>
    <row r="26" spans="1:4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  <c r="AL26" s="213">
        <f>SUM(AL22:AL25)</f>
        <v>21.19</v>
      </c>
      <c r="AM26" s="211" t="s">
        <v>682</v>
      </c>
      <c r="AN26" s="190"/>
      <c r="AO26" s="191"/>
    </row>
    <row r="27" spans="1:41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  <c r="AL27" s="57"/>
    </row>
    <row r="28" spans="1:41" x14ac:dyDescent="0.35">
      <c r="A28" s="20">
        <v>45049</v>
      </c>
      <c r="B28" s="21" t="s">
        <v>482</v>
      </c>
      <c r="C28" s="21" t="s">
        <v>124</v>
      </c>
      <c r="D28" s="44">
        <v>147087</v>
      </c>
      <c r="E28" s="44"/>
      <c r="F28" s="21"/>
      <c r="G28" s="21">
        <v>63</v>
      </c>
      <c r="H28" s="22">
        <v>25860</v>
      </c>
      <c r="I28" s="33">
        <v>0.5</v>
      </c>
      <c r="J28" s="24">
        <f>IFERROR(K28/H28,"")</f>
        <v>0.44568097447795824</v>
      </c>
      <c r="K28" s="22">
        <v>11525.31</v>
      </c>
      <c r="L28" s="21"/>
      <c r="M28" s="21">
        <v>50</v>
      </c>
      <c r="N28" s="21">
        <v>13</v>
      </c>
      <c r="O28" s="21"/>
      <c r="P28" s="21"/>
      <c r="Q28" s="21"/>
      <c r="R28" s="21"/>
      <c r="S28" s="21"/>
      <c r="T28" s="21"/>
      <c r="U28" s="25">
        <v>220</v>
      </c>
      <c r="V28" s="25">
        <f>H28*U28*I28/15</f>
        <v>189640</v>
      </c>
      <c r="W28" s="25">
        <v>270.07</v>
      </c>
      <c r="X28" s="25">
        <v>207508.83</v>
      </c>
      <c r="Y28" s="25">
        <f>G28*40</f>
        <v>2520</v>
      </c>
      <c r="Z28" s="25">
        <v>12192.7</v>
      </c>
      <c r="AA28" s="25">
        <v>0</v>
      </c>
      <c r="AB28" s="25">
        <v>1386</v>
      </c>
      <c r="AC28" s="25">
        <v>0</v>
      </c>
      <c r="AD28" s="25">
        <f>IF(F28="",G28*4.11,F28*4.11)</f>
        <v>258.93</v>
      </c>
      <c r="AE28" s="25">
        <v>415.01</v>
      </c>
      <c r="AF28" s="25">
        <f>V28+Y28+Z28+AA28+AB28+AC28+AD28</f>
        <v>205997.63</v>
      </c>
      <c r="AG28" s="25">
        <f>IFERROR(IFERROR((H28*W28*J28/15)-AE28,""),"")</f>
        <v>207094.35477999999</v>
      </c>
      <c r="AH28" s="26">
        <f>IFERROR(AG28-AF28,"")</f>
        <v>1096.7247799999896</v>
      </c>
      <c r="AI28" s="6">
        <f>IF(F28="",(G28/$F$75)*$AL$26,(F28/$F$75)*$AL$26)</f>
        <v>1.4899218750000001</v>
      </c>
      <c r="AJ28" s="6">
        <f>(AH28-AI28)*70%</f>
        <v>766.66440068749273</v>
      </c>
    </row>
    <row r="29" spans="1:41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AH28/G28</f>
        <v>17.408329841269676</v>
      </c>
      <c r="AL29" s="95">
        <f>AL17-AL26</f>
        <v>321889.09547999973</v>
      </c>
      <c r="AM29" s="11" t="s">
        <v>471</v>
      </c>
    </row>
    <row r="30" spans="1:4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5.2957734225303234E-3</v>
      </c>
      <c r="AL30" s="95">
        <f>AL29*30%</f>
        <v>96566.728643999915</v>
      </c>
      <c r="AM30" s="11" t="s">
        <v>499</v>
      </c>
    </row>
    <row r="31" spans="1:4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7">
        <v>28782.31</v>
      </c>
      <c r="AM31" t="s">
        <v>524</v>
      </c>
    </row>
    <row r="32" spans="1:4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140">
        <f>AL30-AL31</f>
        <v>67784.418643999918</v>
      </c>
      <c r="AM32" s="141" t="s">
        <v>525</v>
      </c>
    </row>
    <row r="33" spans="1:37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7" x14ac:dyDescent="0.35">
      <c r="A34" s="20">
        <v>45049</v>
      </c>
      <c r="B34" s="21" t="s">
        <v>482</v>
      </c>
      <c r="C34" s="21" t="s">
        <v>141</v>
      </c>
      <c r="D34" s="44">
        <v>147086</v>
      </c>
      <c r="E34" s="44"/>
      <c r="F34" s="21">
        <v>52</v>
      </c>
      <c r="G34" s="21"/>
      <c r="H34" s="22">
        <v>29660</v>
      </c>
      <c r="I34" s="33">
        <v>0.55000000000000004</v>
      </c>
      <c r="J34" s="24">
        <f>IFERROR(K34/H34,"")</f>
        <v>0.57543830074173974</v>
      </c>
      <c r="K34" s="22">
        <v>17067.5</v>
      </c>
      <c r="L34" s="21">
        <v>11</v>
      </c>
      <c r="M34" s="21">
        <v>39</v>
      </c>
      <c r="N34" s="21">
        <v>2</v>
      </c>
      <c r="O34" s="21"/>
      <c r="P34" s="21"/>
      <c r="Q34" s="21"/>
      <c r="R34" s="21"/>
      <c r="S34" s="21"/>
      <c r="T34" s="21"/>
      <c r="U34" s="25">
        <v>263</v>
      </c>
      <c r="V34" s="25">
        <f>H34*U34*I34/15</f>
        <v>286021.26666666666</v>
      </c>
      <c r="W34" s="25">
        <v>276.82</v>
      </c>
      <c r="X34" s="25">
        <v>314968.73</v>
      </c>
      <c r="Y34" s="25">
        <f>F34*40</f>
        <v>2080</v>
      </c>
      <c r="Z34" s="25">
        <v>7693</v>
      </c>
      <c r="AA34" s="25">
        <v>0</v>
      </c>
      <c r="AB34" s="25">
        <v>1367.6</v>
      </c>
      <c r="AC34" s="25">
        <v>0</v>
      </c>
      <c r="AD34" s="25">
        <f>IF(F34="",G34*4.11,F34*4.11)</f>
        <v>213.72000000000003</v>
      </c>
      <c r="AE34" s="25">
        <v>629.92999999999995</v>
      </c>
      <c r="AF34" s="25">
        <f>V34+Y34+Z34+AA34+AB34+AC34+AD34</f>
        <v>297375.58666666661</v>
      </c>
      <c r="AG34" s="25">
        <f>IFERROR(IFERROR((H34*W34*J34/15)-AE34,""),"")</f>
        <v>314345.09333333338</v>
      </c>
      <c r="AH34" s="26">
        <f>IFERROR(AG34-AF34,"")</f>
        <v>16969.50666666677</v>
      </c>
      <c r="AI34" s="6">
        <f>IF(F34="",(G34/$F$75)*$AL$26,(F34/$F$75)*$AL$26)</f>
        <v>1.2297767857142858</v>
      </c>
      <c r="AJ34" s="6">
        <f>(AH34-AI34)*70%</f>
        <v>11877.793822916739</v>
      </c>
    </row>
    <row r="35" spans="1:37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326.33666666666863</v>
      </c>
    </row>
    <row r="36" spans="1:37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5.3983685530832208E-2</v>
      </c>
    </row>
    <row r="37" spans="1:37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7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7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7" x14ac:dyDescent="0.35">
      <c r="A40" s="20">
        <v>45049</v>
      </c>
      <c r="B40" s="21" t="s">
        <v>482</v>
      </c>
      <c r="C40" s="21" t="s">
        <v>389</v>
      </c>
      <c r="D40" s="44">
        <v>147087</v>
      </c>
      <c r="E40" s="44"/>
      <c r="F40" s="21"/>
      <c r="G40" s="21">
        <v>60</v>
      </c>
      <c r="H40" s="22">
        <v>20060</v>
      </c>
      <c r="I40" s="33">
        <v>0.5</v>
      </c>
      <c r="J40" s="24">
        <f>IFERROR(K40/H40,"")</f>
        <v>0.54718245264207377</v>
      </c>
      <c r="K40" s="22">
        <v>10976.48</v>
      </c>
      <c r="L40" s="21">
        <v>34</v>
      </c>
      <c r="M40" s="21">
        <v>21</v>
      </c>
      <c r="N40" s="21">
        <v>1</v>
      </c>
      <c r="O40" s="21">
        <v>3</v>
      </c>
      <c r="P40" s="21">
        <v>1</v>
      </c>
      <c r="Q40" s="21"/>
      <c r="R40" s="21"/>
      <c r="S40" s="21"/>
      <c r="T40" s="21"/>
      <c r="U40" s="25">
        <v>220</v>
      </c>
      <c r="V40" s="25">
        <f>H40*U40*I40/15</f>
        <v>147106.66666666666</v>
      </c>
      <c r="W40" s="25">
        <v>270.07</v>
      </c>
      <c r="X40" s="25">
        <v>197627.45</v>
      </c>
      <c r="Y40" s="25">
        <f>G40*40</f>
        <v>2400</v>
      </c>
      <c r="Z40" s="25">
        <v>5675.8</v>
      </c>
      <c r="AA40" s="25">
        <v>0</v>
      </c>
      <c r="AB40" s="25">
        <v>1320</v>
      </c>
      <c r="AC40" s="25">
        <v>0</v>
      </c>
      <c r="AD40" s="25">
        <f>IF(F40="",G40*4.11,F40*4.11)</f>
        <v>246.60000000000002</v>
      </c>
      <c r="AE40" s="25">
        <v>395.25</v>
      </c>
      <c r="AF40" s="25">
        <f>V40+Y40+Z40+AA40+AB40+AC40+AD40</f>
        <v>156749.06666666665</v>
      </c>
      <c r="AG40" s="25">
        <f>IFERROR(IFERROR((H40*W40*J40/15)-AE40,""),"")</f>
        <v>197232.61357333334</v>
      </c>
      <c r="AH40" s="26">
        <f>IFERROR(AG40-AF40,"")</f>
        <v>40483.546906666685</v>
      </c>
      <c r="AI40" s="6">
        <f>IF(F40="",(G40/$F$75)*$AL$26,(F40/$F$75)*$AL$26)</f>
        <v>1.4189732142857143</v>
      </c>
      <c r="AJ40" s="6">
        <f>(AH40-AI40)*70%</f>
        <v>28337.489553416679</v>
      </c>
    </row>
    <row r="41" spans="1:37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AH40/G40</f>
        <v>674.72578177777802</v>
      </c>
    </row>
    <row r="42" spans="1:37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0.20525787380297753</v>
      </c>
    </row>
    <row r="43" spans="1:37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7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7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7" x14ac:dyDescent="0.35">
      <c r="A46" s="20">
        <v>45050</v>
      </c>
      <c r="B46" s="21" t="s">
        <v>93</v>
      </c>
      <c r="C46" s="21" t="s">
        <v>507</v>
      </c>
      <c r="D46" s="44">
        <v>1739</v>
      </c>
      <c r="E46" s="44"/>
      <c r="F46" s="117">
        <v>152</v>
      </c>
      <c r="G46" s="21"/>
      <c r="H46" s="22">
        <v>78907.86</v>
      </c>
      <c r="I46" s="33">
        <v>0.5</v>
      </c>
      <c r="J46" s="24">
        <f>IFERROR(K46/H46,"")</f>
        <v>0.49885752826144314</v>
      </c>
      <c r="K46" s="22">
        <v>39363.78</v>
      </c>
      <c r="L46" s="21">
        <v>14</v>
      </c>
      <c r="M46" s="21">
        <v>52</v>
      </c>
      <c r="N46" s="21">
        <v>86</v>
      </c>
      <c r="O46" s="21"/>
      <c r="P46" s="21"/>
      <c r="Q46" s="21"/>
      <c r="R46" s="21"/>
      <c r="S46" s="21"/>
      <c r="T46" s="21"/>
      <c r="U46" s="25">
        <v>220</v>
      </c>
      <c r="V46" s="25">
        <f>H46*U46*I46/15</f>
        <v>578657.64</v>
      </c>
      <c r="W46" s="25">
        <v>277.24</v>
      </c>
      <c r="X46" s="25">
        <v>727543.54</v>
      </c>
      <c r="Y46" s="25">
        <v>0</v>
      </c>
      <c r="Z46" s="25">
        <v>58629.3</v>
      </c>
      <c r="AA46" s="25">
        <v>0</v>
      </c>
      <c r="AB46" s="65">
        <f>F46*22</f>
        <v>3344</v>
      </c>
      <c r="AC46" s="25">
        <f>F46*38</f>
        <v>5776</v>
      </c>
      <c r="AD46" s="25">
        <f>IF(F46="",G46*4.11,F46*4.11)</f>
        <v>624.72</v>
      </c>
      <c r="AE46" s="25">
        <v>0</v>
      </c>
      <c r="AF46" s="25">
        <f>V46+Y46+Z46+AA46+AB46+AC46+AD46</f>
        <v>647031.66</v>
      </c>
      <c r="AG46" s="25">
        <f>IFERROR(IFERROR((H46*W46*J46/15)-AE46,""),"")</f>
        <v>727547.62448</v>
      </c>
      <c r="AH46" s="26">
        <f>IFERROR(AG46-AF46,"")</f>
        <v>80515.964479999966</v>
      </c>
      <c r="AI46" s="6">
        <f>IF(F46="",(G46/$F$75)*$AL$26,(F46/$F$75)*$AL$26)</f>
        <v>3.594732142857143</v>
      </c>
      <c r="AJ46" s="6">
        <f>(AH46-AI46)*70%</f>
        <v>56358.658823499973</v>
      </c>
      <c r="AK46" t="s">
        <v>580</v>
      </c>
    </row>
    <row r="47" spans="1:37" x14ac:dyDescent="0.35">
      <c r="A47" s="21"/>
      <c r="B47" s="21"/>
      <c r="C47" s="21"/>
      <c r="D47" s="21"/>
      <c r="E47" s="21">
        <v>153</v>
      </c>
      <c r="F47" s="21"/>
      <c r="G47" s="21"/>
      <c r="H47" s="21">
        <v>79427</v>
      </c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529.71029263157868</v>
      </c>
    </row>
    <row r="48" spans="1:3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0.11066762060771916</v>
      </c>
    </row>
    <row r="49" spans="1:3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7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7" x14ac:dyDescent="0.35">
      <c r="A52" s="20">
        <v>45050</v>
      </c>
      <c r="B52" s="21" t="s">
        <v>101</v>
      </c>
      <c r="C52" s="21" t="s">
        <v>507</v>
      </c>
      <c r="D52" s="44">
        <v>1739</v>
      </c>
      <c r="E52" s="44"/>
      <c r="F52" s="21">
        <v>50</v>
      </c>
      <c r="G52" s="21"/>
      <c r="H52" s="22">
        <v>27925</v>
      </c>
      <c r="I52" s="33">
        <v>0.5</v>
      </c>
      <c r="J52" s="24">
        <f>IFERROR(K52/H52,"")</f>
        <v>0.46369239033124443</v>
      </c>
      <c r="K52" s="22">
        <v>12948.61</v>
      </c>
      <c r="L52" s="21"/>
      <c r="M52" s="21"/>
      <c r="N52" s="21">
        <v>35</v>
      </c>
      <c r="O52" s="21">
        <v>11</v>
      </c>
      <c r="P52" s="21">
        <v>4</v>
      </c>
      <c r="Q52" s="21"/>
      <c r="R52" s="21"/>
      <c r="S52" s="21"/>
      <c r="T52" s="21"/>
      <c r="U52" s="25">
        <v>220</v>
      </c>
      <c r="V52" s="25">
        <f>H52*U52*I52/15</f>
        <v>204783.33333333334</v>
      </c>
      <c r="W52" s="25">
        <v>277.24</v>
      </c>
      <c r="X52" s="25">
        <v>239323.53</v>
      </c>
      <c r="Y52" s="25">
        <v>0</v>
      </c>
      <c r="Z52" s="25">
        <v>19312.599999999999</v>
      </c>
      <c r="AA52" s="25">
        <v>0</v>
      </c>
      <c r="AB52" s="65">
        <f>F52*22</f>
        <v>1100</v>
      </c>
      <c r="AC52" s="25">
        <f>F52*38</f>
        <v>1900</v>
      </c>
      <c r="AD52" s="25">
        <f>IF(F52="",G52*4.11,F52*4.11)</f>
        <v>205.50000000000003</v>
      </c>
      <c r="AE52" s="25">
        <v>0</v>
      </c>
      <c r="AF52" s="25">
        <f>V52+Y52+Z52+AA52+AB52+AC52+AD52</f>
        <v>227301.43333333335</v>
      </c>
      <c r="AG52" s="25">
        <f>IFERROR(IFERROR((H52*W52*J52/15)-AE52,""),"")</f>
        <v>239324.84242666667</v>
      </c>
      <c r="AH52" s="26">
        <f>IFERROR(AG52-AF52,"")</f>
        <v>12023.409093333321</v>
      </c>
      <c r="AI52" s="6">
        <f>IF(F52="",(G52/$F$75)*$AL$26,(F52/$F$75)*$AL$26)</f>
        <v>1.1824776785714286</v>
      </c>
      <c r="AJ52" s="6">
        <f>(AH52-AI52)*70%</f>
        <v>8415.558630958325</v>
      </c>
      <c r="AK52" t="s">
        <v>580</v>
      </c>
    </row>
    <row r="53" spans="1:3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240.46818186666641</v>
      </c>
    </row>
    <row r="54" spans="1:3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5.0238867688871473E-2</v>
      </c>
    </row>
    <row r="55" spans="1:3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7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37" x14ac:dyDescent="0.35">
      <c r="A58" s="20">
        <v>45051</v>
      </c>
      <c r="B58" s="21" t="s">
        <v>474</v>
      </c>
      <c r="C58" s="21" t="s">
        <v>332</v>
      </c>
      <c r="D58" s="44">
        <v>1739</v>
      </c>
      <c r="E58" s="44"/>
      <c r="F58" s="21">
        <v>54</v>
      </c>
      <c r="G58" s="21"/>
      <c r="H58" s="22">
        <v>27600</v>
      </c>
      <c r="I58" s="33">
        <v>0.53</v>
      </c>
      <c r="J58" s="24">
        <f>IFERROR(K58/H58,"")</f>
        <v>0.50668478260869565</v>
      </c>
      <c r="K58" s="22">
        <v>13984.5</v>
      </c>
      <c r="L58" s="21"/>
      <c r="M58" s="21"/>
      <c r="N58" s="21">
        <v>50</v>
      </c>
      <c r="O58" s="21">
        <v>4</v>
      </c>
      <c r="P58" s="21"/>
      <c r="Q58" s="21"/>
      <c r="R58" s="21"/>
      <c r="S58" s="21"/>
      <c r="T58" s="21"/>
      <c r="U58" s="25">
        <v>235</v>
      </c>
      <c r="V58" s="25">
        <f>H58*U58*I58/15</f>
        <v>229172</v>
      </c>
      <c r="W58" s="25">
        <v>277.24</v>
      </c>
      <c r="X58" s="25">
        <v>258469.41</v>
      </c>
      <c r="Y58" s="25">
        <f>F58*40</f>
        <v>2160</v>
      </c>
      <c r="Z58" s="25">
        <v>7881.7</v>
      </c>
      <c r="AA58" s="25">
        <v>0</v>
      </c>
      <c r="AB58" s="25">
        <v>1269</v>
      </c>
      <c r="AC58" s="25">
        <f>G58*30</f>
        <v>0</v>
      </c>
      <c r="AD58" s="25">
        <f>IF(F58="",G58*4.11,F58*4.11)</f>
        <v>221.94000000000003</v>
      </c>
      <c r="AE58" s="25">
        <v>0</v>
      </c>
      <c r="AF58" s="25">
        <f>V58+Y58+Z58+AA58+AB58+AC58+AD58</f>
        <v>240704.64000000001</v>
      </c>
      <c r="AG58" s="25">
        <f>IFERROR(IFERROR((H58*W58*J58/15)-AE58,""),"")</f>
        <v>258470.85199999998</v>
      </c>
      <c r="AH58" s="26">
        <f>IFERROR(AG58-AF58,"")</f>
        <v>17766.21199999997</v>
      </c>
      <c r="AI58" s="6">
        <f>IF(F58="",(G58/$F$75)*$AL$26,(F58/$F$75)*$AL$26)</f>
        <v>1.2770758928571428</v>
      </c>
      <c r="AJ58" s="6">
        <f>(AH58-AI58)*70%</f>
        <v>12435.454446874979</v>
      </c>
    </row>
    <row r="59" spans="1:3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329.00392592592539</v>
      </c>
    </row>
    <row r="60" spans="1:3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6.8735843374710476E-2</v>
      </c>
    </row>
    <row r="61" spans="1:3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7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7" x14ac:dyDescent="0.35">
      <c r="A64" s="20">
        <v>45051</v>
      </c>
      <c r="B64" s="21" t="s">
        <v>474</v>
      </c>
      <c r="C64" s="21" t="s">
        <v>509</v>
      </c>
      <c r="D64" s="44">
        <v>147338</v>
      </c>
      <c r="E64" s="44"/>
      <c r="F64" s="21">
        <v>88</v>
      </c>
      <c r="G64" s="21"/>
      <c r="H64" s="22">
        <v>44088</v>
      </c>
      <c r="I64" s="33">
        <v>0.53</v>
      </c>
      <c r="J64" s="24">
        <f>IFERROR(K64/H64,"")</f>
        <v>0.52464071856287431</v>
      </c>
      <c r="K64" s="22">
        <v>23130.36</v>
      </c>
      <c r="L64" s="21">
        <v>9</v>
      </c>
      <c r="M64" s="21">
        <v>6</v>
      </c>
      <c r="N64" s="21">
        <v>31</v>
      </c>
      <c r="O64" s="21">
        <v>37</v>
      </c>
      <c r="P64" s="21">
        <v>5</v>
      </c>
      <c r="Q64" s="21"/>
      <c r="R64" s="21"/>
      <c r="S64" s="21"/>
      <c r="T64" s="21"/>
      <c r="U64" s="25">
        <v>250</v>
      </c>
      <c r="V64" s="25">
        <f>H64*U64*I64/15</f>
        <v>389444</v>
      </c>
      <c r="W64" s="25">
        <v>264.74</v>
      </c>
      <c r="X64" s="25">
        <v>408229.42</v>
      </c>
      <c r="Y64" s="25">
        <f>F64*40</f>
        <v>3520</v>
      </c>
      <c r="Z64" s="25">
        <v>15422.7</v>
      </c>
      <c r="AA64" s="25">
        <v>0</v>
      </c>
      <c r="AB64" s="25">
        <v>2200</v>
      </c>
      <c r="AC64" s="25">
        <v>0</v>
      </c>
      <c r="AD64" s="25">
        <f>IF(F64="",G64*4.11,F64*4.11)</f>
        <v>361.68</v>
      </c>
      <c r="AE64" s="25">
        <v>816.45</v>
      </c>
      <c r="AF64" s="25">
        <f>V64+Y64+Z64+AA64+AB64+AC64+AD64</f>
        <v>410948.38</v>
      </c>
      <c r="AG64" s="25">
        <f>IFERROR(IFERROR((H64*W64*J64/15)-AE64,""),"")</f>
        <v>407418.98376000009</v>
      </c>
      <c r="AH64" s="26">
        <f>IFERROR(AG64-AF64,"")</f>
        <v>-3529.3962399999145</v>
      </c>
      <c r="AI64" s="6">
        <f>IF(F64="",(G64/$F$75)*$AL$26,(F64/$F$75)*$AL$26)</f>
        <v>2.0811607142857143</v>
      </c>
      <c r="AJ64" s="6">
        <f>(AH64-AI64)*70%</f>
        <v>-2472.0341804999398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-40.106775454544483</v>
      </c>
    </row>
    <row r="66" spans="1:36" ht="15" customHeight="1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-8.6628173469672932E-3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47"/>
      <c r="AI68" s="47"/>
      <c r="AJ68" s="47"/>
    </row>
    <row r="69" spans="1:36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258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20">
        <v>45051</v>
      </c>
      <c r="B70" s="21" t="s">
        <v>474</v>
      </c>
      <c r="C70" s="21" t="s">
        <v>509</v>
      </c>
      <c r="D70" s="44">
        <v>147338</v>
      </c>
      <c r="E70" s="44"/>
      <c r="F70" s="21">
        <v>12</v>
      </c>
      <c r="G70" s="21"/>
      <c r="H70" s="22">
        <v>6012</v>
      </c>
      <c r="I70" s="33">
        <v>0.51</v>
      </c>
      <c r="J70" s="24">
        <f>IFERROR(K70/H70,"")</f>
        <v>0.5246407185628742</v>
      </c>
      <c r="K70" s="22">
        <v>3154.14</v>
      </c>
      <c r="L70" s="21"/>
      <c r="M70" s="21"/>
      <c r="N70" s="21">
        <v>12</v>
      </c>
      <c r="O70" s="21"/>
      <c r="P70" s="21"/>
      <c r="Q70" s="21"/>
      <c r="R70" s="21"/>
      <c r="S70" s="21"/>
      <c r="T70" s="21"/>
      <c r="U70" s="25">
        <v>250</v>
      </c>
      <c r="V70" s="25">
        <f>H70*U70*I70/15</f>
        <v>51102</v>
      </c>
      <c r="W70" s="25">
        <v>264.74</v>
      </c>
      <c r="X70" s="25">
        <v>55667.64</v>
      </c>
      <c r="Y70" s="25">
        <f>F70*30</f>
        <v>360</v>
      </c>
      <c r="Z70" s="25">
        <v>2103.09</v>
      </c>
      <c r="AA70" s="25">
        <v>0</v>
      </c>
      <c r="AB70" s="25">
        <v>300</v>
      </c>
      <c r="AC70" s="25">
        <v>0</v>
      </c>
      <c r="AD70" s="25">
        <f>IF(F70="",G70*4.11,F70*4.11)</f>
        <v>49.320000000000007</v>
      </c>
      <c r="AE70" s="25">
        <v>111.33</v>
      </c>
      <c r="AF70" s="25">
        <f>V70+Y70+Z70+AA70+AB70+AC70+AD70</f>
        <v>53914.409999999996</v>
      </c>
      <c r="AG70" s="25">
        <f>IFERROR(IFERROR((H70*W70*J70/15)-AE70,""),"")</f>
        <v>55557.138239999993</v>
      </c>
      <c r="AH70" s="26">
        <f>IFERROR(AG70-AF70,"")</f>
        <v>1642.7282399999967</v>
      </c>
      <c r="AI70" s="6">
        <f>IF(F70="",(G70/$F$75)*$AL$26,(F70/$F$75)*$AL$26)</f>
        <v>0.28379464285714284</v>
      </c>
      <c r="AJ70" s="6">
        <f>(AH70-AI70)*70%</f>
        <v>1149.7111117499976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AH70/F70</f>
        <v>136.89401999999973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2.9568265969777154E-2</v>
      </c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47"/>
      <c r="AI73" s="47"/>
      <c r="AJ73" s="47"/>
    </row>
    <row r="74" spans="1:36" ht="15" thickBot="1" x14ac:dyDescent="0.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47"/>
      <c r="AI74" s="47"/>
      <c r="AJ74" s="47"/>
    </row>
    <row r="75" spans="1:36" ht="16" thickBot="1" x14ac:dyDescent="0.4">
      <c r="A75" s="377" t="s">
        <v>502</v>
      </c>
      <c r="B75" s="378"/>
      <c r="C75" s="378"/>
      <c r="D75" s="378"/>
      <c r="E75" s="378"/>
      <c r="F75" s="30">
        <f>SUM(F4:G70)</f>
        <v>896</v>
      </c>
      <c r="G75" s="30"/>
      <c r="H75" s="30"/>
      <c r="I75" s="30"/>
      <c r="J75" s="30"/>
      <c r="K75" s="30"/>
      <c r="L75" s="46"/>
      <c r="M75" s="46"/>
      <c r="N75" s="46"/>
      <c r="O75" s="46"/>
      <c r="P75" s="46"/>
      <c r="Q75" s="46"/>
      <c r="R75" s="46"/>
      <c r="S75" s="46"/>
      <c r="T75" s="46"/>
      <c r="U75" s="30"/>
      <c r="V75" s="31">
        <f>V4+V10+V16+V22+V28+V34+V40+V46+V52+V58+V64+V70</f>
        <v>3754067.0733333337</v>
      </c>
      <c r="W75" s="30"/>
      <c r="X75" s="30"/>
      <c r="Y75" s="31">
        <f>Y4+Y10+Y16+Y22+Y28+Y34+Y40+Y46+Y52+Y58+Y64+Y70</f>
        <v>27640</v>
      </c>
      <c r="Z75" s="31">
        <f>Z4+Z10+Z16+Z22+Z28+Z34+Z40+Z46+Z52+Z58+Z64+Z70</f>
        <v>196221.99000000005</v>
      </c>
      <c r="AA75" s="31">
        <f>AA4+AA10+AA16+AA22+AA28+AA34+AA40+AA46+AA52+AA58+AA64+AA70</f>
        <v>0</v>
      </c>
      <c r="AB75" s="31">
        <f>AB4+AB10+AB16+AB16+AB22+AB28+AB34+AB40+AB46+AB52+AB58+AB64+AB70</f>
        <v>23946.6</v>
      </c>
      <c r="AC75" s="31">
        <f t="shared" ref="AC75:AJ75" si="0">AC4+AC10+AC16+AC22+AC28+AC34+AC40+AC46+AC52+AC58+AC64+AC70</f>
        <v>7676</v>
      </c>
      <c r="AD75" s="31">
        <f t="shared" si="0"/>
        <v>3682.5600000000009</v>
      </c>
      <c r="AE75" s="31">
        <f t="shared" si="0"/>
        <v>6227.0099999999993</v>
      </c>
      <c r="AF75" s="31">
        <f t="shared" si="0"/>
        <v>4010734.2233333341</v>
      </c>
      <c r="AG75" s="31">
        <f t="shared" si="0"/>
        <v>4332644.5088133328</v>
      </c>
      <c r="AH75" s="31">
        <f t="shared" si="0"/>
        <v>321910.28547999973</v>
      </c>
      <c r="AI75" s="31">
        <f t="shared" si="0"/>
        <v>21.19</v>
      </c>
      <c r="AJ75" s="31">
        <f t="shared" si="0"/>
        <v>225322.36683599986</v>
      </c>
    </row>
    <row r="1048576" spans="35:35" x14ac:dyDescent="0.35">
      <c r="AI1048576" s="6"/>
    </row>
  </sheetData>
  <mergeCells count="2">
    <mergeCell ref="U2:AC2"/>
    <mergeCell ref="A75:E7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0"/>
  <dimension ref="A1:AN141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7.7265625" bestFit="1" customWidth="1"/>
    <col min="39" max="39" width="17.26953125" bestFit="1" customWidth="1"/>
    <col min="40" max="40" width="12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AF139</f>
        <v>3686684.1753666657</v>
      </c>
      <c r="AM3" s="164">
        <f>AH139-AI139</f>
        <v>513290.55812</v>
      </c>
    </row>
    <row r="4" spans="1:40" x14ac:dyDescent="0.35">
      <c r="A4" s="20">
        <v>45052</v>
      </c>
      <c r="B4" s="21" t="s">
        <v>474</v>
      </c>
      <c r="C4" s="21" t="s">
        <v>511</v>
      </c>
      <c r="D4" s="44">
        <v>147340</v>
      </c>
      <c r="E4" s="44"/>
      <c r="F4" s="21">
        <v>50</v>
      </c>
      <c r="G4" s="21"/>
      <c r="H4" s="22">
        <v>27460</v>
      </c>
      <c r="I4" s="33">
        <v>0.53</v>
      </c>
      <c r="J4" s="24">
        <f>IFERROR(K4/H4,"")</f>
        <v>0.53701747997086668</v>
      </c>
      <c r="K4" s="22">
        <v>14746.5</v>
      </c>
      <c r="L4" s="21">
        <v>5</v>
      </c>
      <c r="M4" s="21">
        <v>29</v>
      </c>
      <c r="N4" s="21">
        <v>13</v>
      </c>
      <c r="O4" s="21">
        <v>3</v>
      </c>
      <c r="P4" s="21"/>
      <c r="Q4" s="21"/>
      <c r="R4" s="21"/>
      <c r="S4" s="21"/>
      <c r="T4" s="21"/>
      <c r="U4" s="25">
        <v>240</v>
      </c>
      <c r="V4" s="25">
        <f>H4*U4*I4/15</f>
        <v>232860.79999999999</v>
      </c>
      <c r="W4" s="25">
        <v>274.29000000000002</v>
      </c>
      <c r="X4" s="25">
        <v>269650.12</v>
      </c>
      <c r="Y4" s="25">
        <f>F4*40</f>
        <v>2000</v>
      </c>
      <c r="Z4" s="25">
        <v>8302.2999999999993</v>
      </c>
      <c r="AA4" s="25">
        <v>0</v>
      </c>
      <c r="AB4" s="25">
        <v>1200</v>
      </c>
      <c r="AC4" s="25">
        <v>0</v>
      </c>
      <c r="AD4" s="25">
        <f>F4*4.11</f>
        <v>205.50000000000003</v>
      </c>
      <c r="AE4" s="25">
        <v>539.29999999999995</v>
      </c>
      <c r="AF4" s="25">
        <f>V4+Y4+Z4+AA4+AB4+AC4+AD4</f>
        <v>244568.59999999998</v>
      </c>
      <c r="AG4" s="25">
        <f>IFERROR(IFERROR((H4*W4*J4/15)-AE4,""),"")</f>
        <v>269115.19900000002</v>
      </c>
      <c r="AH4" s="26">
        <f>IFERROR(AG4-AF4,"")</f>
        <v>24546.599000000046</v>
      </c>
      <c r="AI4" s="6">
        <f>IF(F4="",(G4/$F$139)*$AL$27,(F4/$F$139)*$AL$27)</f>
        <v>0</v>
      </c>
      <c r="AJ4" s="6">
        <f>(AH4-AI4)*70%</f>
        <v>17182.619300000031</v>
      </c>
      <c r="AL4" s="166" t="s">
        <v>749</v>
      </c>
      <c r="AM4" s="167">
        <f>AM3/AL3</f>
        <v>0.13922824242707196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490.93198000000092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9.1212235842539846E-2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M9" s="63"/>
    </row>
    <row r="10" spans="1:40" x14ac:dyDescent="0.35">
      <c r="A10" s="20">
        <v>45052</v>
      </c>
      <c r="B10" s="21" t="s">
        <v>474</v>
      </c>
      <c r="C10" s="21" t="s">
        <v>222</v>
      </c>
      <c r="D10" s="44">
        <v>147339</v>
      </c>
      <c r="E10" s="44"/>
      <c r="F10" s="21">
        <v>50</v>
      </c>
      <c r="G10" s="21"/>
      <c r="H10" s="22">
        <v>26600</v>
      </c>
      <c r="I10" s="33">
        <v>0.53</v>
      </c>
      <c r="J10" s="24">
        <f>IFERROR(K10/H10,"")</f>
        <v>0.53255639097744356</v>
      </c>
      <c r="K10" s="22">
        <v>14166</v>
      </c>
      <c r="L10" s="21"/>
      <c r="M10" s="21">
        <v>20</v>
      </c>
      <c r="N10" s="21">
        <v>17</v>
      </c>
      <c r="O10" s="21">
        <v>8</v>
      </c>
      <c r="P10" s="21">
        <v>5</v>
      </c>
      <c r="Q10" s="21"/>
      <c r="R10" s="21"/>
      <c r="S10" s="21"/>
      <c r="T10" s="21"/>
      <c r="U10" s="25">
        <v>240</v>
      </c>
      <c r="V10" s="25">
        <f>H10*U10*I10/15</f>
        <v>225568</v>
      </c>
      <c r="W10" s="25">
        <v>270.58</v>
      </c>
      <c r="X10" s="25">
        <v>255539.62</v>
      </c>
      <c r="Y10" s="25">
        <f>F10*40</f>
        <v>2000</v>
      </c>
      <c r="Z10" s="25">
        <v>8870.7000000000007</v>
      </c>
      <c r="AA10" s="25">
        <v>0</v>
      </c>
      <c r="AB10" s="25">
        <v>1200</v>
      </c>
      <c r="AC10" s="25">
        <v>0</v>
      </c>
      <c r="AD10" s="25">
        <f>IF(F10="",G10*4.11,F10*4.11)</f>
        <v>205.50000000000003</v>
      </c>
      <c r="AE10" s="25">
        <v>511.08</v>
      </c>
      <c r="AF10" s="25">
        <f>V10+Y10+Z10+AA10+AB10+AC10+AD10</f>
        <v>237844.2</v>
      </c>
      <c r="AG10" s="25">
        <f>IFERROR(IFERROR((H10*W10*J10/15)-AE10,""),"")</f>
        <v>255024.67199999999</v>
      </c>
      <c r="AH10" s="26">
        <f>IFERROR(AG10-AF10,"")</f>
        <v>17180.47199999998</v>
      </c>
      <c r="AI10" s="6">
        <f>IF(F10="",(G10/$F$139)*$AL$27,(F10/$F$139)*$AL$27)</f>
        <v>0</v>
      </c>
      <c r="AJ10" s="6">
        <f>(AH10-AI10)*70%</f>
        <v>12026.330399999984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343.60943999999961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6.7367881959279535E-2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</row>
    <row r="16" spans="1:40" x14ac:dyDescent="0.35">
      <c r="A16" s="20">
        <v>45053</v>
      </c>
      <c r="B16" s="21" t="s">
        <v>474</v>
      </c>
      <c r="C16" s="21" t="s">
        <v>512</v>
      </c>
      <c r="D16" s="44">
        <v>147335</v>
      </c>
      <c r="E16" s="44"/>
      <c r="F16" s="21">
        <v>45</v>
      </c>
      <c r="G16" s="21"/>
      <c r="H16" s="22">
        <v>27790</v>
      </c>
      <c r="I16" s="33">
        <v>0.54</v>
      </c>
      <c r="J16" s="24">
        <f>IFERROR(K16/H16,"")</f>
        <v>0.52869737315581145</v>
      </c>
      <c r="K16" s="22">
        <v>14692.5</v>
      </c>
      <c r="L16" s="21"/>
      <c r="M16" s="21">
        <v>2</v>
      </c>
      <c r="N16" s="21">
        <v>20</v>
      </c>
      <c r="O16" s="21">
        <v>22</v>
      </c>
      <c r="P16" s="21">
        <v>1</v>
      </c>
      <c r="Q16" s="21"/>
      <c r="R16" s="21"/>
      <c r="S16" s="21"/>
      <c r="T16" s="21"/>
      <c r="U16" s="25">
        <v>230</v>
      </c>
      <c r="V16" s="25">
        <f>H16*U16*I16/15</f>
        <v>230101.2</v>
      </c>
      <c r="W16" s="25">
        <v>267.36</v>
      </c>
      <c r="X16" s="25">
        <v>261879.53</v>
      </c>
      <c r="Y16" s="25">
        <f>F16*40</f>
        <v>1800</v>
      </c>
      <c r="Z16" s="25">
        <v>9889</v>
      </c>
      <c r="AA16" s="25">
        <v>0</v>
      </c>
      <c r="AB16" s="25">
        <v>1035</v>
      </c>
      <c r="AC16" s="25">
        <v>0</v>
      </c>
      <c r="AD16" s="25">
        <f>IF(F16="",G16*4.11,F16*4.11)</f>
        <v>184.95000000000002</v>
      </c>
      <c r="AE16" s="25">
        <v>523.77</v>
      </c>
      <c r="AF16" s="25">
        <f>V16+Y16+Z16+AA16+AB16+AC16+AD16</f>
        <v>243010.15000000002</v>
      </c>
      <c r="AG16" s="25">
        <f>IFERROR(IFERROR((H16*W16*J16/15)-AE16,""),"")</f>
        <v>261355.35000000003</v>
      </c>
      <c r="AH16" s="26">
        <f>IFERROR(AG16-AF16,"")</f>
        <v>18345.200000000012</v>
      </c>
      <c r="AI16" s="6">
        <f>IF(F16="",(G16/$F$139)*$AL$27,(F16/$F$139)*$AL$27)</f>
        <v>0</v>
      </c>
      <c r="AJ16" s="6">
        <f>(AH16-AI16)*70%</f>
        <v>12841.640000000007</v>
      </c>
      <c r="AL16">
        <f>F4+G4+F10+G10+F16+G16+F22+G22+F28+G28+F34+G34+F40+G40+F46+G46+F52+G52+F58+G58+F64+G64+F70+G70+F76+G76+F82+G82+F88+G88+F94+G94+F100+G100+F106+G106+F111+G111+F116+G116+F122+G122+F128+G128+F134+G134</f>
        <v>920</v>
      </c>
      <c r="AM16" s="50" t="s">
        <v>22</v>
      </c>
      <c r="AN16" t="s">
        <v>72</v>
      </c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407.67111111111137</v>
      </c>
      <c r="AL17" s="11">
        <f>AH4+AH10+AH16+AH22+AH28+AH34+AH40+AH46+AH52+AH58+AH64+AH70+AH76+AH82+AH88+AH94+AH100+AH106+AH111+AH116+AH122+AH128+AH134</f>
        <v>513290.55812</v>
      </c>
      <c r="AM17" s="11">
        <f>AL17*30%</f>
        <v>153987.16743599999</v>
      </c>
      <c r="AN17" s="2">
        <v>45061</v>
      </c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7.0192555843987925E-2</v>
      </c>
      <c r="AL18" s="11"/>
      <c r="AM18" s="11"/>
    </row>
    <row r="19" spans="1:40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  <c r="AM19" s="6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1"/>
    </row>
    <row r="21" spans="1:40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80" t="s">
        <v>187</v>
      </c>
      <c r="AM21" s="211" t="s">
        <v>680</v>
      </c>
      <c r="AN21" s="191"/>
    </row>
    <row r="22" spans="1:40" x14ac:dyDescent="0.35">
      <c r="A22" s="20">
        <v>45053</v>
      </c>
      <c r="B22" s="21" t="s">
        <v>474</v>
      </c>
      <c r="C22" s="21" t="s">
        <v>346</v>
      </c>
      <c r="D22" s="44">
        <v>147634</v>
      </c>
      <c r="E22" s="44"/>
      <c r="F22" s="21">
        <v>46</v>
      </c>
      <c r="G22" s="21"/>
      <c r="H22" s="22">
        <v>21075</v>
      </c>
      <c r="I22" s="33">
        <v>0.52</v>
      </c>
      <c r="J22" s="24">
        <f>IFERROR(K22/H22,"")</f>
        <v>0.59452336892052193</v>
      </c>
      <c r="K22" s="22">
        <v>12529.58</v>
      </c>
      <c r="L22" s="21">
        <v>18</v>
      </c>
      <c r="M22" s="21">
        <v>25</v>
      </c>
      <c r="N22" s="21">
        <v>3</v>
      </c>
      <c r="O22" s="21"/>
      <c r="P22" s="21"/>
      <c r="Q22" s="21"/>
      <c r="R22" s="21"/>
      <c r="S22" s="21"/>
      <c r="T22" s="21"/>
      <c r="U22" s="25">
        <v>235</v>
      </c>
      <c r="V22" s="25">
        <f>H22*U22*I22/15</f>
        <v>171691</v>
      </c>
      <c r="W22" s="25">
        <v>280.01</v>
      </c>
      <c r="X22" s="25">
        <v>233893.99</v>
      </c>
      <c r="Y22" s="25">
        <f>F22*40</f>
        <v>1840</v>
      </c>
      <c r="Z22" s="25">
        <v>11841.96</v>
      </c>
      <c r="AA22" s="25">
        <v>0</v>
      </c>
      <c r="AB22" s="25">
        <v>1080.57</v>
      </c>
      <c r="AC22" s="25">
        <v>0</v>
      </c>
      <c r="AD22" s="25">
        <f>IF(F22="",G22*4.11,F22*4.11)</f>
        <v>189.06</v>
      </c>
      <c r="AE22" s="25">
        <v>467.79</v>
      </c>
      <c r="AF22" s="25">
        <f>V22+Y22+Z22+AA22+AB22+AC22+AD22</f>
        <v>186642.59</v>
      </c>
      <c r="AG22" s="25">
        <f>IFERROR(IFERROR((H22*W22*J22/15)-AE22,""),"")</f>
        <v>233426.05638666666</v>
      </c>
      <c r="AH22" s="26">
        <f>IFERROR(AG22-AF22,"")</f>
        <v>46783.466386666667</v>
      </c>
      <c r="AI22" s="6">
        <f>IF(F22="",(G22/$F$139)*$AL$27,(F22/$F$139)*$AL$27)</f>
        <v>0</v>
      </c>
      <c r="AJ22" s="6">
        <f>(AH22-AI22)*70%</f>
        <v>32748.426470666665</v>
      </c>
      <c r="AL22" s="178">
        <v>0</v>
      </c>
      <c r="AM22" t="s">
        <v>508</v>
      </c>
      <c r="AN22" s="174"/>
    </row>
    <row r="23" spans="1:4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1017.0318779710145</v>
      </c>
      <c r="AL23" s="178">
        <v>0</v>
      </c>
      <c r="AM23" s="6" t="s">
        <v>513</v>
      </c>
      <c r="AN23" s="174"/>
    </row>
    <row r="24" spans="1:40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0.20042092605621789</v>
      </c>
      <c r="AL24" s="178">
        <v>0</v>
      </c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  <c r="AL25" s="178">
        <v>0</v>
      </c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  <c r="AL26" s="205"/>
      <c r="AN26" s="174"/>
    </row>
    <row r="27" spans="1:40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  <c r="AL27" s="213">
        <f>SUM(AL22:AL26)</f>
        <v>0</v>
      </c>
      <c r="AM27" s="211" t="s">
        <v>682</v>
      </c>
      <c r="AN27" s="191"/>
    </row>
    <row r="28" spans="1:40" x14ac:dyDescent="0.35">
      <c r="A28" s="20">
        <v>45053</v>
      </c>
      <c r="B28" s="21" t="s">
        <v>474</v>
      </c>
      <c r="C28" s="21" t="s">
        <v>346</v>
      </c>
      <c r="D28" s="44">
        <v>147337</v>
      </c>
      <c r="E28" s="44"/>
      <c r="F28" s="21">
        <v>1</v>
      </c>
      <c r="G28" s="21"/>
      <c r="H28" s="22">
        <v>877</v>
      </c>
      <c r="I28" s="33">
        <v>0.53</v>
      </c>
      <c r="J28" s="24">
        <f>IFERROR(K28/H28,"")</f>
        <v>0.56499429874572404</v>
      </c>
      <c r="K28" s="22">
        <v>495.5</v>
      </c>
      <c r="L28" s="21"/>
      <c r="M28" s="21"/>
      <c r="N28" s="21"/>
      <c r="O28" s="21"/>
      <c r="P28" s="21">
        <v>1</v>
      </c>
      <c r="Q28" s="21"/>
      <c r="R28" s="21"/>
      <c r="S28" s="21"/>
      <c r="T28" s="21"/>
      <c r="U28" s="25">
        <v>195</v>
      </c>
      <c r="V28" s="25">
        <f>H28*U28*I28/15</f>
        <v>6042.5300000000007</v>
      </c>
      <c r="W28" s="25">
        <v>278.54000000000002</v>
      </c>
      <c r="X28" s="25">
        <v>4806.37</v>
      </c>
      <c r="Y28" s="25">
        <f>F28*40</f>
        <v>40</v>
      </c>
      <c r="Z28" s="25">
        <v>257.43</v>
      </c>
      <c r="AA28" s="25">
        <v>0</v>
      </c>
      <c r="AB28" s="25">
        <v>23.5</v>
      </c>
      <c r="AC28" s="25">
        <v>0</v>
      </c>
      <c r="AD28" s="25">
        <f>IF(F28="",G28*4.11,F28*4.11)</f>
        <v>4.1100000000000003</v>
      </c>
      <c r="AE28" s="25">
        <v>9.61</v>
      </c>
      <c r="AF28" s="25">
        <f>V28+Y28+Z28+AA28+AB28+AC28+AD28</f>
        <v>6367.5700000000006</v>
      </c>
      <c r="AG28" s="25">
        <f>IFERROR(IFERROR((H28*W28*J28/15)-AE28,""),"")</f>
        <v>9191.4946666666674</v>
      </c>
      <c r="AH28" s="26">
        <f>IFERROR(AG28-AF28,"")</f>
        <v>2823.9246666666668</v>
      </c>
      <c r="AI28" s="6">
        <f>IF(F28="",(G28/$F$139)*$AL$27,(F28/$F$139)*$AL$27)</f>
        <v>0</v>
      </c>
      <c r="AJ28" s="6">
        <f>(AH28-AI28)*70%</f>
        <v>1976.7472666666665</v>
      </c>
      <c r="AL28" s="57"/>
    </row>
    <row r="29" spans="1:40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2823.9246666666668</v>
      </c>
      <c r="AL29" s="95"/>
      <c r="AM29" s="11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0.30723236743070148</v>
      </c>
      <c r="AL30" s="95"/>
      <c r="AM30" s="11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7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6" x14ac:dyDescent="0.35">
      <c r="A34" s="20">
        <v>45053</v>
      </c>
      <c r="B34" s="21" t="s">
        <v>474</v>
      </c>
      <c r="C34" s="21" t="s">
        <v>346</v>
      </c>
      <c r="D34" s="44">
        <v>147336</v>
      </c>
      <c r="E34" s="44"/>
      <c r="F34" s="21"/>
      <c r="G34" s="21">
        <v>7</v>
      </c>
      <c r="H34" s="22">
        <v>2866.5</v>
      </c>
      <c r="I34" s="33">
        <v>0.5</v>
      </c>
      <c r="J34" s="24">
        <f>IFERROR(K34/H34,"")</f>
        <v>0.5213675213675214</v>
      </c>
      <c r="K34" s="22">
        <v>1494.5</v>
      </c>
      <c r="L34" s="21">
        <v>1</v>
      </c>
      <c r="M34" s="21">
        <v>5</v>
      </c>
      <c r="N34" s="21">
        <v>1</v>
      </c>
      <c r="O34" s="21"/>
      <c r="P34" s="21"/>
      <c r="Q34" s="21"/>
      <c r="R34" s="21"/>
      <c r="S34" s="21"/>
      <c r="T34" s="21"/>
      <c r="U34" s="25">
        <v>210</v>
      </c>
      <c r="V34" s="25">
        <f>H34*U34*I34/15</f>
        <v>20065.5</v>
      </c>
      <c r="W34" s="25">
        <v>276.57</v>
      </c>
      <c r="X34" s="25">
        <v>27555.72</v>
      </c>
      <c r="Y34" s="25">
        <f>G34*40</f>
        <v>280</v>
      </c>
      <c r="Z34" s="25">
        <v>1802.03</v>
      </c>
      <c r="AA34" s="25">
        <v>0</v>
      </c>
      <c r="AB34" s="25">
        <v>164.5</v>
      </c>
      <c r="AC34" s="25">
        <v>0</v>
      </c>
      <c r="AD34" s="25">
        <f>IF(F34="",G34*4.11,F34*4.11)</f>
        <v>28.770000000000003</v>
      </c>
      <c r="AE34" s="25">
        <v>55.11</v>
      </c>
      <c r="AF34" s="25">
        <f>V34+Y34+Z34+AA34+AB34+AC34+AD34</f>
        <v>22340.799999999999</v>
      </c>
      <c r="AG34" s="25">
        <f>IFERROR(IFERROR((H34*W34*J34/15)-AE34,""),"")</f>
        <v>27500.481000000003</v>
      </c>
      <c r="AH34" s="26">
        <f>IFERROR(AG34-AF34,"")</f>
        <v>5159.6810000000041</v>
      </c>
      <c r="AI34" s="6">
        <f>IF(F34="",(G34/$F$139)*$AL$27,(F34/$F$139)*$AL$27)</f>
        <v>0</v>
      </c>
      <c r="AJ34" s="6">
        <f>(AH34-AI34)*70%</f>
        <v>3611.7767000000026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AH34/G34</f>
        <v>737.09728571428627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0.1876214819660792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6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6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6" x14ac:dyDescent="0.35">
      <c r="A40" s="20">
        <v>45053</v>
      </c>
      <c r="B40" s="21" t="s">
        <v>474</v>
      </c>
      <c r="C40" s="21" t="s">
        <v>346</v>
      </c>
      <c r="D40" s="44">
        <v>147337</v>
      </c>
      <c r="E40" s="44"/>
      <c r="F40" s="21">
        <v>1</v>
      </c>
      <c r="G40" s="21"/>
      <c r="H40" s="22">
        <v>409.5</v>
      </c>
      <c r="I40" s="33">
        <v>0.5</v>
      </c>
      <c r="J40" s="24">
        <f>IFERROR(K40/H40,"")</f>
        <v>0.51526251526251521</v>
      </c>
      <c r="K40" s="22">
        <v>211</v>
      </c>
      <c r="L40" s="21"/>
      <c r="M40" s="21"/>
      <c r="N40" s="21">
        <v>1</v>
      </c>
      <c r="O40" s="21"/>
      <c r="P40" s="21"/>
      <c r="Q40" s="21"/>
      <c r="R40" s="21"/>
      <c r="S40" s="21"/>
      <c r="T40" s="21"/>
      <c r="U40" s="25">
        <v>210</v>
      </c>
      <c r="V40" s="25">
        <f>H40*U40*I40/15</f>
        <v>2866.5</v>
      </c>
      <c r="W40" s="25">
        <v>278.54000000000002</v>
      </c>
      <c r="X40" s="25">
        <v>4806.37</v>
      </c>
      <c r="Y40" s="25">
        <f>F40*40</f>
        <v>40</v>
      </c>
      <c r="Z40" s="25">
        <v>257.43</v>
      </c>
      <c r="AA40" s="25">
        <v>0</v>
      </c>
      <c r="AB40" s="25">
        <v>23.5</v>
      </c>
      <c r="AC40" s="25">
        <v>0</v>
      </c>
      <c r="AD40" s="25">
        <f>IF(F40="",G40*4.11,F40*4.11)</f>
        <v>4.1100000000000003</v>
      </c>
      <c r="AE40" s="25">
        <v>9.61</v>
      </c>
      <c r="AF40" s="25">
        <f>V40+Y40+Z40+AA40+AB40+AC40+AD40</f>
        <v>3191.54</v>
      </c>
      <c r="AG40" s="25">
        <f>IFERROR(IFERROR((H40*W40*J40/15)-AE40,""),"")</f>
        <v>3908.5193333333327</v>
      </c>
      <c r="AH40" s="26">
        <f>IFERROR(AG40-AF40,"")</f>
        <v>716.97933333333276</v>
      </c>
      <c r="AI40" s="6">
        <f>IF(F40="",(G40/$F$139)*$AL$27,(F40/$F$139)*$AL$27)</f>
        <v>0</v>
      </c>
      <c r="AJ40" s="6">
        <f>(AH40-AI40)*70%</f>
        <v>501.88553333333289</v>
      </c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AH40/F40</f>
        <v>716.97933333333276</v>
      </c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0.18344013990634805</v>
      </c>
    </row>
    <row r="43" spans="1:36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6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6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6" x14ac:dyDescent="0.35">
      <c r="A46" s="20">
        <v>45053</v>
      </c>
      <c r="B46" s="21" t="s">
        <v>474</v>
      </c>
      <c r="C46" s="21" t="s">
        <v>346</v>
      </c>
      <c r="D46" s="44">
        <v>147337</v>
      </c>
      <c r="E46" s="44"/>
      <c r="F46" s="98">
        <v>40</v>
      </c>
      <c r="G46" s="21"/>
      <c r="H46" s="22">
        <v>19817.77</v>
      </c>
      <c r="I46" s="33">
        <v>0.53</v>
      </c>
      <c r="J46" s="24">
        <f>IFERROR(K46/H46,"")</f>
        <v>0.51289827261089416</v>
      </c>
      <c r="K46" s="22">
        <v>10164.5</v>
      </c>
      <c r="L46" s="21">
        <v>14</v>
      </c>
      <c r="M46" s="21">
        <v>26</v>
      </c>
      <c r="N46" s="21"/>
      <c r="O46" s="21"/>
      <c r="P46" s="21"/>
      <c r="Q46" s="21"/>
      <c r="R46" s="21"/>
      <c r="S46" s="21"/>
      <c r="T46" s="21"/>
      <c r="U46" s="25">
        <v>235</v>
      </c>
      <c r="V46" s="25">
        <f>H46*U46*I46/15</f>
        <v>164553.55023333334</v>
      </c>
      <c r="W46" s="25">
        <v>278.54000000000002</v>
      </c>
      <c r="X46" s="25">
        <v>192255.15</v>
      </c>
      <c r="Y46" s="25">
        <f>F46*40</f>
        <v>1600</v>
      </c>
      <c r="Z46" s="25">
        <v>10297.36</v>
      </c>
      <c r="AA46" s="25">
        <v>0</v>
      </c>
      <c r="AB46" s="25">
        <v>940</v>
      </c>
      <c r="AC46" s="25">
        <v>0</v>
      </c>
      <c r="AD46" s="25">
        <f>IF(F46="",G46*4.11,F46*4.11)</f>
        <v>164.4</v>
      </c>
      <c r="AE46" s="25">
        <v>384.51</v>
      </c>
      <c r="AF46" s="25">
        <f>V46+Y46+Z46+AA46+AB46+AC46+AD46</f>
        <v>177555.31023333335</v>
      </c>
      <c r="AG46" s="25">
        <f>IFERROR(IFERROR((H46*W46*J46/15)-AE46,""),"")</f>
        <v>188363.47866666669</v>
      </c>
      <c r="AH46" s="26">
        <f>IFERROR(AG46-AF46,"")</f>
        <v>10808.16843333334</v>
      </c>
      <c r="AI46" s="6">
        <f>IF(F46="",(G46/$F$139)*$AL$27,(F46/$F$139)*$AL$27)</f>
        <v>0</v>
      </c>
      <c r="AJ46" s="6">
        <f>(AH46-AI46)*70%</f>
        <v>7565.7179033333368</v>
      </c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270.20421083333349</v>
      </c>
    </row>
    <row r="48" spans="1:36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5.7379320608427382E-2</v>
      </c>
    </row>
    <row r="49" spans="1:36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6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6" x14ac:dyDescent="0.35">
      <c r="A52" s="20">
        <v>45053</v>
      </c>
      <c r="B52" s="21" t="s">
        <v>474</v>
      </c>
      <c r="C52" s="21" t="s">
        <v>346</v>
      </c>
      <c r="D52" s="44">
        <v>147634</v>
      </c>
      <c r="E52" s="44"/>
      <c r="F52" s="98">
        <v>5</v>
      </c>
      <c r="G52" s="21"/>
      <c r="H52" s="22">
        <v>2477.2199999999998</v>
      </c>
      <c r="I52" s="33">
        <v>0.53</v>
      </c>
      <c r="J52" s="24">
        <f>IFERROR(K52/H52,"")</f>
        <v>0.560769733814518</v>
      </c>
      <c r="K52" s="22">
        <v>1389.15</v>
      </c>
      <c r="L52" s="21"/>
      <c r="M52" s="21">
        <v>5</v>
      </c>
      <c r="N52" s="21"/>
      <c r="O52" s="21"/>
      <c r="P52" s="21"/>
      <c r="Q52" s="21"/>
      <c r="R52" s="21"/>
      <c r="S52" s="21"/>
      <c r="T52" s="21"/>
      <c r="U52" s="25">
        <v>235</v>
      </c>
      <c r="V52" s="25">
        <f>H52*U52*I52/15</f>
        <v>20569.183399999998</v>
      </c>
      <c r="W52" s="25">
        <v>280.01</v>
      </c>
      <c r="X52" s="25">
        <v>25423.26</v>
      </c>
      <c r="Y52" s="25">
        <f>F52*40</f>
        <v>200</v>
      </c>
      <c r="Z52" s="25">
        <v>1287.17</v>
      </c>
      <c r="AA52" s="25">
        <v>0</v>
      </c>
      <c r="AB52" s="25">
        <v>117.5</v>
      </c>
      <c r="AC52" s="25">
        <v>0</v>
      </c>
      <c r="AD52" s="25">
        <f>IF(F52="",G52*4.11,F52*4.11)</f>
        <v>20.55</v>
      </c>
      <c r="AE52" s="25">
        <v>50.84</v>
      </c>
      <c r="AF52" s="25">
        <f>V52+Y52+Z52+AA52+AB52+AC52+AD52</f>
        <v>22194.403399999999</v>
      </c>
      <c r="AG52" s="25">
        <f>IFERROR(IFERROR((H52*W52*J52/15)-AE52,""),"")</f>
        <v>25880.886100000003</v>
      </c>
      <c r="AH52" s="26">
        <f>IFERROR(AG52-AF52,"")</f>
        <v>3686.4827000000041</v>
      </c>
      <c r="AI52" s="6">
        <f>IF(F52="",(G52/$F$139)*$AL$27,(F52/$F$139)*$AL$27)</f>
        <v>0</v>
      </c>
      <c r="AJ52" s="6">
        <f>(AH52-AI52)*70%</f>
        <v>2580.5378900000028</v>
      </c>
    </row>
    <row r="53" spans="1:36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737.29654000000085</v>
      </c>
    </row>
    <row r="54" spans="1:36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0.14244035871708441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6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36" x14ac:dyDescent="0.35">
      <c r="A58" s="20">
        <v>45054</v>
      </c>
      <c r="B58" s="21" t="s">
        <v>474</v>
      </c>
      <c r="C58" s="21" t="s">
        <v>391</v>
      </c>
      <c r="D58" s="44">
        <v>147635</v>
      </c>
      <c r="E58" s="44"/>
      <c r="F58" s="21"/>
      <c r="G58" s="21">
        <v>65</v>
      </c>
      <c r="H58" s="22">
        <v>23470</v>
      </c>
      <c r="I58" s="33">
        <v>0.5</v>
      </c>
      <c r="J58" s="24">
        <f>IFERROR(K58/H58,"")</f>
        <v>0.50962931401789524</v>
      </c>
      <c r="K58" s="22">
        <v>11961</v>
      </c>
      <c r="L58" s="21">
        <v>28</v>
      </c>
      <c r="M58" s="21">
        <v>31</v>
      </c>
      <c r="N58" s="21">
        <v>4</v>
      </c>
      <c r="O58" s="21">
        <v>2</v>
      </c>
      <c r="P58" s="21"/>
      <c r="Q58" s="21"/>
      <c r="R58" s="21"/>
      <c r="S58" s="21"/>
      <c r="T58" s="21"/>
      <c r="U58" s="25">
        <v>220</v>
      </c>
      <c r="V58" s="25">
        <f>H58*U58*I58/15</f>
        <v>172113.33333333334</v>
      </c>
      <c r="W58" s="25">
        <v>273.33</v>
      </c>
      <c r="X58" s="25">
        <v>217955.76</v>
      </c>
      <c r="Y58" s="25">
        <f>G58*40</f>
        <v>2600</v>
      </c>
      <c r="Z58" s="25">
        <v>6127</v>
      </c>
      <c r="AA58" s="25">
        <v>0</v>
      </c>
      <c r="AB58" s="25">
        <v>1430</v>
      </c>
      <c r="AC58" s="25">
        <v>0</v>
      </c>
      <c r="AD58" s="25">
        <f>IF(F58="",G58*4.11,F58*4.11)</f>
        <v>267.15000000000003</v>
      </c>
      <c r="AE58" s="25">
        <v>435.91</v>
      </c>
      <c r="AF58" s="25">
        <f>V58+Y58+Z58+AA58+AB58+AC58+AD58</f>
        <v>182537.48333333334</v>
      </c>
      <c r="AG58" s="25">
        <f>IFERROR(IFERROR((H58*W58*J58/15)-AE58,""),"")</f>
        <v>217517.43200000003</v>
      </c>
      <c r="AH58" s="26">
        <f>IFERROR(AG58-AF58,"")</f>
        <v>34979.948666666693</v>
      </c>
      <c r="AI58" s="6">
        <f>IF(F58="",(G58/$F$139)*$AL$27,(F58/$F$139)*$AL$27)</f>
        <v>0</v>
      </c>
      <c r="AJ58" s="6">
        <f>(AH58-AI58)*70%</f>
        <v>24485.964066666682</v>
      </c>
    </row>
    <row r="59" spans="1:36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AH58/G58</f>
        <v>538.1530564102568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0.16081446137460231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45054</v>
      </c>
      <c r="B64" s="21" t="s">
        <v>474</v>
      </c>
      <c r="C64" s="21" t="s">
        <v>257</v>
      </c>
      <c r="D64" s="44">
        <v>147704</v>
      </c>
      <c r="E64" s="44"/>
      <c r="F64" s="21"/>
      <c r="G64" s="21">
        <v>130</v>
      </c>
      <c r="H64" s="22">
        <v>44440</v>
      </c>
      <c r="I64" s="33">
        <v>0.5</v>
      </c>
      <c r="J64" s="24">
        <f>IFERROR(K64/H64,"")</f>
        <v>0.48574482448244827</v>
      </c>
      <c r="K64" s="22">
        <v>21586.5</v>
      </c>
      <c r="L64" s="21">
        <v>40</v>
      </c>
      <c r="M64" s="21">
        <v>73</v>
      </c>
      <c r="N64" s="21">
        <v>14</v>
      </c>
      <c r="O64" s="21">
        <v>2</v>
      </c>
      <c r="P64" s="21">
        <v>1</v>
      </c>
      <c r="Q64" s="21"/>
      <c r="R64" s="21"/>
      <c r="S64" s="21"/>
      <c r="T64" s="21"/>
      <c r="U64" s="25">
        <v>215</v>
      </c>
      <c r="V64" s="25">
        <f>H64*U64*I64/15</f>
        <v>318486.66666666669</v>
      </c>
      <c r="W64" s="25">
        <v>276.47000000000003</v>
      </c>
      <c r="X64" s="25">
        <v>397864.26</v>
      </c>
      <c r="Y64" s="25">
        <f>G64*40</f>
        <v>5200</v>
      </c>
      <c r="Z64" s="25">
        <v>28131.8</v>
      </c>
      <c r="AA64" s="25">
        <v>0</v>
      </c>
      <c r="AB64" s="25">
        <v>2795</v>
      </c>
      <c r="AC64" s="25">
        <v>0</v>
      </c>
      <c r="AD64" s="25">
        <f>IF(F64="",G64*4.11,F64*4.11)</f>
        <v>534.30000000000007</v>
      </c>
      <c r="AE64" s="25">
        <v>795.73</v>
      </c>
      <c r="AF64" s="25">
        <f>V64+Y64+Z64+AA64+AB64+AC64+AD64</f>
        <v>355147.76666666666</v>
      </c>
      <c r="AG64" s="25">
        <f>IFERROR(IFERROR((H64*W64*J64/15)-AE64,""),"")</f>
        <v>397072.24700000003</v>
      </c>
      <c r="AH64" s="26">
        <f>IFERROR(AG64-AF64,"")</f>
        <v>41924.480333333369</v>
      </c>
      <c r="AI64" s="6">
        <f>IF(F64="",(G64/$F$139)*$AL$27,(F64/$F$139)*$AL$27)</f>
        <v>0</v>
      </c>
      <c r="AJ64" s="6">
        <f>(AH64-AI64)*70%</f>
        <v>29347.136233333356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AH64/G64</f>
        <v>322.49600256410287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0.10558401059274578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ht="1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47"/>
      <c r="AI68" s="47"/>
      <c r="AJ68" s="47"/>
    </row>
    <row r="69" spans="1:36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258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20">
        <v>45054</v>
      </c>
      <c r="B70" s="21" t="s">
        <v>474</v>
      </c>
      <c r="C70" s="21" t="s">
        <v>509</v>
      </c>
      <c r="D70" s="44">
        <v>147334</v>
      </c>
      <c r="E70" s="44"/>
      <c r="F70" s="21"/>
      <c r="G70" s="21">
        <v>66</v>
      </c>
      <c r="H70" s="22">
        <v>23320</v>
      </c>
      <c r="I70" s="33">
        <v>0.5</v>
      </c>
      <c r="J70" s="24">
        <f>IFERROR(K70/H70,"")</f>
        <v>0.49575471698113205</v>
      </c>
      <c r="K70" s="22">
        <v>11561</v>
      </c>
      <c r="L70" s="21">
        <v>20</v>
      </c>
      <c r="M70" s="21">
        <v>31</v>
      </c>
      <c r="N70" s="21">
        <v>15</v>
      </c>
      <c r="O70" s="21"/>
      <c r="P70" s="21"/>
      <c r="Q70" s="21"/>
      <c r="R70" s="21"/>
      <c r="S70" s="21"/>
      <c r="T70" s="21"/>
      <c r="U70" s="25">
        <v>215</v>
      </c>
      <c r="V70" s="25">
        <f>H70*U70*I70/15</f>
        <v>167126.66666666666</v>
      </c>
      <c r="W70" s="25">
        <v>277.18</v>
      </c>
      <c r="X70" s="25">
        <v>213628.24</v>
      </c>
      <c r="Y70" s="25">
        <f>G70*40</f>
        <v>2640</v>
      </c>
      <c r="Z70" s="25">
        <v>9967.7999999999993</v>
      </c>
      <c r="AA70" s="25">
        <v>0</v>
      </c>
      <c r="AB70" s="25">
        <v>1419</v>
      </c>
      <c r="AC70" s="25">
        <v>0</v>
      </c>
      <c r="AD70" s="25">
        <f>IF(F70="",G70*4.11,F70*4.11)</f>
        <v>271.26000000000005</v>
      </c>
      <c r="AE70" s="25">
        <v>427.26</v>
      </c>
      <c r="AF70" s="25">
        <f>V70+Y70+Z70+AA70+AB70+AC70+AD70</f>
        <v>181424.72666666665</v>
      </c>
      <c r="AG70" s="25">
        <f>IFERROR(IFERROR((H70*W70*J70/15)-AE70,""),"")</f>
        <v>213204.60533333331</v>
      </c>
      <c r="AH70" s="26">
        <f>IFERROR(AG70-AF70,"")</f>
        <v>31779.878666666656</v>
      </c>
      <c r="AI70" s="6">
        <f>IF(F70="",(G70/$F$139)*$AL$27,(F70/$F$139)*$AL$27)</f>
        <v>0</v>
      </c>
      <c r="AJ70" s="6">
        <f>(AH70-AI70)*70%</f>
        <v>22245.915066666657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AH70/G70</f>
        <v>481.513313131313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0.14905812478572222</v>
      </c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47"/>
      <c r="AI73" s="47"/>
      <c r="AJ73" s="47"/>
    </row>
    <row r="74" spans="1:36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47"/>
      <c r="AI74" s="47"/>
      <c r="AJ74" s="47"/>
    </row>
    <row r="75" spans="1:36" x14ac:dyDescent="0.35">
      <c r="A75" s="14" t="s">
        <v>1</v>
      </c>
      <c r="B75" s="14" t="s">
        <v>2</v>
      </c>
      <c r="C75" s="14" t="s">
        <v>110</v>
      </c>
      <c r="D75" s="14" t="s">
        <v>66</v>
      </c>
      <c r="E75" s="14"/>
      <c r="F75" s="14" t="s">
        <v>137</v>
      </c>
      <c r="G75" s="14" t="s">
        <v>138</v>
      </c>
      <c r="H75" s="14" t="s">
        <v>4</v>
      </c>
      <c r="I75" s="14" t="s">
        <v>5</v>
      </c>
      <c r="J75" s="14" t="s">
        <v>6</v>
      </c>
      <c r="K75" s="14" t="s">
        <v>7</v>
      </c>
      <c r="L75" s="14" t="s">
        <v>279</v>
      </c>
      <c r="M75" s="14" t="s">
        <v>280</v>
      </c>
      <c r="N75" s="14" t="s">
        <v>281</v>
      </c>
      <c r="O75" s="14" t="s">
        <v>282</v>
      </c>
      <c r="P75" s="14" t="s">
        <v>283</v>
      </c>
      <c r="Q75" s="14" t="s">
        <v>284</v>
      </c>
      <c r="R75" s="14" t="s">
        <v>904</v>
      </c>
      <c r="S75" s="14" t="s">
        <v>285</v>
      </c>
      <c r="T75" s="14" t="s">
        <v>289</v>
      </c>
      <c r="U75" s="14" t="s">
        <v>8</v>
      </c>
      <c r="V75" s="14" t="s">
        <v>9</v>
      </c>
      <c r="W75" s="14" t="s">
        <v>10</v>
      </c>
      <c r="X75" s="14" t="s">
        <v>100</v>
      </c>
      <c r="Y75" s="14" t="s">
        <v>106</v>
      </c>
      <c r="Z75" s="14" t="s">
        <v>12</v>
      </c>
      <c r="AA75" s="14" t="s">
        <v>258</v>
      </c>
      <c r="AB75" s="14" t="s">
        <v>13</v>
      </c>
      <c r="AC75" s="14" t="s">
        <v>74</v>
      </c>
      <c r="AD75" s="14" t="s">
        <v>21</v>
      </c>
      <c r="AE75" s="14" t="s">
        <v>14</v>
      </c>
      <c r="AF75" s="14" t="s">
        <v>15</v>
      </c>
      <c r="AG75" s="14" t="s">
        <v>16</v>
      </c>
      <c r="AH75" s="15" t="s">
        <v>17</v>
      </c>
      <c r="AI75" s="14" t="s">
        <v>679</v>
      </c>
      <c r="AJ75" s="14" t="s">
        <v>678</v>
      </c>
    </row>
    <row r="76" spans="1:36" x14ac:dyDescent="0.35">
      <c r="A76" s="20">
        <v>45055</v>
      </c>
      <c r="B76" s="21" t="s">
        <v>474</v>
      </c>
      <c r="C76" s="21" t="s">
        <v>224</v>
      </c>
      <c r="D76" s="44">
        <v>147747</v>
      </c>
      <c r="E76" s="44"/>
      <c r="F76" s="21">
        <v>50</v>
      </c>
      <c r="G76" s="21"/>
      <c r="H76" s="22">
        <v>31250</v>
      </c>
      <c r="I76" s="33">
        <v>0.55000000000000004</v>
      </c>
      <c r="J76" s="24">
        <f>IFERROR(K76/H76,"")</f>
        <v>0.53983999999999999</v>
      </c>
      <c r="K76" s="22">
        <v>16870</v>
      </c>
      <c r="L76" s="21">
        <v>3</v>
      </c>
      <c r="M76" s="21">
        <v>21</v>
      </c>
      <c r="N76" s="21">
        <v>23</v>
      </c>
      <c r="O76" s="21">
        <v>3</v>
      </c>
      <c r="P76" s="21"/>
      <c r="Q76" s="21"/>
      <c r="R76" s="21"/>
      <c r="S76" s="21"/>
      <c r="T76" s="21"/>
      <c r="U76" s="25">
        <v>235</v>
      </c>
      <c r="V76" s="25">
        <f>H76*U76*I76/15</f>
        <v>269270.83333333337</v>
      </c>
      <c r="W76" s="25">
        <v>284.62</v>
      </c>
      <c r="X76" s="25">
        <v>320104.14</v>
      </c>
      <c r="Y76" s="25">
        <f>F76*30</f>
        <v>1500</v>
      </c>
      <c r="Z76" s="25">
        <v>11728</v>
      </c>
      <c r="AA76" s="25">
        <v>0</v>
      </c>
      <c r="AB76" s="25">
        <v>1175</v>
      </c>
      <c r="AC76" s="25">
        <v>0</v>
      </c>
      <c r="AD76" s="25">
        <f>IF(F76="",G76*4.11,F76*4.11)</f>
        <v>205.50000000000003</v>
      </c>
      <c r="AE76" s="25">
        <v>640.21</v>
      </c>
      <c r="AF76" s="25">
        <f>V76+Y76+Z76+AA76+AB76+AC76+AD76</f>
        <v>283879.33333333337</v>
      </c>
      <c r="AG76" s="25">
        <f>IFERROR(IFERROR((H76*W76*J76/15)-AE76,""),"")</f>
        <v>319462.41666666663</v>
      </c>
      <c r="AH76" s="26">
        <f>IFERROR(AG76-AF76,"")</f>
        <v>35583.083333333256</v>
      </c>
      <c r="AI76" s="6">
        <f>IF(F76="",(G76/$F$139)*$AL$27,(F76/$F$139)*$AL$27)</f>
        <v>0</v>
      </c>
      <c r="AJ76" s="6">
        <f>(AH76-AI76)*70%</f>
        <v>24908.158333333278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AH76/F76</f>
        <v>711.66166666666516</v>
      </c>
    </row>
    <row r="78" spans="1:36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7">
        <f>IFERROR(AH76/AG76,"")</f>
        <v>0.11138425516407879</v>
      </c>
    </row>
    <row r="79" spans="1:36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47"/>
      <c r="AI79" s="47"/>
      <c r="AJ79" s="47"/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47"/>
      <c r="AI80" s="47"/>
      <c r="AJ80" s="47"/>
    </row>
    <row r="81" spans="1:36" x14ac:dyDescent="0.35">
      <c r="A81" s="14" t="s">
        <v>1</v>
      </c>
      <c r="B81" s="14" t="s">
        <v>2</v>
      </c>
      <c r="C81" s="14" t="s">
        <v>110</v>
      </c>
      <c r="D81" s="14" t="s">
        <v>66</v>
      </c>
      <c r="E81" s="14"/>
      <c r="F81" s="14" t="s">
        <v>137</v>
      </c>
      <c r="G81" s="14" t="s">
        <v>138</v>
      </c>
      <c r="H81" s="14" t="s">
        <v>4</v>
      </c>
      <c r="I81" s="14" t="s">
        <v>5</v>
      </c>
      <c r="J81" s="14" t="s">
        <v>6</v>
      </c>
      <c r="K81" s="14" t="s">
        <v>7</v>
      </c>
      <c r="L81" s="14" t="s">
        <v>279</v>
      </c>
      <c r="M81" s="14" t="s">
        <v>280</v>
      </c>
      <c r="N81" s="14" t="s">
        <v>281</v>
      </c>
      <c r="O81" s="14" t="s">
        <v>282</v>
      </c>
      <c r="P81" s="14" t="s">
        <v>283</v>
      </c>
      <c r="Q81" s="14" t="s">
        <v>284</v>
      </c>
      <c r="R81" s="14" t="s">
        <v>904</v>
      </c>
      <c r="S81" s="14" t="s">
        <v>285</v>
      </c>
      <c r="T81" s="14" t="s">
        <v>289</v>
      </c>
      <c r="U81" s="14" t="s">
        <v>8</v>
      </c>
      <c r="V81" s="14" t="s">
        <v>9</v>
      </c>
      <c r="W81" s="14" t="s">
        <v>10</v>
      </c>
      <c r="X81" s="14" t="s">
        <v>100</v>
      </c>
      <c r="Y81" s="14" t="s">
        <v>106</v>
      </c>
      <c r="Z81" s="14" t="s">
        <v>12</v>
      </c>
      <c r="AA81" s="14" t="s">
        <v>258</v>
      </c>
      <c r="AB81" s="14" t="s">
        <v>13</v>
      </c>
      <c r="AC81" s="14" t="s">
        <v>74</v>
      </c>
      <c r="AD81" s="14" t="s">
        <v>21</v>
      </c>
      <c r="AE81" s="14" t="s">
        <v>14</v>
      </c>
      <c r="AF81" s="14" t="s">
        <v>15</v>
      </c>
      <c r="AG81" s="14" t="s">
        <v>16</v>
      </c>
      <c r="AH81" s="15" t="s">
        <v>17</v>
      </c>
      <c r="AI81" s="14" t="s">
        <v>679</v>
      </c>
      <c r="AJ81" s="14" t="s">
        <v>678</v>
      </c>
    </row>
    <row r="82" spans="1:36" x14ac:dyDescent="0.35">
      <c r="A82" s="20">
        <v>45055</v>
      </c>
      <c r="B82" s="21" t="s">
        <v>474</v>
      </c>
      <c r="C82" s="21" t="s">
        <v>222</v>
      </c>
      <c r="D82" s="44">
        <v>147749</v>
      </c>
      <c r="E82" s="44"/>
      <c r="F82" s="98">
        <v>50</v>
      </c>
      <c r="G82" s="21"/>
      <c r="H82" s="22">
        <v>25627.45</v>
      </c>
      <c r="I82" s="33">
        <v>0.53</v>
      </c>
      <c r="J82" s="24">
        <f>IFERROR(K82/H82,"")</f>
        <v>0.53661210928125891</v>
      </c>
      <c r="K82" s="22">
        <v>13752</v>
      </c>
      <c r="L82" s="21">
        <v>5</v>
      </c>
      <c r="M82" s="21">
        <v>36</v>
      </c>
      <c r="N82" s="21">
        <v>9</v>
      </c>
      <c r="O82" s="21"/>
      <c r="P82" s="21"/>
      <c r="Q82" s="21"/>
      <c r="R82" s="21"/>
      <c r="S82" s="21"/>
      <c r="T82" s="21"/>
      <c r="U82" s="25">
        <v>240</v>
      </c>
      <c r="V82" s="25">
        <f>H82*U82*I82/15</f>
        <v>217320.77600000001</v>
      </c>
      <c r="W82" s="25">
        <v>285.83</v>
      </c>
      <c r="X82" s="25">
        <v>262048.94</v>
      </c>
      <c r="Y82" s="25">
        <f>F82*40</f>
        <v>2000</v>
      </c>
      <c r="Z82" s="25">
        <v>8787.2999999999993</v>
      </c>
      <c r="AA82" s="25">
        <v>0</v>
      </c>
      <c r="AB82" s="65">
        <f>F82*24</f>
        <v>1200</v>
      </c>
      <c r="AC82" s="25">
        <v>0</v>
      </c>
      <c r="AD82" s="25">
        <f>IF(F82="",G82*4.11,F82*4.11)</f>
        <v>205.50000000000003</v>
      </c>
      <c r="AE82" s="25">
        <v>524.1</v>
      </c>
      <c r="AF82" s="25">
        <f>V82+Y82+Z82+AA82+AB82+AC82+AD82</f>
        <v>229513.576</v>
      </c>
      <c r="AG82" s="25">
        <f>IFERROR(IFERROR((H82*W82*J82/15)-AE82,""),"")</f>
        <v>261524.84399999998</v>
      </c>
      <c r="AH82" s="26">
        <f>IFERROR(AG82-AF82,"")</f>
        <v>32011.267999999982</v>
      </c>
      <c r="AI82" s="6">
        <f>IF(F82="",(G82/$F$139)*$AL$27,(F82/$F$139)*$AL$27)</f>
        <v>0</v>
      </c>
      <c r="AJ82" s="6">
        <f>(AH82-AI82)*70%</f>
        <v>22407.887599999987</v>
      </c>
    </row>
    <row r="83" spans="1:36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3"/>
      <c r="AA83" s="21"/>
      <c r="AB83" s="21"/>
      <c r="AC83" s="21"/>
      <c r="AD83" s="21"/>
      <c r="AE83" s="21"/>
      <c r="AF83" s="21"/>
      <c r="AG83" s="21"/>
      <c r="AH83" s="26">
        <f>AH82/F82</f>
        <v>640.22535999999968</v>
      </c>
    </row>
    <row r="84" spans="1:36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7">
        <f>IFERROR(AH82/AG82,"")</f>
        <v>0.12240239783873071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47"/>
      <c r="AI85" s="47"/>
      <c r="AJ85" s="47"/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47"/>
      <c r="AI86" s="47"/>
      <c r="AJ86" s="47"/>
    </row>
    <row r="87" spans="1:36" x14ac:dyDescent="0.35">
      <c r="A87" s="14" t="s">
        <v>1</v>
      </c>
      <c r="B87" s="14" t="s">
        <v>2</v>
      </c>
      <c r="C87" s="14" t="s">
        <v>110</v>
      </c>
      <c r="D87" s="14" t="s">
        <v>66</v>
      </c>
      <c r="E87" s="14"/>
      <c r="F87" s="14" t="s">
        <v>137</v>
      </c>
      <c r="G87" s="14" t="s">
        <v>138</v>
      </c>
      <c r="H87" s="14" t="s">
        <v>4</v>
      </c>
      <c r="I87" s="14" t="s">
        <v>5</v>
      </c>
      <c r="J87" s="14" t="s">
        <v>6</v>
      </c>
      <c r="K87" s="14" t="s">
        <v>7</v>
      </c>
      <c r="L87" s="14" t="s">
        <v>279</v>
      </c>
      <c r="M87" s="14" t="s">
        <v>280</v>
      </c>
      <c r="N87" s="14" t="s">
        <v>281</v>
      </c>
      <c r="O87" s="14" t="s">
        <v>282</v>
      </c>
      <c r="P87" s="14" t="s">
        <v>283</v>
      </c>
      <c r="Q87" s="14" t="s">
        <v>284</v>
      </c>
      <c r="R87" s="14" t="s">
        <v>904</v>
      </c>
      <c r="S87" s="14" t="s">
        <v>285</v>
      </c>
      <c r="T87" s="14" t="s">
        <v>289</v>
      </c>
      <c r="U87" s="14" t="s">
        <v>8</v>
      </c>
      <c r="V87" s="14" t="s">
        <v>9</v>
      </c>
      <c r="W87" s="14" t="s">
        <v>10</v>
      </c>
      <c r="X87" s="14" t="s">
        <v>100</v>
      </c>
      <c r="Y87" s="14" t="s">
        <v>106</v>
      </c>
      <c r="Z87" s="14" t="s">
        <v>12</v>
      </c>
      <c r="AA87" s="14" t="s">
        <v>258</v>
      </c>
      <c r="AB87" s="14" t="s">
        <v>13</v>
      </c>
      <c r="AC87" s="14" t="s">
        <v>74</v>
      </c>
      <c r="AD87" s="14" t="s">
        <v>21</v>
      </c>
      <c r="AE87" s="14" t="s">
        <v>14</v>
      </c>
      <c r="AF87" s="14" t="s">
        <v>15</v>
      </c>
      <c r="AG87" s="14" t="s">
        <v>16</v>
      </c>
      <c r="AH87" s="15" t="s">
        <v>17</v>
      </c>
      <c r="AI87" s="14" t="s">
        <v>679</v>
      </c>
      <c r="AJ87" s="14" t="s">
        <v>678</v>
      </c>
    </row>
    <row r="88" spans="1:36" x14ac:dyDescent="0.35">
      <c r="A88" s="20">
        <v>45055</v>
      </c>
      <c r="B88" s="21" t="s">
        <v>474</v>
      </c>
      <c r="C88" s="21" t="s">
        <v>237</v>
      </c>
      <c r="D88" s="44">
        <v>147748</v>
      </c>
      <c r="E88" s="44"/>
      <c r="F88" s="21">
        <v>53</v>
      </c>
      <c r="G88" s="21"/>
      <c r="H88" s="22">
        <v>23680</v>
      </c>
      <c r="I88" s="33">
        <v>0.51</v>
      </c>
      <c r="J88" s="24">
        <f>IFERROR(K88/H88,"")</f>
        <v>0.55361064189189191</v>
      </c>
      <c r="K88" s="22">
        <v>13109.5</v>
      </c>
      <c r="L88" s="21">
        <v>11</v>
      </c>
      <c r="M88" s="21">
        <v>37</v>
      </c>
      <c r="N88" s="21">
        <v>5</v>
      </c>
      <c r="O88" s="21"/>
      <c r="P88" s="21"/>
      <c r="Q88" s="21"/>
      <c r="R88" s="21"/>
      <c r="S88" s="21"/>
      <c r="T88" s="21"/>
      <c r="U88" s="25">
        <v>235</v>
      </c>
      <c r="V88" s="25">
        <f>H88*U88*I88/15</f>
        <v>189203.20000000001</v>
      </c>
      <c r="W88" s="25">
        <v>285.35000000000002</v>
      </c>
      <c r="X88" s="25">
        <v>249389.88</v>
      </c>
      <c r="Y88" s="25">
        <f>F88*30</f>
        <v>1590</v>
      </c>
      <c r="Z88" s="25">
        <v>11652.6</v>
      </c>
      <c r="AA88" s="25">
        <v>0</v>
      </c>
      <c r="AB88" s="25">
        <v>1245.5</v>
      </c>
      <c r="AC88" s="25">
        <f>G88*30</f>
        <v>0</v>
      </c>
      <c r="AD88" s="25">
        <f>IF(F88="",G88*4.11,F88*4.11)</f>
        <v>217.83</v>
      </c>
      <c r="AE88" s="25">
        <v>498.78</v>
      </c>
      <c r="AF88" s="25">
        <f>V88+Y88+Z88+AA88+AB88+AC88+AD88</f>
        <v>203909.13</v>
      </c>
      <c r="AG88" s="25">
        <f>IFERROR(IFERROR((H88*W88*J88/15)-AE88,""),"")</f>
        <v>248887.60833333337</v>
      </c>
      <c r="AH88" s="26">
        <f>IFERROR(AG88-AF88,"")</f>
        <v>44978.478333333362</v>
      </c>
      <c r="AI88" s="6">
        <f>IF(F88="",(G88/$F$139)*$AL$27,(F88/$F$139)*$AL$27)</f>
        <v>0</v>
      </c>
      <c r="AJ88" s="6">
        <f>(AH88-AI88)*70%</f>
        <v>31484.934833333351</v>
      </c>
    </row>
    <row r="89" spans="1:36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3"/>
      <c r="AA89" s="21"/>
      <c r="AB89" s="21"/>
      <c r="AC89" s="21"/>
      <c r="AD89" s="21"/>
      <c r="AE89" s="21"/>
      <c r="AF89" s="21"/>
      <c r="AG89" s="21"/>
      <c r="AH89" s="26">
        <f>AH88/F88</f>
        <v>848.65053459119554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7">
        <f>IFERROR(AH88/AG88,"")</f>
        <v>0.18071803025682986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47"/>
      <c r="AI91" s="47"/>
      <c r="AJ91" s="47"/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/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>
        <v>45055</v>
      </c>
      <c r="B94" s="21" t="s">
        <v>474</v>
      </c>
      <c r="C94" s="21" t="s">
        <v>174</v>
      </c>
      <c r="D94" s="44">
        <v>147333</v>
      </c>
      <c r="E94" s="44"/>
      <c r="F94" s="21">
        <v>52</v>
      </c>
      <c r="G94" s="21"/>
      <c r="H94" s="22">
        <v>26320</v>
      </c>
      <c r="I94" s="33">
        <v>0.53</v>
      </c>
      <c r="J94" s="24">
        <f>IFERROR(K94/H94,"")</f>
        <v>0.53539133738601818</v>
      </c>
      <c r="K94" s="22">
        <v>14091.5</v>
      </c>
      <c r="L94" s="21"/>
      <c r="M94" s="21">
        <v>6</v>
      </c>
      <c r="N94" s="21">
        <v>31</v>
      </c>
      <c r="O94" s="21">
        <v>15</v>
      </c>
      <c r="P94" s="21"/>
      <c r="Q94" s="21"/>
      <c r="R94" s="21"/>
      <c r="S94" s="21"/>
      <c r="T94" s="21"/>
      <c r="U94" s="25">
        <v>230</v>
      </c>
      <c r="V94" s="25">
        <f>H94*U94*I94/15</f>
        <v>213893.86666666667</v>
      </c>
      <c r="W94" s="25">
        <v>279.75</v>
      </c>
      <c r="X94" s="25">
        <v>262809.56</v>
      </c>
      <c r="Y94" s="25">
        <f>F94*40</f>
        <v>2080</v>
      </c>
      <c r="Z94" s="25">
        <v>12389.54</v>
      </c>
      <c r="AA94" s="25">
        <v>0</v>
      </c>
      <c r="AB94" s="65">
        <f>F94*23</f>
        <v>1196</v>
      </c>
      <c r="AC94" s="25">
        <v>0</v>
      </c>
      <c r="AD94" s="25">
        <f>IF(F94="",G94*4.11,F94*4.11)</f>
        <v>213.72000000000003</v>
      </c>
      <c r="AE94" s="25">
        <v>525.62</v>
      </c>
      <c r="AF94" s="25">
        <f>V94+Y94+Z94+AA94+AB94+AC94+AD94</f>
        <v>229773.12666666668</v>
      </c>
      <c r="AG94" s="25">
        <f>IFERROR(IFERROR((H94*W94*J94/15)-AE94,""),"")</f>
        <v>262280.85499999998</v>
      </c>
      <c r="AH94" s="26">
        <f>IFERROR(AG94-AF94,"")</f>
        <v>32507.728333333303</v>
      </c>
      <c r="AI94" s="6">
        <f>IF(F94="",(G94/$F$139)*$AL$27,(F94/$F$139)*$AL$27)</f>
        <v>0</v>
      </c>
      <c r="AJ94" s="6">
        <f>(AH94-AI94)*70%</f>
        <v>22755.40983333331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AH94/F94</f>
        <v>625.14862179487125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0.12394243694734526</v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47"/>
      <c r="AJ97" s="47"/>
    </row>
    <row r="98" spans="1:36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47"/>
      <c r="AI98" s="47"/>
      <c r="AJ98" s="47"/>
    </row>
    <row r="99" spans="1:36" x14ac:dyDescent="0.35">
      <c r="A99" s="14" t="s">
        <v>1</v>
      </c>
      <c r="B99" s="14" t="s">
        <v>2</v>
      </c>
      <c r="C99" s="14" t="s">
        <v>110</v>
      </c>
      <c r="D99" s="14" t="s">
        <v>66</v>
      </c>
      <c r="E99" s="14"/>
      <c r="F99" s="14" t="s">
        <v>137</v>
      </c>
      <c r="G99" s="14" t="s">
        <v>138</v>
      </c>
      <c r="H99" s="14" t="s">
        <v>4</v>
      </c>
      <c r="I99" s="14" t="s">
        <v>5</v>
      </c>
      <c r="J99" s="14" t="s">
        <v>6</v>
      </c>
      <c r="K99" s="14" t="s">
        <v>7</v>
      </c>
      <c r="L99" s="14" t="s">
        <v>279</v>
      </c>
      <c r="M99" s="14" t="s">
        <v>280</v>
      </c>
      <c r="N99" s="14" t="s">
        <v>281</v>
      </c>
      <c r="O99" s="14" t="s">
        <v>282</v>
      </c>
      <c r="P99" s="14" t="s">
        <v>283</v>
      </c>
      <c r="Q99" s="14" t="s">
        <v>284</v>
      </c>
      <c r="R99" s="14" t="s">
        <v>904</v>
      </c>
      <c r="S99" s="14" t="s">
        <v>285</v>
      </c>
      <c r="T99" s="14" t="s">
        <v>289</v>
      </c>
      <c r="U99" s="14" t="s">
        <v>8</v>
      </c>
      <c r="V99" s="14" t="s">
        <v>9</v>
      </c>
      <c r="W99" s="14" t="s">
        <v>10</v>
      </c>
      <c r="X99" s="14" t="s">
        <v>100</v>
      </c>
      <c r="Y99" s="14" t="s">
        <v>106</v>
      </c>
      <c r="Z99" s="14" t="s">
        <v>12</v>
      </c>
      <c r="AA99" s="14" t="s">
        <v>258</v>
      </c>
      <c r="AB99" s="14" t="s">
        <v>13</v>
      </c>
      <c r="AC99" s="14" t="s">
        <v>74</v>
      </c>
      <c r="AD99" s="14" t="s">
        <v>21</v>
      </c>
      <c r="AE99" s="14" t="s">
        <v>14</v>
      </c>
      <c r="AF99" s="14" t="s">
        <v>15</v>
      </c>
      <c r="AG99" s="14" t="s">
        <v>16</v>
      </c>
      <c r="AH99" s="15" t="s">
        <v>17</v>
      </c>
      <c r="AI99" s="14" t="s">
        <v>679</v>
      </c>
      <c r="AJ99" s="14" t="s">
        <v>678</v>
      </c>
    </row>
    <row r="100" spans="1:36" x14ac:dyDescent="0.35">
      <c r="A100" s="20">
        <v>45056</v>
      </c>
      <c r="B100" s="21" t="s">
        <v>474</v>
      </c>
      <c r="C100" s="21" t="s">
        <v>242</v>
      </c>
      <c r="D100" s="44">
        <v>147849</v>
      </c>
      <c r="E100" s="44"/>
      <c r="F100" s="21">
        <v>29</v>
      </c>
      <c r="G100" s="21"/>
      <c r="H100" s="22">
        <v>16121.63</v>
      </c>
      <c r="I100" s="33">
        <v>0.54</v>
      </c>
      <c r="J100" s="24">
        <f>IFERROR(K100/H100,"")</f>
        <v>0.53245236368779092</v>
      </c>
      <c r="K100" s="22">
        <v>8584</v>
      </c>
      <c r="L100" s="21">
        <v>1</v>
      </c>
      <c r="M100" s="21">
        <v>8</v>
      </c>
      <c r="N100" s="21">
        <v>6</v>
      </c>
      <c r="O100" s="21">
        <v>12</v>
      </c>
      <c r="P100" s="21">
        <v>2</v>
      </c>
      <c r="Q100" s="21"/>
      <c r="R100" s="21"/>
      <c r="S100" s="21"/>
      <c r="T100" s="21"/>
      <c r="U100" s="25">
        <v>230</v>
      </c>
      <c r="V100" s="25">
        <f>H100*U100*I100/15</f>
        <v>133487.09640000001</v>
      </c>
      <c r="W100" s="25">
        <v>278.35000000000002</v>
      </c>
      <c r="X100" s="25">
        <v>159287.69</v>
      </c>
      <c r="Y100" s="25">
        <v>0</v>
      </c>
      <c r="Z100" s="25">
        <v>6551.51</v>
      </c>
      <c r="AA100" s="25">
        <v>0</v>
      </c>
      <c r="AB100" s="25">
        <v>667</v>
      </c>
      <c r="AC100" s="25">
        <f>F100*38</f>
        <v>1102</v>
      </c>
      <c r="AD100" s="25">
        <f>IF(F100="",G100*4.11,F100*4.11)</f>
        <v>119.19000000000001</v>
      </c>
      <c r="AE100" s="25">
        <v>318.58</v>
      </c>
      <c r="AF100" s="25">
        <f>V100+Y100+Z100+AA100+AB100+AC100+AD100</f>
        <v>141926.79640000002</v>
      </c>
      <c r="AG100" s="25">
        <f>IFERROR(IFERROR((H100*W100*J100/15)-AE100,""),"")</f>
        <v>158971.84666666671</v>
      </c>
      <c r="AH100" s="26">
        <f>IFERROR(AG100-AF100,"")</f>
        <v>17045.050266666687</v>
      </c>
      <c r="AI100" s="6">
        <f>IF(F100="",(G100/$F$139)*$AL$27,(F100/$F$139)*$AL$27)</f>
        <v>0</v>
      </c>
      <c r="AJ100" s="6">
        <f>(AH100-AI100)*70%</f>
        <v>11931.535186666681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3"/>
      <c r="AA101" s="21"/>
      <c r="AB101" s="21"/>
      <c r="AC101" s="21"/>
      <c r="AD101" s="21"/>
      <c r="AE101" s="21"/>
      <c r="AF101" s="21"/>
      <c r="AG101" s="21"/>
      <c r="AH101" s="26">
        <f>AH100/F100</f>
        <v>587.76035402298919</v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7">
        <f>IFERROR(AH100/AG100,"")</f>
        <v>0.10722055901135041</v>
      </c>
    </row>
    <row r="103" spans="1:36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47"/>
      <c r="AI103" s="47"/>
      <c r="AJ103" s="47"/>
    </row>
    <row r="104" spans="1:36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47"/>
      <c r="AI104" s="47"/>
      <c r="AJ104" s="47"/>
    </row>
    <row r="105" spans="1:36" x14ac:dyDescent="0.35">
      <c r="A105" s="14" t="s">
        <v>1</v>
      </c>
      <c r="B105" s="14" t="s">
        <v>2</v>
      </c>
      <c r="C105" s="14" t="s">
        <v>110</v>
      </c>
      <c r="D105" s="14" t="s">
        <v>66</v>
      </c>
      <c r="E105" s="14"/>
      <c r="F105" s="14" t="s">
        <v>137</v>
      </c>
      <c r="G105" s="14" t="s">
        <v>138</v>
      </c>
      <c r="H105" s="14" t="s">
        <v>4</v>
      </c>
      <c r="I105" s="14" t="s">
        <v>5</v>
      </c>
      <c r="J105" s="14" t="s">
        <v>6</v>
      </c>
      <c r="K105" s="14" t="s">
        <v>7</v>
      </c>
      <c r="L105" s="14" t="s">
        <v>279</v>
      </c>
      <c r="M105" s="14" t="s">
        <v>280</v>
      </c>
      <c r="N105" s="14" t="s">
        <v>281</v>
      </c>
      <c r="O105" s="14" t="s">
        <v>282</v>
      </c>
      <c r="P105" s="14" t="s">
        <v>283</v>
      </c>
      <c r="Q105" s="14" t="s">
        <v>284</v>
      </c>
      <c r="R105" s="14" t="s">
        <v>904</v>
      </c>
      <c r="S105" s="14" t="s">
        <v>285</v>
      </c>
      <c r="T105" s="14" t="s">
        <v>289</v>
      </c>
      <c r="U105" s="14" t="s">
        <v>8</v>
      </c>
      <c r="V105" s="14" t="s">
        <v>9</v>
      </c>
      <c r="W105" s="14" t="s">
        <v>10</v>
      </c>
      <c r="X105" s="14" t="s">
        <v>100</v>
      </c>
      <c r="Y105" s="14" t="s">
        <v>106</v>
      </c>
      <c r="Z105" s="14" t="s">
        <v>12</v>
      </c>
      <c r="AA105" s="14" t="s">
        <v>258</v>
      </c>
      <c r="AB105" s="14" t="s">
        <v>13</v>
      </c>
      <c r="AC105" s="14" t="s">
        <v>74</v>
      </c>
      <c r="AD105" s="14" t="s">
        <v>21</v>
      </c>
      <c r="AE105" s="14" t="s">
        <v>14</v>
      </c>
      <c r="AF105" s="14" t="s">
        <v>15</v>
      </c>
      <c r="AG105" s="14" t="s">
        <v>16</v>
      </c>
      <c r="AH105" s="15" t="s">
        <v>17</v>
      </c>
      <c r="AI105" s="14" t="s">
        <v>679</v>
      </c>
      <c r="AJ105" s="14" t="s">
        <v>678</v>
      </c>
    </row>
    <row r="106" spans="1:36" x14ac:dyDescent="0.35">
      <c r="A106" s="20">
        <v>45056</v>
      </c>
      <c r="B106" s="21" t="s">
        <v>474</v>
      </c>
      <c r="C106" s="21" t="s">
        <v>242</v>
      </c>
      <c r="D106" s="44">
        <v>147849</v>
      </c>
      <c r="E106" s="44"/>
      <c r="F106" s="21">
        <v>20</v>
      </c>
      <c r="G106" s="21"/>
      <c r="H106" s="22">
        <v>11118.36</v>
      </c>
      <c r="I106" s="33">
        <v>0.54</v>
      </c>
      <c r="J106" s="24">
        <f>IFERROR(K106/H106,"")</f>
        <v>0.53245262790555437</v>
      </c>
      <c r="K106" s="22">
        <v>5920</v>
      </c>
      <c r="L106" s="21"/>
      <c r="M106" s="21"/>
      <c r="N106" s="21">
        <v>20</v>
      </c>
      <c r="O106" s="21"/>
      <c r="P106" s="21"/>
      <c r="Q106" s="21"/>
      <c r="R106" s="21"/>
      <c r="S106" s="21"/>
      <c r="T106" s="21"/>
      <c r="U106" s="25">
        <v>230</v>
      </c>
      <c r="V106" s="25">
        <f>H106*U106*I106/15</f>
        <v>92060.020800000013</v>
      </c>
      <c r="W106" s="25">
        <v>278.35000000000002</v>
      </c>
      <c r="X106" s="25">
        <v>109853.58</v>
      </c>
      <c r="Y106" s="25">
        <v>0</v>
      </c>
      <c r="Z106" s="25">
        <v>4518.28</v>
      </c>
      <c r="AA106" s="25">
        <v>0</v>
      </c>
      <c r="AB106" s="25">
        <v>460</v>
      </c>
      <c r="AC106" s="25">
        <f>F106*38</f>
        <v>760</v>
      </c>
      <c r="AD106" s="25">
        <f>IF(F106="",G106*4.11,F106*4.11)</f>
        <v>82.2</v>
      </c>
      <c r="AE106" s="25">
        <v>219.71</v>
      </c>
      <c r="AF106" s="25">
        <f>V106+Y106+Z106+AA106+AB106+AC106+AD106</f>
        <v>97880.500800000009</v>
      </c>
      <c r="AG106" s="25">
        <f>IFERROR(IFERROR((H106*W106*J106/15)-AE106,""),"")</f>
        <v>109635.75666666668</v>
      </c>
      <c r="AH106" s="26">
        <f>IFERROR(AG106-AF106,"")</f>
        <v>11755.255866666674</v>
      </c>
      <c r="AI106" s="6">
        <f>IF(F106="",(G106/$F$139)*$AL$27,(F106/$F$139)*$AL$27)</f>
        <v>0</v>
      </c>
      <c r="AJ106" s="6">
        <f>(AH106-AI106)*70%</f>
        <v>8228.6791066666719</v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3"/>
      <c r="AA107" s="21"/>
      <c r="AB107" s="21"/>
      <c r="AC107" s="21"/>
      <c r="AD107" s="21"/>
      <c r="AE107" s="21"/>
      <c r="AF107" s="21"/>
      <c r="AG107" s="21"/>
      <c r="AH107" s="26">
        <f>AH106/F106</f>
        <v>587.76279333333366</v>
      </c>
    </row>
    <row r="108" spans="1:36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7">
        <f>IFERROR(AH106/AG106,"")</f>
        <v>0.10722100365856922</v>
      </c>
    </row>
    <row r="109" spans="1:36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47"/>
      <c r="AI109" s="47"/>
      <c r="AJ109" s="47"/>
    </row>
    <row r="110" spans="1:36" x14ac:dyDescent="0.35">
      <c r="A110" s="14" t="s">
        <v>1</v>
      </c>
      <c r="B110" s="14" t="s">
        <v>2</v>
      </c>
      <c r="C110" s="14" t="s">
        <v>110</v>
      </c>
      <c r="D110" s="14" t="s">
        <v>66</v>
      </c>
      <c r="E110" s="14"/>
      <c r="F110" s="14" t="s">
        <v>137</v>
      </c>
      <c r="G110" s="14" t="s">
        <v>138</v>
      </c>
      <c r="H110" s="14" t="s">
        <v>4</v>
      </c>
      <c r="I110" s="14" t="s">
        <v>5</v>
      </c>
      <c r="J110" s="14" t="s">
        <v>6</v>
      </c>
      <c r="K110" s="14" t="s">
        <v>7</v>
      </c>
      <c r="L110" s="14" t="s">
        <v>279</v>
      </c>
      <c r="M110" s="14" t="s">
        <v>280</v>
      </c>
      <c r="N110" s="14" t="s">
        <v>281</v>
      </c>
      <c r="O110" s="14" t="s">
        <v>282</v>
      </c>
      <c r="P110" s="14" t="s">
        <v>283</v>
      </c>
      <c r="Q110" s="14" t="s">
        <v>284</v>
      </c>
      <c r="R110" s="14" t="s">
        <v>904</v>
      </c>
      <c r="S110" s="14" t="s">
        <v>285</v>
      </c>
      <c r="T110" s="14" t="s">
        <v>289</v>
      </c>
      <c r="U110" s="14" t="s">
        <v>8</v>
      </c>
      <c r="V110" s="14" t="s">
        <v>9</v>
      </c>
      <c r="W110" s="14" t="s">
        <v>10</v>
      </c>
      <c r="X110" s="14" t="s">
        <v>100</v>
      </c>
      <c r="Y110" s="14" t="s">
        <v>106</v>
      </c>
      <c r="Z110" s="14" t="s">
        <v>12</v>
      </c>
      <c r="AA110" s="14" t="s">
        <v>258</v>
      </c>
      <c r="AB110" s="14" t="s">
        <v>13</v>
      </c>
      <c r="AC110" s="14" t="s">
        <v>74</v>
      </c>
      <c r="AD110" s="14" t="s">
        <v>21</v>
      </c>
      <c r="AE110" s="14" t="s">
        <v>14</v>
      </c>
      <c r="AF110" s="14" t="s">
        <v>15</v>
      </c>
      <c r="AG110" s="14" t="s">
        <v>16</v>
      </c>
      <c r="AH110" s="15" t="s">
        <v>17</v>
      </c>
      <c r="AI110" s="14" t="s">
        <v>679</v>
      </c>
      <c r="AJ110" s="14" t="s">
        <v>678</v>
      </c>
    </row>
    <row r="111" spans="1:36" x14ac:dyDescent="0.35">
      <c r="A111" s="20">
        <v>45056</v>
      </c>
      <c r="B111" s="21" t="s">
        <v>474</v>
      </c>
      <c r="C111" s="21" t="s">
        <v>242</v>
      </c>
      <c r="D111" s="44">
        <v>147851</v>
      </c>
      <c r="E111" s="44"/>
      <c r="F111" s="21">
        <v>49</v>
      </c>
      <c r="G111" s="21"/>
      <c r="H111" s="22">
        <v>27240</v>
      </c>
      <c r="I111" s="33">
        <v>0.54</v>
      </c>
      <c r="J111" s="24">
        <f>IFERROR(K111/H111,"")</f>
        <v>0.54183186490455215</v>
      </c>
      <c r="K111" s="22">
        <v>14759.5</v>
      </c>
      <c r="L111" s="21">
        <v>1</v>
      </c>
      <c r="M111" s="21">
        <v>12</v>
      </c>
      <c r="N111" s="21">
        <v>30</v>
      </c>
      <c r="O111" s="21">
        <v>6</v>
      </c>
      <c r="P111" s="21"/>
      <c r="Q111" s="21"/>
      <c r="R111" s="21"/>
      <c r="S111" s="21"/>
      <c r="T111" s="21"/>
      <c r="U111" s="25">
        <v>230</v>
      </c>
      <c r="V111" s="25">
        <f>H111*U111*I111/15</f>
        <v>225547.2</v>
      </c>
      <c r="W111" s="25">
        <v>277.92</v>
      </c>
      <c r="X111" s="25">
        <v>273461.27</v>
      </c>
      <c r="Y111" s="25">
        <v>0</v>
      </c>
      <c r="Z111" s="25">
        <v>11069.79</v>
      </c>
      <c r="AA111" s="25">
        <v>0</v>
      </c>
      <c r="AB111" s="25">
        <v>1127</v>
      </c>
      <c r="AC111" s="25">
        <f>F111*38</f>
        <v>1862</v>
      </c>
      <c r="AD111" s="25">
        <f>IF(F111="",G111*4.11,F111*4.11)</f>
        <v>201.39000000000001</v>
      </c>
      <c r="AE111" s="25">
        <v>546.92999999999995</v>
      </c>
      <c r="AF111" s="25">
        <f>V111+Y111+Z111+AA111+AB111+AC111+AD111</f>
        <v>239807.38000000003</v>
      </c>
      <c r="AG111" s="25">
        <f>IFERROR(IFERROR((H111*W111*J111/15)-AE111,""),"")</f>
        <v>272917.08600000007</v>
      </c>
      <c r="AH111" s="26">
        <f>IFERROR(AG111-AF111,"")</f>
        <v>33109.706000000035</v>
      </c>
      <c r="AI111" s="6">
        <f>IF(F111="",(G111/$F$139)*$AL$27,(F111/$F$139)*$AL$27)</f>
        <v>0</v>
      </c>
      <c r="AJ111" s="6">
        <f>(AH111-AI111)*70%</f>
        <v>23176.794200000022</v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3"/>
      <c r="AA112" s="21"/>
      <c r="AB112" s="21"/>
      <c r="AC112" s="21"/>
      <c r="AD112" s="21"/>
      <c r="AE112" s="21"/>
      <c r="AF112" s="21"/>
      <c r="AG112" s="21"/>
      <c r="AH112" s="26">
        <f>AH111/F111</f>
        <v>675.70828571428638</v>
      </c>
      <c r="AI112" s="6"/>
      <c r="AJ112" s="6"/>
    </row>
    <row r="113" spans="1:36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7">
        <f>IFERROR(AH111/AG111,"")</f>
        <v>0.12131782031411557</v>
      </c>
    </row>
    <row r="114" spans="1:36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47"/>
    </row>
    <row r="115" spans="1:36" x14ac:dyDescent="0.35">
      <c r="A115" s="14" t="s">
        <v>1</v>
      </c>
      <c r="B115" s="14" t="s">
        <v>2</v>
      </c>
      <c r="C115" s="14" t="s">
        <v>110</v>
      </c>
      <c r="D115" s="14" t="s">
        <v>66</v>
      </c>
      <c r="E115" s="14"/>
      <c r="F115" s="14" t="s">
        <v>137</v>
      </c>
      <c r="G115" s="14" t="s">
        <v>138</v>
      </c>
      <c r="H115" s="14" t="s">
        <v>4</v>
      </c>
      <c r="I115" s="14" t="s">
        <v>5</v>
      </c>
      <c r="J115" s="14" t="s">
        <v>6</v>
      </c>
      <c r="K115" s="14" t="s">
        <v>7</v>
      </c>
      <c r="L115" s="14" t="s">
        <v>279</v>
      </c>
      <c r="M115" s="14" t="s">
        <v>280</v>
      </c>
      <c r="N115" s="14" t="s">
        <v>281</v>
      </c>
      <c r="O115" s="14" t="s">
        <v>282</v>
      </c>
      <c r="P115" s="14" t="s">
        <v>283</v>
      </c>
      <c r="Q115" s="14" t="s">
        <v>284</v>
      </c>
      <c r="R115" s="14" t="s">
        <v>904</v>
      </c>
      <c r="S115" s="14" t="s">
        <v>285</v>
      </c>
      <c r="T115" s="14" t="s">
        <v>289</v>
      </c>
      <c r="U115" s="14" t="s">
        <v>8</v>
      </c>
      <c r="V115" s="14" t="s">
        <v>9</v>
      </c>
      <c r="W115" s="14" t="s">
        <v>10</v>
      </c>
      <c r="X115" s="14" t="s">
        <v>100</v>
      </c>
      <c r="Y115" s="14" t="s">
        <v>106</v>
      </c>
      <c r="Z115" s="14" t="s">
        <v>12</v>
      </c>
      <c r="AA115" s="14" t="s">
        <v>258</v>
      </c>
      <c r="AB115" s="14" t="s">
        <v>13</v>
      </c>
      <c r="AC115" s="14" t="s">
        <v>74</v>
      </c>
      <c r="AD115" s="14" t="s">
        <v>21</v>
      </c>
      <c r="AE115" s="14" t="s">
        <v>14</v>
      </c>
      <c r="AF115" s="14" t="s">
        <v>15</v>
      </c>
      <c r="AG115" s="14" t="s">
        <v>16</v>
      </c>
      <c r="AH115" s="15" t="s">
        <v>17</v>
      </c>
      <c r="AI115" s="14" t="s">
        <v>679</v>
      </c>
      <c r="AJ115" s="14" t="s">
        <v>678</v>
      </c>
    </row>
    <row r="116" spans="1:36" x14ac:dyDescent="0.35">
      <c r="A116" s="20">
        <v>45056</v>
      </c>
      <c r="B116" s="21" t="s">
        <v>474</v>
      </c>
      <c r="C116" s="21" t="s">
        <v>514</v>
      </c>
      <c r="D116" s="44">
        <v>147850</v>
      </c>
      <c r="E116" s="44"/>
      <c r="F116" s="21">
        <v>37</v>
      </c>
      <c r="G116" s="21"/>
      <c r="H116" s="22">
        <v>19284.400000000001</v>
      </c>
      <c r="I116" s="33">
        <v>0.53</v>
      </c>
      <c r="J116" s="24">
        <f>IFERROR(K116/H116,"")</f>
        <v>0.52001151189562544</v>
      </c>
      <c r="K116" s="22">
        <v>10028.11</v>
      </c>
      <c r="L116" s="21"/>
      <c r="M116" s="21">
        <v>6</v>
      </c>
      <c r="N116" s="21">
        <v>18</v>
      </c>
      <c r="O116" s="21">
        <v>13</v>
      </c>
      <c r="P116" s="21"/>
      <c r="Q116" s="21"/>
      <c r="R116" s="21"/>
      <c r="S116" s="21"/>
      <c r="T116" s="21"/>
      <c r="U116" s="25">
        <v>220</v>
      </c>
      <c r="V116" s="25">
        <f>H116*U116*I116/15</f>
        <v>149904.06933333335</v>
      </c>
      <c r="W116" s="25">
        <v>279.32</v>
      </c>
      <c r="X116" s="25">
        <v>186735.84</v>
      </c>
      <c r="Y116" s="25">
        <v>0</v>
      </c>
      <c r="Z116" s="25">
        <v>8737.5499999999993</v>
      </c>
      <c r="AA116" s="25">
        <v>0</v>
      </c>
      <c r="AB116" s="65">
        <f>F116*22</f>
        <v>814</v>
      </c>
      <c r="AC116" s="25">
        <f>F116*38</f>
        <v>1406</v>
      </c>
      <c r="AD116" s="25">
        <f>IF(F116="",G116*4.11,F116*4.11)</f>
        <v>152.07000000000002</v>
      </c>
      <c r="AE116" s="25">
        <v>373.48</v>
      </c>
      <c r="AF116" s="25">
        <f>V116+Y116+Z116+AA116+AB116+AC116+AD116</f>
        <v>161013.68933333334</v>
      </c>
      <c r="AG116" s="25">
        <f>IFERROR(IFERROR((H116*W116*J116/15)-AE116,""),"")</f>
        <v>186363.29901333331</v>
      </c>
      <c r="AH116" s="26">
        <f>IFERROR(AG116-AF116,"")</f>
        <v>25349.609679999965</v>
      </c>
      <c r="AI116" s="6">
        <f>IF(F116="",(G116/$F$139)*$AL$27,(F116/$F$139)*$AL$27)</f>
        <v>0</v>
      </c>
      <c r="AJ116" s="6">
        <f>(AH116-AI116)*70%</f>
        <v>17744.726775999974</v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3"/>
      <c r="AA117" s="21"/>
      <c r="AB117" s="21"/>
      <c r="AC117" s="21"/>
      <c r="AD117" s="21"/>
      <c r="AE117" s="21"/>
      <c r="AF117" s="21"/>
      <c r="AG117" s="21"/>
      <c r="AH117" s="26">
        <f>AH116/F116</f>
        <v>685.124585945945</v>
      </c>
    </row>
    <row r="118" spans="1:36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7">
        <f>IFERROR(AH116/AG116,"")</f>
        <v>0.13602254206814796</v>
      </c>
    </row>
    <row r="119" spans="1:36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47"/>
      <c r="AI119" s="47"/>
      <c r="AJ119" s="47"/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47"/>
      <c r="AI120" s="47"/>
      <c r="AJ120" s="47"/>
    </row>
    <row r="121" spans="1:36" x14ac:dyDescent="0.35">
      <c r="A121" s="14" t="s">
        <v>1</v>
      </c>
      <c r="B121" s="14" t="s">
        <v>2</v>
      </c>
      <c r="C121" s="14" t="s">
        <v>110</v>
      </c>
      <c r="D121" s="14" t="s">
        <v>66</v>
      </c>
      <c r="E121" s="14"/>
      <c r="F121" s="14" t="s">
        <v>137</v>
      </c>
      <c r="G121" s="14" t="s">
        <v>138</v>
      </c>
      <c r="H121" s="14" t="s">
        <v>4</v>
      </c>
      <c r="I121" s="14" t="s">
        <v>5</v>
      </c>
      <c r="J121" s="14" t="s">
        <v>6</v>
      </c>
      <c r="K121" s="14" t="s">
        <v>7</v>
      </c>
      <c r="L121" s="14" t="s">
        <v>279</v>
      </c>
      <c r="M121" s="14" t="s">
        <v>280</v>
      </c>
      <c r="N121" s="14" t="s">
        <v>281</v>
      </c>
      <c r="O121" s="14" t="s">
        <v>282</v>
      </c>
      <c r="P121" s="14" t="s">
        <v>283</v>
      </c>
      <c r="Q121" s="14" t="s">
        <v>284</v>
      </c>
      <c r="R121" s="14" t="s">
        <v>904</v>
      </c>
      <c r="S121" s="14" t="s">
        <v>285</v>
      </c>
      <c r="T121" s="14" t="s">
        <v>289</v>
      </c>
      <c r="U121" s="14" t="s">
        <v>8</v>
      </c>
      <c r="V121" s="14" t="s">
        <v>9</v>
      </c>
      <c r="W121" s="14" t="s">
        <v>10</v>
      </c>
      <c r="X121" s="14" t="s">
        <v>100</v>
      </c>
      <c r="Y121" s="14" t="s">
        <v>106</v>
      </c>
      <c r="Z121" s="14" t="s">
        <v>12</v>
      </c>
      <c r="AA121" s="14" t="s">
        <v>258</v>
      </c>
      <c r="AB121" s="14" t="s">
        <v>13</v>
      </c>
      <c r="AC121" s="14" t="s">
        <v>74</v>
      </c>
      <c r="AD121" s="14" t="s">
        <v>21</v>
      </c>
      <c r="AE121" s="14" t="s">
        <v>14</v>
      </c>
      <c r="AF121" s="14" t="s">
        <v>15</v>
      </c>
      <c r="AG121" s="14" t="s">
        <v>16</v>
      </c>
      <c r="AH121" s="15" t="s">
        <v>17</v>
      </c>
      <c r="AI121" s="14" t="s">
        <v>679</v>
      </c>
      <c r="AJ121" s="14" t="s">
        <v>678</v>
      </c>
    </row>
    <row r="122" spans="1:36" x14ac:dyDescent="0.35">
      <c r="A122" s="20">
        <v>45056</v>
      </c>
      <c r="B122" s="21" t="s">
        <v>474</v>
      </c>
      <c r="C122" s="21" t="s">
        <v>514</v>
      </c>
      <c r="D122" s="44">
        <v>147850</v>
      </c>
      <c r="E122" s="44"/>
      <c r="F122" s="21">
        <v>13</v>
      </c>
      <c r="G122" s="21"/>
      <c r="H122" s="22">
        <v>6775.6</v>
      </c>
      <c r="I122" s="33">
        <v>0.53</v>
      </c>
      <c r="J122" s="24">
        <f>IFERROR(K122/H122,"")</f>
        <v>0.52001151189562544</v>
      </c>
      <c r="K122" s="22">
        <v>3523.39</v>
      </c>
      <c r="L122" s="21"/>
      <c r="M122" s="21"/>
      <c r="N122" s="21">
        <v>13</v>
      </c>
      <c r="O122" s="21"/>
      <c r="P122" s="21"/>
      <c r="Q122" s="21"/>
      <c r="R122" s="21"/>
      <c r="S122" s="21"/>
      <c r="T122" s="21"/>
      <c r="U122" s="25">
        <v>200</v>
      </c>
      <c r="V122" s="25">
        <f>H122*U122*I122/15</f>
        <v>47880.906666666669</v>
      </c>
      <c r="W122" s="25">
        <v>279.32</v>
      </c>
      <c r="X122" s="25">
        <v>65609.89</v>
      </c>
      <c r="Y122" s="25">
        <v>0</v>
      </c>
      <c r="Z122" s="25">
        <v>3069.95</v>
      </c>
      <c r="AA122" s="25">
        <v>0</v>
      </c>
      <c r="AB122" s="65">
        <f>F122*20</f>
        <v>260</v>
      </c>
      <c r="AC122" s="25">
        <f>F122*38</f>
        <v>494</v>
      </c>
      <c r="AD122" s="25">
        <f>IF(F122="",G122*4.11,F122*4.11)</f>
        <v>53.430000000000007</v>
      </c>
      <c r="AE122" s="25">
        <v>131.22</v>
      </c>
      <c r="AF122" s="25">
        <f>V122+Y122+Z122+AA122+AB122+AC122+AD122</f>
        <v>51758.286666666667</v>
      </c>
      <c r="AG122" s="25">
        <f>IFERROR(IFERROR((H122*W122*J122/15)-AE122,""),"")</f>
        <v>65478.999653333332</v>
      </c>
      <c r="AH122" s="26">
        <f>IFERROR(AG122-AF122,"")</f>
        <v>13720.712986666666</v>
      </c>
      <c r="AI122" s="6">
        <f>IF(F122="",(G122/$F$139)*$AL$27,(F122/$F$139)*$AL$27)</f>
        <v>0</v>
      </c>
      <c r="AJ122" s="6">
        <f>(AH122-AI122)*70%</f>
        <v>9604.4990906666644</v>
      </c>
    </row>
    <row r="123" spans="1:36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3"/>
      <c r="AA123" s="21"/>
      <c r="AB123" s="21"/>
      <c r="AC123" s="21"/>
      <c r="AD123" s="21"/>
      <c r="AE123" s="21"/>
      <c r="AF123" s="21"/>
      <c r="AG123" s="21"/>
      <c r="AH123" s="26">
        <f>AH122/F122</f>
        <v>1055.4394605128205</v>
      </c>
    </row>
    <row r="124" spans="1:36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7">
        <f>IFERROR(AH122/AG122,"")</f>
        <v>0.20954371721175472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47"/>
      <c r="AI125" s="47"/>
      <c r="AJ125" s="47"/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47"/>
      <c r="AI126" s="47"/>
      <c r="AJ126" s="47"/>
    </row>
    <row r="127" spans="1:36" x14ac:dyDescent="0.35">
      <c r="A127" s="14" t="s">
        <v>1</v>
      </c>
      <c r="B127" s="14" t="s">
        <v>2</v>
      </c>
      <c r="C127" s="14" t="s">
        <v>110</v>
      </c>
      <c r="D127" s="14" t="s">
        <v>66</v>
      </c>
      <c r="E127" s="14"/>
      <c r="F127" s="14" t="s">
        <v>137</v>
      </c>
      <c r="G127" s="14" t="s">
        <v>138</v>
      </c>
      <c r="H127" s="14" t="s">
        <v>4</v>
      </c>
      <c r="I127" s="14" t="s">
        <v>5</v>
      </c>
      <c r="J127" s="14" t="s">
        <v>6</v>
      </c>
      <c r="K127" s="14" t="s">
        <v>7</v>
      </c>
      <c r="L127" s="14" t="s">
        <v>279</v>
      </c>
      <c r="M127" s="14" t="s">
        <v>280</v>
      </c>
      <c r="N127" s="14" t="s">
        <v>281</v>
      </c>
      <c r="O127" s="14" t="s">
        <v>282</v>
      </c>
      <c r="P127" s="14" t="s">
        <v>283</v>
      </c>
      <c r="Q127" s="14" t="s">
        <v>284</v>
      </c>
      <c r="R127" s="14" t="s">
        <v>904</v>
      </c>
      <c r="S127" s="14" t="s">
        <v>285</v>
      </c>
      <c r="T127" s="14" t="s">
        <v>289</v>
      </c>
      <c r="U127" s="14" t="s">
        <v>8</v>
      </c>
      <c r="V127" s="14" t="s">
        <v>9</v>
      </c>
      <c r="W127" s="14" t="s">
        <v>10</v>
      </c>
      <c r="X127" s="14" t="s">
        <v>100</v>
      </c>
      <c r="Y127" s="14" t="s">
        <v>106</v>
      </c>
      <c r="Z127" s="14" t="s">
        <v>12</v>
      </c>
      <c r="AA127" s="14" t="s">
        <v>258</v>
      </c>
      <c r="AB127" s="14" t="s">
        <v>13</v>
      </c>
      <c r="AC127" s="14" t="s">
        <v>74</v>
      </c>
      <c r="AD127" s="14" t="s">
        <v>21</v>
      </c>
      <c r="AE127" s="14" t="s">
        <v>14</v>
      </c>
      <c r="AF127" s="14" t="s">
        <v>15</v>
      </c>
      <c r="AG127" s="14" t="s">
        <v>16</v>
      </c>
      <c r="AH127" s="15" t="s">
        <v>17</v>
      </c>
      <c r="AI127" s="14" t="s">
        <v>679</v>
      </c>
      <c r="AJ127" s="14" t="s">
        <v>678</v>
      </c>
    </row>
    <row r="128" spans="1:36" x14ac:dyDescent="0.35">
      <c r="A128" s="20">
        <v>45056</v>
      </c>
      <c r="B128" s="21" t="s">
        <v>474</v>
      </c>
      <c r="C128" s="21" t="s">
        <v>124</v>
      </c>
      <c r="D128" s="44">
        <v>147332</v>
      </c>
      <c r="E128" s="44"/>
      <c r="F128" s="21"/>
      <c r="G128" s="21">
        <v>60</v>
      </c>
      <c r="H128" s="22">
        <v>22840</v>
      </c>
      <c r="I128" s="33">
        <v>0.5</v>
      </c>
      <c r="J128" s="24">
        <f>IFERROR(K128/H128,"")</f>
        <v>0.49424255691768826</v>
      </c>
      <c r="K128" s="22">
        <v>11288.5</v>
      </c>
      <c r="L128" s="21">
        <v>9</v>
      </c>
      <c r="M128" s="21">
        <v>28</v>
      </c>
      <c r="N128" s="21">
        <v>16</v>
      </c>
      <c r="O128" s="21">
        <v>7</v>
      </c>
      <c r="P128" s="21"/>
      <c r="Q128" s="21"/>
      <c r="R128" s="21"/>
      <c r="S128" s="21"/>
      <c r="T128" s="21"/>
      <c r="U128" s="25">
        <v>215</v>
      </c>
      <c r="V128" s="25">
        <f>H128*U128*I128/15</f>
        <v>163686.66666666666</v>
      </c>
      <c r="W128" s="25">
        <v>276.63</v>
      </c>
      <c r="X128" s="25">
        <v>208180.56</v>
      </c>
      <c r="Y128" s="25">
        <f>G128*60</f>
        <v>3600</v>
      </c>
      <c r="Z128" s="25">
        <v>11183.5</v>
      </c>
      <c r="AA128" s="25">
        <v>0</v>
      </c>
      <c r="AB128" s="25">
        <v>1290</v>
      </c>
      <c r="AC128" s="25">
        <v>0</v>
      </c>
      <c r="AD128" s="25">
        <f>IF(F128="",G128*4.11,F128*4.11)</f>
        <v>246.60000000000002</v>
      </c>
      <c r="AE128" s="25">
        <v>416.36</v>
      </c>
      <c r="AF128" s="25">
        <f>V128+Y128+Z128+AA128+AB128+AC128+AD128</f>
        <v>180006.76666666666</v>
      </c>
      <c r="AG128" s="25">
        <f>IFERROR(IFERROR((H128*W128*J128/15)-AE128,""),"")</f>
        <v>207766.15700000001</v>
      </c>
      <c r="AH128" s="26">
        <f>IFERROR(AG128-AF128,"")</f>
        <v>27759.390333333344</v>
      </c>
      <c r="AI128" s="6">
        <f>IF(F128="",(G128/$F$139)*$AL$27,(F128/$F$139)*$AL$27)</f>
        <v>0</v>
      </c>
      <c r="AJ128" s="6">
        <f>(AH128-AI128)*70%</f>
        <v>19431.57323333334</v>
      </c>
    </row>
    <row r="129" spans="1:38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3"/>
      <c r="AA129" s="21"/>
      <c r="AB129" s="21"/>
      <c r="AC129" s="21"/>
      <c r="AD129" s="21"/>
      <c r="AE129" s="21"/>
      <c r="AF129" s="21"/>
      <c r="AG129" s="21"/>
      <c r="AH129" s="26">
        <f>AH128/G128</f>
        <v>462.65650555555573</v>
      </c>
    </row>
    <row r="130" spans="1:38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7">
        <f>IFERROR(AH128/AG128,"")</f>
        <v>0.13360881644132899</v>
      </c>
    </row>
    <row r="131" spans="1:38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47"/>
      <c r="AI131" s="47"/>
      <c r="AJ131" s="47"/>
    </row>
    <row r="132" spans="1:38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  <c r="AI132" s="47"/>
      <c r="AJ132" s="47"/>
    </row>
    <row r="133" spans="1:38" x14ac:dyDescent="0.35">
      <c r="A133" s="14" t="s">
        <v>1</v>
      </c>
      <c r="B133" s="14" t="s">
        <v>2</v>
      </c>
      <c r="C133" s="14" t="s">
        <v>110</v>
      </c>
      <c r="D133" s="14" t="s">
        <v>66</v>
      </c>
      <c r="E133" s="14"/>
      <c r="F133" s="14" t="s">
        <v>137</v>
      </c>
      <c r="G133" s="14" t="s">
        <v>138</v>
      </c>
      <c r="H133" s="14" t="s">
        <v>4</v>
      </c>
      <c r="I133" s="14" t="s">
        <v>5</v>
      </c>
      <c r="J133" s="14" t="s">
        <v>6</v>
      </c>
      <c r="K133" s="14" t="s">
        <v>7</v>
      </c>
      <c r="L133" s="14" t="s">
        <v>279</v>
      </c>
      <c r="M133" s="14" t="s">
        <v>280</v>
      </c>
      <c r="N133" s="14" t="s">
        <v>281</v>
      </c>
      <c r="O133" s="14" t="s">
        <v>282</v>
      </c>
      <c r="P133" s="14" t="s">
        <v>283</v>
      </c>
      <c r="Q133" s="14" t="s">
        <v>284</v>
      </c>
      <c r="R133" s="14" t="s">
        <v>904</v>
      </c>
      <c r="S133" s="14" t="s">
        <v>285</v>
      </c>
      <c r="T133" s="14" t="s">
        <v>289</v>
      </c>
      <c r="U133" s="14" t="s">
        <v>8</v>
      </c>
      <c r="V133" s="14" t="s">
        <v>9</v>
      </c>
      <c r="W133" s="14" t="s">
        <v>10</v>
      </c>
      <c r="X133" s="14" t="s">
        <v>100</v>
      </c>
      <c r="Y133" s="14" t="s">
        <v>106</v>
      </c>
      <c r="Z133" s="14" t="s">
        <v>12</v>
      </c>
      <c r="AA133" s="14" t="s">
        <v>258</v>
      </c>
      <c r="AB133" s="14" t="s">
        <v>13</v>
      </c>
      <c r="AC133" s="14" t="s">
        <v>74</v>
      </c>
      <c r="AD133" s="14" t="s">
        <v>21</v>
      </c>
      <c r="AE133" s="14" t="s">
        <v>14</v>
      </c>
      <c r="AF133" s="14" t="s">
        <v>15</v>
      </c>
      <c r="AG133" s="14" t="s">
        <v>16</v>
      </c>
      <c r="AH133" s="15" t="s">
        <v>17</v>
      </c>
      <c r="AI133" s="14" t="s">
        <v>679</v>
      </c>
      <c r="AJ133" s="14" t="s">
        <v>678</v>
      </c>
    </row>
    <row r="134" spans="1:38" x14ac:dyDescent="0.35">
      <c r="A134" s="20">
        <v>45055</v>
      </c>
      <c r="B134" s="21" t="s">
        <v>474</v>
      </c>
      <c r="C134" s="21" t="s">
        <v>222</v>
      </c>
      <c r="D134" s="44">
        <v>147750</v>
      </c>
      <c r="E134" s="44"/>
      <c r="F134" s="98">
        <v>1</v>
      </c>
      <c r="G134" s="21"/>
      <c r="H134" s="22">
        <v>512.54</v>
      </c>
      <c r="I134" s="33">
        <v>0.53</v>
      </c>
      <c r="J134" s="24">
        <f>IFERROR(K134/H134,"")</f>
        <v>0.52776368673664498</v>
      </c>
      <c r="K134" s="22">
        <v>270.5</v>
      </c>
      <c r="L134" s="21"/>
      <c r="M134" s="21"/>
      <c r="N134" s="21">
        <v>1</v>
      </c>
      <c r="O134" s="21"/>
      <c r="P134" s="21"/>
      <c r="Q134" s="21"/>
      <c r="R134" s="21"/>
      <c r="S134" s="21"/>
      <c r="T134" s="21"/>
      <c r="U134" s="25">
        <v>240</v>
      </c>
      <c r="V134" s="25">
        <f>H134*U134*I134/15</f>
        <v>4346.3391999999994</v>
      </c>
      <c r="W134" s="25">
        <v>284.79000000000002</v>
      </c>
      <c r="X134" s="25">
        <v>5135.53</v>
      </c>
      <c r="Y134" s="25">
        <f>F134*40</f>
        <v>40</v>
      </c>
      <c r="Z134" s="25">
        <v>0</v>
      </c>
      <c r="AA134" s="25">
        <v>0</v>
      </c>
      <c r="AB134" s="25">
        <v>0</v>
      </c>
      <c r="AC134" s="25">
        <f>G134*30</f>
        <v>0</v>
      </c>
      <c r="AD134" s="25">
        <f>IF(F134="",G134*4.11,F134*4.11)</f>
        <v>4.1100000000000003</v>
      </c>
      <c r="AE134" s="25">
        <v>10.27</v>
      </c>
      <c r="AF134" s="25">
        <f>V134+Y134+Z134+AA134+AB134+AC134+AD134</f>
        <v>4390.4491999999991</v>
      </c>
      <c r="AG134" s="25">
        <f>IFERROR(IFERROR((H134*W134*J134/15)-AE134,""),"")</f>
        <v>5125.4430000000002</v>
      </c>
      <c r="AH134" s="26">
        <f>IFERROR(AG134-AF134,"")</f>
        <v>734.9938000000011</v>
      </c>
      <c r="AI134" s="6">
        <f>IF(F134="",(G134/$F$139)*$AL$27,(F134/$F$139)*$AL$27)</f>
        <v>0</v>
      </c>
      <c r="AJ134" s="6">
        <f>(AH134-AI134)*70%</f>
        <v>514.49566000000073</v>
      </c>
    </row>
    <row r="135" spans="1:38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3"/>
      <c r="AA135" s="21"/>
      <c r="AB135" s="21"/>
      <c r="AC135" s="21"/>
      <c r="AD135" s="21"/>
      <c r="AE135" s="21"/>
      <c r="AF135" s="21"/>
      <c r="AG135" s="21"/>
      <c r="AH135" s="26">
        <f>AH134/F134</f>
        <v>734.9938000000011</v>
      </c>
    </row>
    <row r="136" spans="1:38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7">
        <f>IFERROR(AH134/AG134,"")</f>
        <v>0.14340102894520554</v>
      </c>
    </row>
    <row r="137" spans="1:38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47"/>
      <c r="AI137" s="47"/>
      <c r="AJ137" s="47"/>
    </row>
    <row r="138" spans="1:38" ht="15" thickBot="1" x14ac:dyDescent="0.4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47"/>
      <c r="AI138" s="47"/>
      <c r="AJ138" s="47"/>
    </row>
    <row r="139" spans="1:38" ht="16" thickBot="1" x14ac:dyDescent="0.4">
      <c r="A139" s="377" t="s">
        <v>510</v>
      </c>
      <c r="B139" s="378"/>
      <c r="C139" s="378"/>
      <c r="D139" s="378"/>
      <c r="E139" s="378"/>
      <c r="F139" s="30">
        <f>SUM(F4:G134)</f>
        <v>920</v>
      </c>
      <c r="G139" s="30"/>
      <c r="H139" s="30"/>
      <c r="I139" s="30"/>
      <c r="J139" s="30"/>
      <c r="K139" s="30"/>
      <c r="L139" s="46"/>
      <c r="M139" s="46"/>
      <c r="N139" s="46"/>
      <c r="O139" s="46"/>
      <c r="P139" s="46"/>
      <c r="Q139" s="46"/>
      <c r="R139" s="46"/>
      <c r="S139" s="46"/>
      <c r="T139" s="46"/>
      <c r="U139" s="30"/>
      <c r="V139" s="31">
        <f>V4+V10+V16+V22+V28+V34+V40+V46+V52+V58+V64+V70+V76+V82+V88+V94+V100+V106+V111+V116+V122+V128+V134</f>
        <v>3438645.9053666675</v>
      </c>
      <c r="W139" s="30"/>
      <c r="X139" s="30"/>
      <c r="Y139" s="31">
        <f>Y4+Y10+Y16+Y22+Y28+Y34+Y40+Y46+Y52+Y58+Y64+Y70+Y76+Y82+Y88+Y94+Y100+Y106+Y111+Y116+Y122+Y128+Y134</f>
        <v>31050</v>
      </c>
      <c r="Z139" s="31">
        <f>Z4+Z10+Z16+Z22+Z28+Z34+Z40+Z46+Z52+Z58+Z64+Z70+Z76+Z82+Z88+Z94+Z100+Z106+Z111+Z116+Z122+Z128+Z134</f>
        <v>186720.00000000003</v>
      </c>
      <c r="AA139" s="31">
        <f>AA4+AA10+AA16+AA22+AA28+AA34+AA40+AA46+AA52+AA58+AA64+AA70+AA76+AA82+AA88+AA94+AA100+AA106+AA111+AA116+AA122+AA128+AA134</f>
        <v>0</v>
      </c>
      <c r="AB139" s="31">
        <f>AB4+AB10+AB16+AB16+AB22+AB28+AB34+AB40+AB46+AB52+AB58+AB64+AB70+AB76+AB82+AB88+AB94+AB100+AB106+AB111+AB116+AB122+AB128+AB134</f>
        <v>21898.07</v>
      </c>
      <c r="AC139" s="31">
        <f t="shared" ref="AC139:AJ139" si="0">AC4+AC10+AC16+AC22+AC28+AC34+AC40+AC46+AC52+AC58+AC64+AC70+AC76+AC82+AC88+AC94+AC100+AC106+AC111+AC116+AC122+AC128+AC134</f>
        <v>5624</v>
      </c>
      <c r="AD139" s="31">
        <f t="shared" si="0"/>
        <v>3781.2</v>
      </c>
      <c r="AE139" s="31">
        <f t="shared" si="0"/>
        <v>8415.7800000000007</v>
      </c>
      <c r="AF139" s="31">
        <f t="shared" si="0"/>
        <v>3686684.1753666657</v>
      </c>
      <c r="AG139" s="31">
        <f t="shared" si="0"/>
        <v>4199974.7334866663</v>
      </c>
      <c r="AH139" s="31">
        <f t="shared" si="0"/>
        <v>513290.55812</v>
      </c>
      <c r="AI139" s="31">
        <f t="shared" si="0"/>
        <v>0</v>
      </c>
      <c r="AJ139" s="31">
        <f t="shared" si="0"/>
        <v>359303.39068400004</v>
      </c>
      <c r="AL139" s="6"/>
    </row>
    <row r="140" spans="1:38" x14ac:dyDescent="0.35">
      <c r="AJ140" s="6"/>
    </row>
    <row r="141" spans="1:38" x14ac:dyDescent="0.35">
      <c r="AJ141" s="6"/>
    </row>
  </sheetData>
  <mergeCells count="2">
    <mergeCell ref="U2:AC2"/>
    <mergeCell ref="A139:E13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61">
    <tabColor theme="9" tint="-0.249977111117893"/>
  </sheetPr>
  <dimension ref="A1:AO75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bestFit="1" customWidth="1"/>
    <col min="4" max="5" width="12.453125" customWidth="1"/>
    <col min="6" max="6" width="11.72656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21.1796875" bestFit="1" customWidth="1"/>
    <col min="39" max="39" width="24.1796875" customWidth="1"/>
    <col min="40" max="40" width="12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AF75</f>
        <v>2510859.1533333329</v>
      </c>
      <c r="AM3" s="164">
        <f>AH75-AI75</f>
        <v>432186.28373333352</v>
      </c>
    </row>
    <row r="4" spans="1:40" x14ac:dyDescent="0.35">
      <c r="A4" s="20">
        <v>45059</v>
      </c>
      <c r="B4" s="21" t="s">
        <v>322</v>
      </c>
      <c r="C4" s="21" t="s">
        <v>323</v>
      </c>
      <c r="D4" s="44">
        <v>147715</v>
      </c>
      <c r="E4" s="44"/>
      <c r="F4" s="21">
        <v>55</v>
      </c>
      <c r="G4" s="21"/>
      <c r="H4" s="22">
        <v>27150</v>
      </c>
      <c r="I4" s="33">
        <v>0.53</v>
      </c>
      <c r="J4" s="24">
        <f>IFERROR(K4/H4,"")</f>
        <v>0.55510128913443835</v>
      </c>
      <c r="K4" s="22">
        <v>15071</v>
      </c>
      <c r="L4" s="21">
        <v>7</v>
      </c>
      <c r="M4" s="21">
        <v>38</v>
      </c>
      <c r="N4" s="21">
        <v>9</v>
      </c>
      <c r="O4" s="21">
        <v>1</v>
      </c>
      <c r="P4" s="21"/>
      <c r="Q4" s="21"/>
      <c r="R4" s="21"/>
      <c r="S4" s="21"/>
      <c r="T4" s="21"/>
      <c r="U4" s="25">
        <v>235</v>
      </c>
      <c r="V4" s="25">
        <f>H4*U4*I4/15</f>
        <v>225435.5</v>
      </c>
      <c r="W4" s="139">
        <v>284.23</v>
      </c>
      <c r="X4" s="25">
        <v>285587.02</v>
      </c>
      <c r="Y4" s="25">
        <v>0</v>
      </c>
      <c r="Z4" s="25">
        <v>9454.9</v>
      </c>
      <c r="AA4" s="25">
        <v>0</v>
      </c>
      <c r="AB4" s="25">
        <v>1292.5</v>
      </c>
      <c r="AC4" s="25">
        <f>F4*38</f>
        <v>2090</v>
      </c>
      <c r="AD4" s="25">
        <f>F4*4.11</f>
        <v>226.05</v>
      </c>
      <c r="AE4" s="25">
        <v>571.13</v>
      </c>
      <c r="AF4" s="25">
        <f>V4+Y4+Z4+AA4+AB4+AC4+AD4</f>
        <v>238498.94999999998</v>
      </c>
      <c r="AG4" s="25">
        <f>IFERROR(IFERROR((H4*W4*J4/15)-AE4,""),"")</f>
        <v>285004.22533333342</v>
      </c>
      <c r="AH4" s="26">
        <f>IFERROR(AG4-AF4,"")</f>
        <v>46505.27533333344</v>
      </c>
      <c r="AI4" s="6">
        <f>IF(F4="",(G4/$F$75)*$AL$30,(F4/$F$75)*$AL$30)</f>
        <v>2531.5756756756759</v>
      </c>
      <c r="AJ4" s="6">
        <f>(AH4-AI4)*70%</f>
        <v>30781.589760360435</v>
      </c>
      <c r="AL4" s="166" t="s">
        <v>749</v>
      </c>
      <c r="AM4" s="167">
        <f>AM3/AL3</f>
        <v>0.17212685273866415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845.55046060606253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0.16317398550474857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M9" s="63"/>
    </row>
    <row r="10" spans="1:40" x14ac:dyDescent="0.35">
      <c r="A10" s="20">
        <v>45059</v>
      </c>
      <c r="B10" s="21" t="s">
        <v>442</v>
      </c>
      <c r="C10" s="21" t="s">
        <v>174</v>
      </c>
      <c r="D10" s="44">
        <v>147718</v>
      </c>
      <c r="E10" s="44"/>
      <c r="F10" s="21"/>
      <c r="G10" s="21">
        <v>65</v>
      </c>
      <c r="H10" s="22">
        <v>23940</v>
      </c>
      <c r="I10" s="33">
        <v>0.5</v>
      </c>
      <c r="J10" s="24">
        <f>IFERROR(K10/H10,"")</f>
        <v>0.49185463659147871</v>
      </c>
      <c r="K10" s="22">
        <v>11775</v>
      </c>
      <c r="L10" s="21">
        <v>11</v>
      </c>
      <c r="M10" s="21">
        <v>34</v>
      </c>
      <c r="N10" s="21">
        <v>16</v>
      </c>
      <c r="O10" s="21">
        <v>2</v>
      </c>
      <c r="P10" s="21">
        <v>2</v>
      </c>
      <c r="Q10" s="21"/>
      <c r="R10" s="21"/>
      <c r="S10" s="21"/>
      <c r="T10" s="21"/>
      <c r="U10" s="25">
        <v>210</v>
      </c>
      <c r="V10" s="25">
        <f>H10*U10*I10/15</f>
        <v>167580</v>
      </c>
      <c r="W10" s="139">
        <v>277.45999999999998</v>
      </c>
      <c r="X10" s="25">
        <v>217808.78</v>
      </c>
      <c r="Y10" s="25">
        <f>F10*40</f>
        <v>0</v>
      </c>
      <c r="Z10" s="25">
        <v>12714.6</v>
      </c>
      <c r="AA10" s="25">
        <v>0</v>
      </c>
      <c r="AB10" s="25">
        <v>1365</v>
      </c>
      <c r="AC10" s="25">
        <f>G10*35</f>
        <v>2275</v>
      </c>
      <c r="AD10" s="25">
        <f>IF(F10="",G10*4.11,F10*4.11)</f>
        <v>267.15000000000003</v>
      </c>
      <c r="AE10" s="25">
        <v>435.61</v>
      </c>
      <c r="AF10" s="25">
        <f>V10+Y10+Z10+AA10+AB10+AC10+AD10</f>
        <v>184201.75</v>
      </c>
      <c r="AG10" s="25">
        <f>IFERROR(IFERROR((H10*W10*J10/15)-AE10,""),"")</f>
        <v>217370.49000000002</v>
      </c>
      <c r="AH10" s="26">
        <f>IFERROR(AG10-AF10,"")</f>
        <v>33168.74000000002</v>
      </c>
      <c r="AI10" s="6">
        <f>IF(F10="",(G10/$F$75)*$AL$30,(F10/$F$75)*$AL$30)</f>
        <v>2991.8621621621619</v>
      </c>
      <c r="AJ10" s="6">
        <f>(AH10-AI10)*70%</f>
        <v>21123.814486486499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AH10/G10</f>
        <v>510.28830769230802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0.15259081396007348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</row>
    <row r="16" spans="1:40" x14ac:dyDescent="0.35">
      <c r="A16" s="20">
        <v>45059</v>
      </c>
      <c r="B16" s="21" t="s">
        <v>516</v>
      </c>
      <c r="C16" s="21" t="s">
        <v>116</v>
      </c>
      <c r="D16" s="44">
        <v>147717</v>
      </c>
      <c r="E16" s="44"/>
      <c r="F16" s="21"/>
      <c r="G16" s="21">
        <v>62</v>
      </c>
      <c r="H16" s="22">
        <v>22860</v>
      </c>
      <c r="I16" s="33">
        <v>0.5</v>
      </c>
      <c r="J16" s="24">
        <f>IFERROR(K16/H16,"")</f>
        <v>0.49606299212598426</v>
      </c>
      <c r="K16" s="22">
        <v>11340</v>
      </c>
      <c r="L16" s="21">
        <v>11</v>
      </c>
      <c r="M16" s="21">
        <v>39</v>
      </c>
      <c r="N16" s="21">
        <v>10</v>
      </c>
      <c r="O16" s="21">
        <v>2</v>
      </c>
      <c r="P16" s="21"/>
      <c r="Q16" s="21"/>
      <c r="R16" s="21"/>
      <c r="S16" s="21"/>
      <c r="T16" s="21"/>
      <c r="U16" s="25">
        <v>210</v>
      </c>
      <c r="V16" s="25">
        <f>H16*U16*I16/15</f>
        <v>160020</v>
      </c>
      <c r="W16" s="139">
        <v>275.81</v>
      </c>
      <c r="X16" s="25">
        <v>210629.06</v>
      </c>
      <c r="Y16" s="25">
        <f>F16*40</f>
        <v>0</v>
      </c>
      <c r="Z16" s="25">
        <v>12434.8</v>
      </c>
      <c r="AA16" s="25">
        <v>0</v>
      </c>
      <c r="AB16" s="25">
        <v>1302</v>
      </c>
      <c r="AC16" s="25">
        <f>G16*35</f>
        <v>2170</v>
      </c>
      <c r="AD16" s="25">
        <f>IF(F16="",G16*4.11,F16*4.11)</f>
        <v>254.82000000000002</v>
      </c>
      <c r="AE16" s="25">
        <v>421.25</v>
      </c>
      <c r="AF16" s="25">
        <f>V16+Y16+Z16+AA16+AB16+AC16+AD16</f>
        <v>176181.62</v>
      </c>
      <c r="AG16" s="25">
        <f>IFERROR(IFERROR((H16*W16*J16/15)-AE16,""),"")</f>
        <v>208091.11</v>
      </c>
      <c r="AH16" s="26">
        <f>IFERROR(AG16-AF16,"")</f>
        <v>31909.489999999991</v>
      </c>
      <c r="AI16" s="6">
        <f>IF(F16="",(G16/$F$75)*$AL$30,(F16/$F$75)*$AL$30)</f>
        <v>2853.7762162162162</v>
      </c>
      <c r="AJ16" s="6">
        <f>(AH16-AI16)*70%</f>
        <v>20338.999648648638</v>
      </c>
      <c r="AL16">
        <f>F4+G4+F10+G10+F16+G16+F22+G22+F28+G28+F34+G34+F40+G40+F46+G46+F52+G52+F58+G58+F64+G64+F70+G70</f>
        <v>703</v>
      </c>
      <c r="AM16" s="50" t="s">
        <v>22</v>
      </c>
      <c r="AN16" t="s">
        <v>72</v>
      </c>
    </row>
    <row r="17" spans="1:4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514.66919354838694</v>
      </c>
      <c r="AL17" s="11">
        <f>AH4+AH10+AH16+AH22+AH28+AH34+AH40+AH46+AH52+AH58+AH64+AH70</f>
        <v>464544.42373333353</v>
      </c>
      <c r="AM17" s="11">
        <f>AL17*30%</f>
        <v>139363.32712000006</v>
      </c>
      <c r="AN17" s="2">
        <v>45098</v>
      </c>
    </row>
    <row r="18" spans="1:41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0.15334384058982622</v>
      </c>
      <c r="AL18" s="11"/>
      <c r="AM18" s="11"/>
    </row>
    <row r="19" spans="1:41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</row>
    <row r="20" spans="1:4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1"/>
    </row>
    <row r="21" spans="1:41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80" t="s">
        <v>187</v>
      </c>
      <c r="AM21" s="206" t="s">
        <v>680</v>
      </c>
      <c r="AN21" s="190"/>
      <c r="AO21" s="191"/>
    </row>
    <row r="22" spans="1:41" x14ac:dyDescent="0.35">
      <c r="A22" s="20">
        <v>45059</v>
      </c>
      <c r="B22" s="21" t="s">
        <v>329</v>
      </c>
      <c r="C22" s="21" t="s">
        <v>174</v>
      </c>
      <c r="D22" s="44">
        <v>147716</v>
      </c>
      <c r="E22" s="44"/>
      <c r="F22" s="21">
        <v>50</v>
      </c>
      <c r="G22" s="21"/>
      <c r="H22" s="22">
        <v>30440</v>
      </c>
      <c r="I22" s="33">
        <v>0.54</v>
      </c>
      <c r="J22" s="24">
        <f>IFERROR(K22/H22,"")</f>
        <v>0.52657687253613661</v>
      </c>
      <c r="K22" s="22">
        <v>16029</v>
      </c>
      <c r="L22" s="21">
        <v>1</v>
      </c>
      <c r="M22" s="21">
        <v>16</v>
      </c>
      <c r="N22" s="21">
        <v>32</v>
      </c>
      <c r="O22" s="21">
        <v>1</v>
      </c>
      <c r="P22" s="21"/>
      <c r="Q22" s="21"/>
      <c r="R22" s="21"/>
      <c r="S22" s="21"/>
      <c r="T22" s="21"/>
      <c r="U22" s="25">
        <v>220</v>
      </c>
      <c r="V22" s="25">
        <f>H22*U22*I22/15</f>
        <v>241084.80000000002</v>
      </c>
      <c r="W22" s="139">
        <v>284.23</v>
      </c>
      <c r="X22" s="25">
        <v>303731.93</v>
      </c>
      <c r="Y22" s="25">
        <v>0</v>
      </c>
      <c r="Z22" s="25">
        <v>12718.69</v>
      </c>
      <c r="AA22" s="25">
        <v>0</v>
      </c>
      <c r="AB22" s="25">
        <v>1100</v>
      </c>
      <c r="AC22" s="25">
        <f>F22*38</f>
        <v>1900</v>
      </c>
      <c r="AD22" s="25">
        <f>IF(F22="",G22*4.11,F22*4.11)</f>
        <v>205.50000000000003</v>
      </c>
      <c r="AE22" s="25">
        <v>607.47</v>
      </c>
      <c r="AF22" s="25">
        <f>V22+Y22+Z22+AA22+AB22+AC22+AD22</f>
        <v>257008.99000000002</v>
      </c>
      <c r="AG22" s="25">
        <f>IFERROR(IFERROR((H22*W22*J22/15)-AE22,""),"")</f>
        <v>303120.70800000004</v>
      </c>
      <c r="AH22" s="26">
        <f>IFERROR(AG22-AF22,"")</f>
        <v>46111.718000000023</v>
      </c>
      <c r="AI22" s="6">
        <f>IF(F22="",(G22/$F$75)*$AL$30,(F22/$F$75)*$AL$30)</f>
        <v>2301.4324324324325</v>
      </c>
      <c r="AJ22" s="6">
        <f>(AH22-AI22)*70%</f>
        <v>30667.199897297309</v>
      </c>
      <c r="AL22" s="178">
        <v>5000</v>
      </c>
      <c r="AM22" t="s">
        <v>418</v>
      </c>
      <c r="AO22" s="174"/>
    </row>
    <row r="23" spans="1:41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922.23436000000049</v>
      </c>
      <c r="AL23" s="178">
        <v>18946.28</v>
      </c>
      <c r="AM23" s="6" t="s">
        <v>526</v>
      </c>
      <c r="AO23" s="174"/>
    </row>
    <row r="24" spans="1:41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0.1521232854866518</v>
      </c>
      <c r="AL24" s="178">
        <f>65740-65740</f>
        <v>0</v>
      </c>
      <c r="AM24" t="s">
        <v>527</v>
      </c>
      <c r="AO24" s="174"/>
    </row>
    <row r="25" spans="1:4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  <c r="AL25" s="178">
        <v>1721</v>
      </c>
      <c r="AM25" t="s">
        <v>529</v>
      </c>
      <c r="AO25" s="174"/>
    </row>
    <row r="26" spans="1:4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  <c r="AL26" s="205">
        <v>5369.91</v>
      </c>
      <c r="AM26" t="s">
        <v>529</v>
      </c>
      <c r="AO26" s="174"/>
    </row>
    <row r="27" spans="1:41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  <c r="AL27" s="178">
        <v>440</v>
      </c>
      <c r="AM27" t="s">
        <v>530</v>
      </c>
      <c r="AO27" s="174"/>
    </row>
    <row r="28" spans="1:41" x14ac:dyDescent="0.35">
      <c r="A28" s="20">
        <v>45060</v>
      </c>
      <c r="B28" s="21" t="s">
        <v>517</v>
      </c>
      <c r="C28" s="21" t="s">
        <v>319</v>
      </c>
      <c r="D28" s="44">
        <v>147727</v>
      </c>
      <c r="E28" s="44"/>
      <c r="F28" s="21">
        <v>50</v>
      </c>
      <c r="G28" s="21"/>
      <c r="H28" s="22">
        <v>30480</v>
      </c>
      <c r="I28" s="33">
        <v>0.54</v>
      </c>
      <c r="J28" s="24">
        <f>IFERROR(K28/H28,"")</f>
        <v>0.49283956692913383</v>
      </c>
      <c r="K28" s="22">
        <v>15021.75</v>
      </c>
      <c r="L28" s="21"/>
      <c r="M28" s="21">
        <v>9</v>
      </c>
      <c r="N28" s="21">
        <v>21</v>
      </c>
      <c r="O28" s="21">
        <v>18</v>
      </c>
      <c r="P28" s="21">
        <v>2</v>
      </c>
      <c r="Q28" s="21"/>
      <c r="R28" s="21"/>
      <c r="S28" s="21"/>
      <c r="T28" s="21"/>
      <c r="U28" s="25">
        <v>210</v>
      </c>
      <c r="V28" s="25">
        <f>H28*U28*I28/15</f>
        <v>230428.79999999999</v>
      </c>
      <c r="W28" s="139">
        <v>276.29000000000002</v>
      </c>
      <c r="X28" s="25">
        <v>276695.49</v>
      </c>
      <c r="Y28" s="25">
        <v>0</v>
      </c>
      <c r="Z28" s="25">
        <v>8507.5</v>
      </c>
      <c r="AA28" s="25">
        <v>0</v>
      </c>
      <c r="AB28" s="25">
        <v>1050</v>
      </c>
      <c r="AC28" s="25">
        <f>F28*38</f>
        <v>1900</v>
      </c>
      <c r="AD28" s="25">
        <f>IF(F28="",G28*4.11,F28*4.11)</f>
        <v>205.50000000000003</v>
      </c>
      <c r="AE28" s="25">
        <v>553.39</v>
      </c>
      <c r="AF28" s="25">
        <f>V28+Y28+Z28+AA28+AB28+AC28+AD28</f>
        <v>242091.8</v>
      </c>
      <c r="AG28" s="25">
        <f>IFERROR(IFERROR((H28*W28*J28/15)-AE28,""),"")</f>
        <v>276137.23050000001</v>
      </c>
      <c r="AH28" s="26">
        <f>IFERROR(AG28-AF28,"")</f>
        <v>34045.430500000017</v>
      </c>
      <c r="AI28" s="6">
        <f>IF(F28="",(G28/$F$75)*$AL$30,(F28/$F$75)*$AL$30)</f>
        <v>2301.4324324324325</v>
      </c>
      <c r="AJ28" s="6">
        <f>(AH28-AI28)*70%</f>
        <v>22220.798647297306</v>
      </c>
      <c r="AL28" s="178">
        <v>880.95</v>
      </c>
      <c r="AM28" t="s">
        <v>532</v>
      </c>
      <c r="AO28" s="174"/>
    </row>
    <row r="29" spans="1:41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680.90861000000029</v>
      </c>
      <c r="AL29" s="178"/>
      <c r="AM29" s="6"/>
      <c r="AO29" s="174"/>
    </row>
    <row r="30" spans="1:4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0.12329170694713698</v>
      </c>
      <c r="AL30" s="188">
        <f>SUM(AL22:AL29)</f>
        <v>32358.14</v>
      </c>
      <c r="AM30" s="189" t="s">
        <v>673</v>
      </c>
      <c r="AN30" s="190"/>
      <c r="AO30" s="191"/>
    </row>
    <row r="31" spans="1:4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</row>
    <row r="32" spans="1:4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95">
        <f>AL17-AL30</f>
        <v>432186.28373333352</v>
      </c>
      <c r="AM32" s="11" t="s">
        <v>471</v>
      </c>
    </row>
    <row r="33" spans="1:39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9">
        <f>AL32*30%</f>
        <v>129655.88512000005</v>
      </c>
      <c r="AM33" s="130" t="s">
        <v>499</v>
      </c>
    </row>
    <row r="34" spans="1:39" x14ac:dyDescent="0.35">
      <c r="A34" s="20">
        <v>45060</v>
      </c>
      <c r="B34" s="21" t="s">
        <v>517</v>
      </c>
      <c r="C34" s="21" t="s">
        <v>319</v>
      </c>
      <c r="D34" s="44">
        <v>147727</v>
      </c>
      <c r="E34" s="44"/>
      <c r="F34" s="21">
        <v>50</v>
      </c>
      <c r="G34" s="21"/>
      <c r="H34" s="22">
        <v>27000</v>
      </c>
      <c r="I34" s="33">
        <v>0.53</v>
      </c>
      <c r="J34" s="24">
        <f>IFERROR(K34/H34,"")</f>
        <v>0.55636111111111108</v>
      </c>
      <c r="K34" s="22">
        <v>15021.75</v>
      </c>
      <c r="L34" s="21"/>
      <c r="M34" s="21">
        <v>9</v>
      </c>
      <c r="N34" s="21">
        <v>22</v>
      </c>
      <c r="O34" s="21">
        <v>17</v>
      </c>
      <c r="P34" s="21">
        <v>2</v>
      </c>
      <c r="Q34" s="21"/>
      <c r="R34" s="21"/>
      <c r="S34" s="21"/>
      <c r="T34" s="21"/>
      <c r="U34" s="25">
        <v>220</v>
      </c>
      <c r="V34" s="25">
        <f>H34*U34*I34/15</f>
        <v>209880</v>
      </c>
      <c r="W34" s="139">
        <v>276.29000000000002</v>
      </c>
      <c r="X34" s="25">
        <v>276695.49</v>
      </c>
      <c r="Y34" s="25">
        <f>G34*40</f>
        <v>0</v>
      </c>
      <c r="Z34" s="25">
        <v>8507.5</v>
      </c>
      <c r="AA34" s="25">
        <v>0</v>
      </c>
      <c r="AB34" s="25">
        <v>1100</v>
      </c>
      <c r="AC34" s="25">
        <f>F34*38</f>
        <v>1900</v>
      </c>
      <c r="AD34" s="25">
        <f>IF(F34="",G34*4.11,F34*4.11)</f>
        <v>205.50000000000003</v>
      </c>
      <c r="AE34" s="25">
        <v>553.39</v>
      </c>
      <c r="AF34" s="25">
        <f>V34+Y34+Z34+AA34+AB34+AC34+AD34</f>
        <v>221593</v>
      </c>
      <c r="AG34" s="25">
        <f>IFERROR(IFERROR((H34*W34*J34/15)-AE34,""),"")</f>
        <v>276137.23050000001</v>
      </c>
      <c r="AH34" s="26">
        <f>IFERROR(AG34-AF34,"")</f>
        <v>54544.230500000005</v>
      </c>
      <c r="AI34" s="6">
        <f>IF(F34="",(G34/$F$75)*$AL$30,(F34/$F$75)*$AL$30)</f>
        <v>2301.4324324324325</v>
      </c>
      <c r="AJ34" s="6">
        <f>(AH34-AI34)*70%</f>
        <v>36569.958647297295</v>
      </c>
    </row>
    <row r="35" spans="1:39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AH34/F34</f>
        <v>1090.8846100000001</v>
      </c>
    </row>
    <row r="36" spans="1:39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0.19752581135559699</v>
      </c>
    </row>
    <row r="37" spans="1:39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9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  <c r="AL38" t="s">
        <v>360</v>
      </c>
    </row>
    <row r="39" spans="1:39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9" x14ac:dyDescent="0.35">
      <c r="A40" s="20">
        <v>45061</v>
      </c>
      <c r="B40" s="21" t="s">
        <v>518</v>
      </c>
      <c r="C40" s="21" t="s">
        <v>460</v>
      </c>
      <c r="D40" s="44">
        <v>147724</v>
      </c>
      <c r="E40" s="44"/>
      <c r="F40" s="21"/>
      <c r="G40" s="21">
        <v>65</v>
      </c>
      <c r="H40" s="22">
        <v>26000</v>
      </c>
      <c r="I40" s="33">
        <v>0.5</v>
      </c>
      <c r="J40" s="24">
        <f>IFERROR(K40/H40,"")</f>
        <v>0.50898076923076918</v>
      </c>
      <c r="K40" s="22">
        <v>13233.5</v>
      </c>
      <c r="L40" s="21">
        <v>4</v>
      </c>
      <c r="M40" s="21">
        <v>49</v>
      </c>
      <c r="N40" s="21">
        <v>10</v>
      </c>
      <c r="O40" s="21">
        <v>2</v>
      </c>
      <c r="P40" s="21"/>
      <c r="Q40" s="21"/>
      <c r="R40" s="21"/>
      <c r="S40" s="21"/>
      <c r="T40" s="21"/>
      <c r="U40" s="25">
        <v>210</v>
      </c>
      <c r="V40" s="25">
        <f>H40*U40*I40/15</f>
        <v>182000</v>
      </c>
      <c r="W40" s="139">
        <v>278.33999999999997</v>
      </c>
      <c r="X40" s="25">
        <v>245564.16</v>
      </c>
      <c r="Y40" s="25">
        <f>F40*40</f>
        <v>0</v>
      </c>
      <c r="Z40" s="25">
        <v>14898.1</v>
      </c>
      <c r="AA40" s="25">
        <v>0</v>
      </c>
      <c r="AB40" s="25">
        <v>1365</v>
      </c>
      <c r="AC40" s="25">
        <f>G40*35</f>
        <v>2275</v>
      </c>
      <c r="AD40" s="25">
        <f>IF(F40="",G40*4.11,F40*4.11)</f>
        <v>267.15000000000003</v>
      </c>
      <c r="AE40" s="25">
        <v>491.13</v>
      </c>
      <c r="AF40" s="25">
        <f>V40+Y40+Z40+AA40+AB40+AC40+AD40</f>
        <v>200805.25</v>
      </c>
      <c r="AG40" s="25">
        <f>IFERROR(IFERROR((H40*W40*J40/15)-AE40,""),"")</f>
        <v>245069.69599999994</v>
      </c>
      <c r="AH40" s="26">
        <f>IFERROR(AG40-AF40,"")</f>
        <v>44264.445999999938</v>
      </c>
      <c r="AI40" s="6">
        <f>IF(F40="",(G40/$F$75)*$AL$30,(F40/$F$75)*$AL$30)</f>
        <v>2991.8621621621619</v>
      </c>
      <c r="AJ40" s="6">
        <f>(AH40-AI40)*70%</f>
        <v>28890.808686486438</v>
      </c>
    </row>
    <row r="41" spans="1:39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AH40/G40</f>
        <v>680.99147692307599</v>
      </c>
    </row>
    <row r="42" spans="1:39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0.18061982661454784</v>
      </c>
    </row>
    <row r="43" spans="1:39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9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9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9" x14ac:dyDescent="0.35">
      <c r="A46" s="20">
        <v>45061</v>
      </c>
      <c r="B46" s="21" t="s">
        <v>519</v>
      </c>
      <c r="C46" s="21" t="s">
        <v>460</v>
      </c>
      <c r="D46" s="44">
        <v>147726</v>
      </c>
      <c r="E46" s="44"/>
      <c r="F46" s="21"/>
      <c r="G46" s="21">
        <v>65</v>
      </c>
      <c r="H46" s="22">
        <v>24180</v>
      </c>
      <c r="I46" s="33">
        <v>0.5</v>
      </c>
      <c r="J46" s="24">
        <f>IFERROR(K46/H46,"")</f>
        <v>0.49057071960297766</v>
      </c>
      <c r="K46" s="22">
        <v>11862</v>
      </c>
      <c r="L46" s="21">
        <v>19</v>
      </c>
      <c r="M46" s="21">
        <v>39</v>
      </c>
      <c r="N46" s="21">
        <v>4</v>
      </c>
      <c r="O46" s="21">
        <v>2</v>
      </c>
      <c r="P46" s="21">
        <v>1</v>
      </c>
      <c r="Q46" s="21"/>
      <c r="R46" s="21"/>
      <c r="S46" s="21"/>
      <c r="T46" s="21"/>
      <c r="U46" s="25">
        <v>210</v>
      </c>
      <c r="V46" s="25">
        <f>H46*U46*I46/15</f>
        <v>169260</v>
      </c>
      <c r="W46" s="139">
        <v>276.12</v>
      </c>
      <c r="X46" s="25">
        <v>218353.6</v>
      </c>
      <c r="Y46" s="25">
        <f>F46*40</f>
        <v>0</v>
      </c>
      <c r="Z46" s="25">
        <v>14162.8</v>
      </c>
      <c r="AA46" s="25">
        <v>0</v>
      </c>
      <c r="AB46" s="25">
        <v>1365</v>
      </c>
      <c r="AC46" s="25">
        <f>G46*35</f>
        <v>2275</v>
      </c>
      <c r="AD46" s="25">
        <f>IF(F46="",G46*4.11,F46*4.11)</f>
        <v>267.15000000000003</v>
      </c>
      <c r="AE46" s="25">
        <v>436.7</v>
      </c>
      <c r="AF46" s="25">
        <f>V46+Y46+Z46+AA46+AB46+AC46+AD46</f>
        <v>187329.94999999998</v>
      </c>
      <c r="AG46" s="25">
        <f>IFERROR(IFERROR((H46*W46*J46/15)-AE46,""),"")</f>
        <v>217918.99600000001</v>
      </c>
      <c r="AH46" s="26">
        <f>IFERROR(AG46-AF46,"")</f>
        <v>30589.046000000031</v>
      </c>
      <c r="AI46" s="6">
        <f>IF(F46="",(G46/$F$75)*$AL$30,(F46/$F$75)*$AL$30)</f>
        <v>2991.8621621621619</v>
      </c>
      <c r="AJ46" s="6">
        <f>(AH46-AI46)*70%</f>
        <v>19318.028686486508</v>
      </c>
    </row>
    <row r="47" spans="1:39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AH46/G46</f>
        <v>470.60070769230816</v>
      </c>
    </row>
    <row r="48" spans="1:39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0.14036888275678375</v>
      </c>
    </row>
    <row r="49" spans="1:36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6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6" x14ac:dyDescent="0.35">
      <c r="A52" s="20">
        <v>45061</v>
      </c>
      <c r="B52" s="21" t="s">
        <v>520</v>
      </c>
      <c r="C52" s="21" t="s">
        <v>222</v>
      </c>
      <c r="D52" s="44">
        <v>147728</v>
      </c>
      <c r="E52" s="44"/>
      <c r="F52" s="21">
        <v>49</v>
      </c>
      <c r="G52" s="21"/>
      <c r="H52" s="22">
        <v>27280</v>
      </c>
      <c r="I52" s="33">
        <v>0.54</v>
      </c>
      <c r="J52" s="24">
        <f>IFERROR(K52/H52,"")</f>
        <v>0.55504032258064517</v>
      </c>
      <c r="K52" s="22">
        <v>15141.5</v>
      </c>
      <c r="L52" s="21">
        <v>6</v>
      </c>
      <c r="M52" s="21">
        <v>34</v>
      </c>
      <c r="N52" s="21">
        <v>9</v>
      </c>
      <c r="O52" s="21"/>
      <c r="P52" s="21"/>
      <c r="Q52" s="21"/>
      <c r="R52" s="21"/>
      <c r="S52" s="21"/>
      <c r="T52" s="21"/>
      <c r="U52" s="25">
        <v>225</v>
      </c>
      <c r="V52" s="25">
        <f>H52*U52*I52/15</f>
        <v>220968</v>
      </c>
      <c r="W52" s="139">
        <v>282.05399999999997</v>
      </c>
      <c r="X52" s="25">
        <v>285211.03000000003</v>
      </c>
      <c r="Y52" s="25">
        <v>0</v>
      </c>
      <c r="Z52" s="25">
        <v>8522</v>
      </c>
      <c r="AA52" s="25">
        <v>0</v>
      </c>
      <c r="AB52" s="25">
        <v>1102.5</v>
      </c>
      <c r="AC52" s="25">
        <f>F52*38</f>
        <v>1862</v>
      </c>
      <c r="AD52" s="25">
        <f>IF(F52="",G52*4.11,F52*4.11)</f>
        <v>201.39000000000001</v>
      </c>
      <c r="AE52" s="25">
        <v>570.41</v>
      </c>
      <c r="AF52" s="25">
        <f>V52+Y52+Z52+AA52+AB52+AC52+AD52</f>
        <v>232655.89</v>
      </c>
      <c r="AG52" s="25">
        <f>IFERROR(IFERROR((H52*W52*J52/15)-AE52,""),"")</f>
        <v>284144.29940000002</v>
      </c>
      <c r="AH52" s="26">
        <f>IFERROR(AG52-AF52,"")</f>
        <v>51488.409400000004</v>
      </c>
      <c r="AI52" s="6">
        <f>IF(F52="",(G52/$F$75)*$AL$30,(F52/$F$75)*$AL$30)</f>
        <v>2255.4037837837836</v>
      </c>
      <c r="AJ52" s="6">
        <f>(AH52-AI52)*70%</f>
        <v>34463.103931351354</v>
      </c>
    </row>
    <row r="53" spans="1:36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AH52/F52</f>
        <v>1050.7838653061226</v>
      </c>
    </row>
    <row r="54" spans="1:36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0.1812051465002926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6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36" x14ac:dyDescent="0.35">
      <c r="A58" s="20">
        <v>45061</v>
      </c>
      <c r="B58" s="21" t="s">
        <v>521</v>
      </c>
      <c r="C58" s="21" t="s">
        <v>257</v>
      </c>
      <c r="D58" s="44">
        <v>147725</v>
      </c>
      <c r="E58" s="44"/>
      <c r="F58" s="21"/>
      <c r="G58" s="21">
        <v>65</v>
      </c>
      <c r="H58" s="22">
        <v>23640</v>
      </c>
      <c r="I58" s="33">
        <v>0.5</v>
      </c>
      <c r="J58" s="24">
        <f>IFERROR(K58/H58,"")</f>
        <v>0.49746192893401014</v>
      </c>
      <c r="K58" s="22">
        <v>11760</v>
      </c>
      <c r="L58" s="21">
        <v>29</v>
      </c>
      <c r="M58" s="21">
        <v>33</v>
      </c>
      <c r="N58" s="21">
        <v>1</v>
      </c>
      <c r="O58" s="21">
        <v>1</v>
      </c>
      <c r="P58" s="21">
        <v>1</v>
      </c>
      <c r="Q58" s="21"/>
      <c r="R58" s="21"/>
      <c r="S58" s="21"/>
      <c r="T58" s="21"/>
      <c r="U58" s="25">
        <v>210</v>
      </c>
      <c r="V58" s="25">
        <f>H58*U58*I58/15</f>
        <v>165480</v>
      </c>
      <c r="W58" s="139">
        <v>276.49</v>
      </c>
      <c r="X58" s="25">
        <v>216776.2</v>
      </c>
      <c r="Y58" s="25">
        <v>0</v>
      </c>
      <c r="Z58" s="25">
        <v>14201.5</v>
      </c>
      <c r="AA58" s="25">
        <v>0</v>
      </c>
      <c r="AB58" s="25">
        <v>1365</v>
      </c>
      <c r="AC58" s="25">
        <f>G58*35</f>
        <v>2275</v>
      </c>
      <c r="AD58" s="25">
        <f>IF(F58="",G58*4.11,F58*4.11)</f>
        <v>267.15000000000003</v>
      </c>
      <c r="AE58" s="25">
        <v>433.55</v>
      </c>
      <c r="AF58" s="25">
        <f>V58+Y58+Z58+AA58+AB58+AC58+AD58</f>
        <v>183588.65</v>
      </c>
      <c r="AG58" s="25">
        <f>IFERROR(IFERROR((H58*W58*J58/15)-AE58,""),"")</f>
        <v>216334.61000000004</v>
      </c>
      <c r="AH58" s="26">
        <f>IFERROR(AG58-AF58,"")</f>
        <v>32745.96000000005</v>
      </c>
      <c r="AI58" s="6">
        <f>IF(F58="",(G58/$F$75)*$AL$30,(F58/$F$75)*$AL$30)</f>
        <v>2991.8621621621619</v>
      </c>
      <c r="AJ58" s="6">
        <f>(AH58-AI58)*70%</f>
        <v>20827.868486486521</v>
      </c>
    </row>
    <row r="59" spans="1:36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AH58/G58</f>
        <v>503.78400000000079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0.15136718068366428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45063</v>
      </c>
      <c r="B64" s="21" t="s">
        <v>522</v>
      </c>
      <c r="C64" s="21" t="s">
        <v>389</v>
      </c>
      <c r="D64" s="44">
        <v>147858</v>
      </c>
      <c r="E64" s="44"/>
      <c r="F64" s="21"/>
      <c r="G64" s="21">
        <v>62</v>
      </c>
      <c r="H64" s="22">
        <v>25240</v>
      </c>
      <c r="I64" s="33">
        <v>0.5</v>
      </c>
      <c r="J64" s="24">
        <f>IFERROR(K64/H64,"")</f>
        <v>0.49914817749603801</v>
      </c>
      <c r="K64" s="22">
        <v>12598.5</v>
      </c>
      <c r="L64" s="21">
        <v>8</v>
      </c>
      <c r="M64" s="21">
        <v>49</v>
      </c>
      <c r="N64" s="21">
        <v>5</v>
      </c>
      <c r="O64" s="21"/>
      <c r="P64" s="21"/>
      <c r="Q64" s="21"/>
      <c r="R64" s="21"/>
      <c r="S64" s="21"/>
      <c r="T64" s="21"/>
      <c r="U64" s="25">
        <v>220</v>
      </c>
      <c r="V64" s="25">
        <f>H64*U64*I64/15</f>
        <v>185093.33333333334</v>
      </c>
      <c r="W64" s="139">
        <v>275.73</v>
      </c>
      <c r="X64" s="25">
        <v>231586.86</v>
      </c>
      <c r="Y64" s="25">
        <v>0</v>
      </c>
      <c r="Z64" s="25">
        <v>10032.1</v>
      </c>
      <c r="AA64" s="25">
        <v>0</v>
      </c>
      <c r="AB64" s="25">
        <v>1364</v>
      </c>
      <c r="AC64" s="25">
        <f>G64*35</f>
        <v>2170</v>
      </c>
      <c r="AD64" s="25">
        <f>IF(F64="",G64*4.11,F64*4.11)</f>
        <v>254.82000000000002</v>
      </c>
      <c r="AE64" s="25">
        <v>463.17</v>
      </c>
      <c r="AF64" s="25">
        <f>V64+Y64+Z64+AA64+AB64+AC64+AD64</f>
        <v>198914.25333333336</v>
      </c>
      <c r="AG64" s="25">
        <f>IFERROR(IFERROR((H64*W64*J64/15)-AE64,""),"")</f>
        <v>231122.45699999997</v>
      </c>
      <c r="AH64" s="26">
        <f>IFERROR(AG64-AF64,"")</f>
        <v>32208.20366666661</v>
      </c>
      <c r="AI64" s="6">
        <f>IF(F64="",(G64/$F$75)*$AL$30,(F64/$F$75)*$AL$30)</f>
        <v>2853.7762162162162</v>
      </c>
      <c r="AJ64" s="6">
        <f>(AH64-AI64)*70%</f>
        <v>20548.099215315273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AH64/G64</f>
        <v>519.48715591397763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0.13935557835760898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ht="1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47"/>
      <c r="AI68" s="47"/>
      <c r="AJ68" s="47"/>
    </row>
    <row r="69" spans="1:36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258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20">
        <v>45063</v>
      </c>
      <c r="B70" s="21" t="s">
        <v>523</v>
      </c>
      <c r="C70" s="21" t="s">
        <v>240</v>
      </c>
      <c r="D70" s="44">
        <v>147857</v>
      </c>
      <c r="E70" s="44"/>
      <c r="F70" s="21"/>
      <c r="G70" s="21">
        <v>65</v>
      </c>
      <c r="H70" s="22">
        <v>23780</v>
      </c>
      <c r="I70" s="33">
        <v>0.5</v>
      </c>
      <c r="J70" s="24">
        <f>IFERROR(K70/H70,"")</f>
        <v>0.49690916736753576</v>
      </c>
      <c r="K70" s="22">
        <v>11816.5</v>
      </c>
      <c r="L70" s="21">
        <v>28</v>
      </c>
      <c r="M70" s="21">
        <v>32</v>
      </c>
      <c r="N70" s="21">
        <v>4</v>
      </c>
      <c r="O70" s="21">
        <v>1</v>
      </c>
      <c r="P70" s="21"/>
      <c r="Q70" s="21"/>
      <c r="R70" s="21"/>
      <c r="S70" s="21"/>
      <c r="T70" s="21"/>
      <c r="U70" s="25">
        <v>225</v>
      </c>
      <c r="V70" s="25">
        <f>H70*U70*I70/15</f>
        <v>178350</v>
      </c>
      <c r="W70" s="139">
        <v>273.41000000000003</v>
      </c>
      <c r="X70" s="25">
        <v>215391.02</v>
      </c>
      <c r="Y70" s="25">
        <v>0</v>
      </c>
      <c r="Z70" s="25">
        <v>5634.4</v>
      </c>
      <c r="AA70" s="25">
        <v>0</v>
      </c>
      <c r="AB70" s="25">
        <v>1462.5</v>
      </c>
      <c r="AC70" s="25">
        <f>G70*35</f>
        <v>2275</v>
      </c>
      <c r="AD70" s="25">
        <f>IF(F70="",G70*4.11,F70*4.11)</f>
        <v>267.15000000000003</v>
      </c>
      <c r="AE70" s="25">
        <v>430.76</v>
      </c>
      <c r="AF70" s="25">
        <f>V70+Y70+Z70+AA70+AB70+AC70+AD70</f>
        <v>187989.05</v>
      </c>
      <c r="AG70" s="25">
        <f>IFERROR(IFERROR((H70*W70*J70/15)-AE70,""),"")</f>
        <v>214952.52433333336</v>
      </c>
      <c r="AH70" s="26">
        <f>IFERROR(AG70-AF70,"")</f>
        <v>26963.474333333375</v>
      </c>
      <c r="AI70" s="6">
        <f>IF(F70="",(G70/$F$75)*$AL$30,(F70/$F$75)*$AL$30)</f>
        <v>2991.8621621621619</v>
      </c>
      <c r="AJ70" s="6">
        <f>(AH70-AI70)*70%</f>
        <v>16780.128519819849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AH70/G70</f>
        <v>414.8226820512827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0.12543920764345295</v>
      </c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47"/>
      <c r="AI73" s="47"/>
      <c r="AJ73" s="47"/>
    </row>
    <row r="74" spans="1:36" ht="15" thickBot="1" x14ac:dyDescent="0.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47"/>
      <c r="AI74" s="47"/>
      <c r="AJ74" s="47"/>
    </row>
    <row r="75" spans="1:36" ht="16" thickBot="1" x14ac:dyDescent="0.4">
      <c r="A75" s="377" t="s">
        <v>515</v>
      </c>
      <c r="B75" s="378"/>
      <c r="C75" s="378"/>
      <c r="D75" s="378"/>
      <c r="E75" s="378"/>
      <c r="F75" s="30">
        <f>SUM(F4:G70)</f>
        <v>703</v>
      </c>
      <c r="G75" s="30"/>
      <c r="H75" s="30"/>
      <c r="I75" s="30"/>
      <c r="J75" s="30"/>
      <c r="K75" s="30"/>
      <c r="L75" s="46"/>
      <c r="M75" s="46"/>
      <c r="N75" s="46"/>
      <c r="O75" s="46"/>
      <c r="P75" s="46"/>
      <c r="Q75" s="46"/>
      <c r="R75" s="46"/>
      <c r="S75" s="46"/>
      <c r="T75" s="46"/>
      <c r="U75" s="30"/>
      <c r="V75" s="31">
        <f>V4+V10+V16+V22+V28+V34+V40+V46+V52+V58+V64+V70</f>
        <v>2335580.4333333336</v>
      </c>
      <c r="W75" s="30"/>
      <c r="X75" s="30"/>
      <c r="Y75" s="31">
        <f>Y4+Y10+Y16+Y22+Y28+Y34+Y40+Y46+Y52+Y58+Y64+Y70</f>
        <v>0</v>
      </c>
      <c r="Z75" s="31">
        <f>Z4+Z10+Z16+Z22+Z28+Z34+Z40+Z46+Z52+Z58+Z64+Z70</f>
        <v>131788.89000000001</v>
      </c>
      <c r="AA75" s="31">
        <f>AA4+AA10+AA16+AA22+AA28+AA34+AA40+AA46+AA52+AA58+AA64+AA70</f>
        <v>0</v>
      </c>
      <c r="AB75" s="31">
        <f>AB4+AB10+AB16+AB16+AB22+AB28+AB34+AB40+AB46+AB52+AB58+AB64+AB70</f>
        <v>16535.5</v>
      </c>
      <c r="AC75" s="31">
        <f t="shared" ref="AC75:AJ75" si="0">AC4+AC10+AC16+AC22+AC28+AC34+AC40+AC46+AC52+AC58+AC64+AC70</f>
        <v>25367</v>
      </c>
      <c r="AD75" s="31">
        <f t="shared" si="0"/>
        <v>2889.3300000000008</v>
      </c>
      <c r="AE75" s="31">
        <f t="shared" si="0"/>
        <v>5967.96</v>
      </c>
      <c r="AF75" s="31">
        <f t="shared" si="0"/>
        <v>2510859.1533333329</v>
      </c>
      <c r="AG75" s="31">
        <f t="shared" si="0"/>
        <v>2975403.5770666664</v>
      </c>
      <c r="AH75" s="31">
        <f t="shared" si="0"/>
        <v>464544.42373333353</v>
      </c>
      <c r="AI75" s="31">
        <f t="shared" si="0"/>
        <v>32358.139999999996</v>
      </c>
      <c r="AJ75" s="31">
        <f t="shared" si="0"/>
        <v>302530.39861333347</v>
      </c>
    </row>
  </sheetData>
  <mergeCells count="2">
    <mergeCell ref="U2:AC2"/>
    <mergeCell ref="A75:E7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2">
    <tabColor theme="9" tint="-0.249977111117893"/>
  </sheetPr>
  <dimension ref="A1:AN135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bestFit="1" customWidth="1"/>
    <col min="4" max="5" width="12.453125" customWidth="1"/>
    <col min="6" max="6" width="11.269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4.81640625" bestFit="1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20.54296875" bestFit="1" customWidth="1"/>
    <col min="39" max="39" width="18.7265625" bestFit="1" customWidth="1"/>
    <col min="40" max="40" width="12.45312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AF135</f>
        <v>4697905.5580000011</v>
      </c>
      <c r="AM3" s="164">
        <f>AH135-AI135</f>
        <v>676779.45100000035</v>
      </c>
    </row>
    <row r="4" spans="1:40" x14ac:dyDescent="0.35">
      <c r="A4" s="20">
        <v>45066</v>
      </c>
      <c r="B4" s="21" t="s">
        <v>330</v>
      </c>
      <c r="C4" s="21" t="s">
        <v>124</v>
      </c>
      <c r="D4" s="44">
        <v>148130</v>
      </c>
      <c r="E4" s="44"/>
      <c r="F4" s="21"/>
      <c r="G4" s="21">
        <v>63</v>
      </c>
      <c r="H4" s="22">
        <v>23380</v>
      </c>
      <c r="I4" s="33">
        <v>0.5</v>
      </c>
      <c r="J4" s="24">
        <f>IFERROR(K4/H4,"")</f>
        <v>0.49467493584260053</v>
      </c>
      <c r="K4" s="22">
        <v>11565.5</v>
      </c>
      <c r="L4" s="21">
        <v>21</v>
      </c>
      <c r="M4" s="21">
        <v>35</v>
      </c>
      <c r="N4" s="21">
        <v>3</v>
      </c>
      <c r="O4" s="21">
        <v>2</v>
      </c>
      <c r="P4" s="21">
        <v>8</v>
      </c>
      <c r="Q4" s="21"/>
      <c r="R4" s="21"/>
      <c r="S4" s="21"/>
      <c r="T4" s="21"/>
      <c r="U4" s="25">
        <v>210</v>
      </c>
      <c r="V4" s="25">
        <f>H4*U4*I4/15</f>
        <v>163660</v>
      </c>
      <c r="W4" s="139">
        <v>269.69</v>
      </c>
      <c r="X4" s="25">
        <v>207942.41</v>
      </c>
      <c r="Y4" s="25">
        <f>G4*60</f>
        <v>3780</v>
      </c>
      <c r="Z4" s="25">
        <v>11243.9</v>
      </c>
      <c r="AA4" s="25">
        <v>0</v>
      </c>
      <c r="AB4" s="25">
        <v>1323</v>
      </c>
      <c r="AC4" s="25">
        <f>G4*35</f>
        <v>2205</v>
      </c>
      <c r="AD4" s="25">
        <f>G4*4.11</f>
        <v>258.93</v>
      </c>
      <c r="AE4" s="25">
        <v>415</v>
      </c>
      <c r="AF4" s="25">
        <f>V4+Y4+Z4+AA4+AB4+AC4+AD4</f>
        <v>182470.83</v>
      </c>
      <c r="AG4" s="25">
        <f>IFERROR(IFERROR((H4*W4*J4/15)-AE4,""),"")</f>
        <v>207524.97966666668</v>
      </c>
      <c r="AH4" s="26">
        <f>IFERROR(AG4-AF4,"")</f>
        <v>25054.149666666694</v>
      </c>
      <c r="AI4" s="6">
        <f>IF(F4="",(G4/$F$135)*$AL$27,(F4/$F$135)*$AL$27)</f>
        <v>232.05425101214576</v>
      </c>
      <c r="AJ4" s="6">
        <f>(AH4-AI4)*70%</f>
        <v>17375.466790958184</v>
      </c>
      <c r="AL4" s="166" t="s">
        <v>749</v>
      </c>
      <c r="AM4" s="167">
        <f>AM3/AL3</f>
        <v>0.14405982466963849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IFERROR(AH4/G4,"")</f>
        <v>397.68491534391575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0.12072835620516373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M9" s="63"/>
    </row>
    <row r="10" spans="1:40" x14ac:dyDescent="0.35">
      <c r="A10" s="20">
        <v>45066</v>
      </c>
      <c r="B10" s="21" t="s">
        <v>330</v>
      </c>
      <c r="C10" s="21" t="s">
        <v>195</v>
      </c>
      <c r="D10" s="44">
        <v>148128</v>
      </c>
      <c r="E10" s="44"/>
      <c r="F10" s="21"/>
      <c r="G10" s="21">
        <v>25</v>
      </c>
      <c r="H10" s="22">
        <v>10047</v>
      </c>
      <c r="I10" s="33">
        <v>0.5</v>
      </c>
      <c r="J10" s="24">
        <f>IFERROR(K10/H10,"")</f>
        <v>0.50726585050263762</v>
      </c>
      <c r="K10" s="22">
        <v>5096.5</v>
      </c>
      <c r="L10" s="21">
        <v>4</v>
      </c>
      <c r="M10" s="21">
        <v>17</v>
      </c>
      <c r="N10" s="21">
        <v>3</v>
      </c>
      <c r="O10" s="21">
        <v>1</v>
      </c>
      <c r="P10" s="21"/>
      <c r="Q10" s="21"/>
      <c r="R10" s="21"/>
      <c r="S10" s="21"/>
      <c r="T10" s="21"/>
      <c r="U10" s="25">
        <v>210</v>
      </c>
      <c r="V10" s="25">
        <f>H10*U10*I10/15</f>
        <v>70329</v>
      </c>
      <c r="W10" s="139">
        <v>273.45</v>
      </c>
      <c r="X10" s="25">
        <v>92909.66</v>
      </c>
      <c r="Y10" s="25">
        <f>G10*30</f>
        <v>750</v>
      </c>
      <c r="Z10" s="25">
        <v>3603.81</v>
      </c>
      <c r="AA10" s="25">
        <v>0</v>
      </c>
      <c r="AB10" s="25">
        <v>525</v>
      </c>
      <c r="AC10" s="25">
        <f>G10*35</f>
        <v>875</v>
      </c>
      <c r="AD10" s="25">
        <f>IF(F10="",G10*4.11,F10*4.11)</f>
        <v>102.75000000000001</v>
      </c>
      <c r="AE10" s="25">
        <v>185.82</v>
      </c>
      <c r="AF10" s="25">
        <f>V10+Y10+Z10+AA10+AB10+AC10+AD10</f>
        <v>76185.56</v>
      </c>
      <c r="AG10" s="25">
        <f>IFERROR(IFERROR((H10*W10*J10/15)-AE10,""),"")</f>
        <v>92723.375</v>
      </c>
      <c r="AH10" s="26">
        <f>IFERROR(AG10-AF10,"")</f>
        <v>16537.815000000002</v>
      </c>
      <c r="AI10" s="6">
        <f>IF(F10="",(G10/$F$135)*$AL$27,(F10/$F$135)*$AL$27)</f>
        <v>92.085020242914979</v>
      </c>
      <c r="AJ10" s="6">
        <f>(AH10-AI10)*70%</f>
        <v>11512.010985829962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AH10/G10</f>
        <v>661.51260000000013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0.17835648238645327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</row>
    <row r="16" spans="1:40" x14ac:dyDescent="0.35">
      <c r="A16" s="20">
        <v>45066</v>
      </c>
      <c r="B16" s="21" t="s">
        <v>330</v>
      </c>
      <c r="C16" s="21" t="s">
        <v>195</v>
      </c>
      <c r="D16" s="44">
        <v>148127</v>
      </c>
      <c r="E16" s="44"/>
      <c r="F16" s="21">
        <v>25</v>
      </c>
      <c r="G16" s="21"/>
      <c r="H16" s="22">
        <v>13620</v>
      </c>
      <c r="I16" s="33">
        <v>0.54</v>
      </c>
      <c r="J16" s="24">
        <f>IFERROR(K16/H16,"")</f>
        <v>0.54499999999999993</v>
      </c>
      <c r="K16" s="22">
        <v>7422.9</v>
      </c>
      <c r="L16" s="21">
        <v>5</v>
      </c>
      <c r="M16" s="21">
        <v>16</v>
      </c>
      <c r="N16" s="21">
        <v>2</v>
      </c>
      <c r="O16" s="21">
        <v>1</v>
      </c>
      <c r="P16" s="21"/>
      <c r="Q16" s="21">
        <v>1</v>
      </c>
      <c r="R16" s="21"/>
      <c r="S16" s="21"/>
      <c r="T16" s="21"/>
      <c r="U16" s="25">
        <v>220</v>
      </c>
      <c r="V16" s="25">
        <f>H16*U16*I16/15</f>
        <v>107870.39999999999</v>
      </c>
      <c r="W16" s="139">
        <v>275.75</v>
      </c>
      <c r="X16" s="25">
        <v>129106.57</v>
      </c>
      <c r="Y16" s="25">
        <f>F16*30</f>
        <v>750</v>
      </c>
      <c r="Z16" s="25">
        <v>3603.81</v>
      </c>
      <c r="AA16" s="25">
        <v>0</v>
      </c>
      <c r="AB16" s="25">
        <v>550</v>
      </c>
      <c r="AC16" s="25">
        <f>F16*38</f>
        <v>950</v>
      </c>
      <c r="AD16" s="25">
        <f>IF(F16="",G16*4.11,F16*4.11)</f>
        <v>102.75000000000001</v>
      </c>
      <c r="AE16" s="25">
        <v>258.2</v>
      </c>
      <c r="AF16" s="25">
        <f>V16+Y16+Z16+AA16+AB16+AC16+AD16</f>
        <v>113826.95999999999</v>
      </c>
      <c r="AG16" s="25">
        <f>IFERROR(IFERROR((H16*W16*J16/15)-AE16,""),"")</f>
        <v>136199.44499999998</v>
      </c>
      <c r="AH16" s="26">
        <f>IFERROR(AG16-AF16,"")</f>
        <v>22372.484999999986</v>
      </c>
      <c r="AI16" s="6">
        <f>IF(F16="",(G16/$F$135)*$AL$27,(F16/$F$135)*$AL$27)</f>
        <v>92.085020242914979</v>
      </c>
      <c r="AJ16" s="6">
        <f>(AH16-AI16)*70%</f>
        <v>15596.27998582995</v>
      </c>
      <c r="AL16">
        <f>F4+G4+F10+G10+F16+G16+F22+G22+F28+G28+F34+G34+F40+G40+F46+G46+F52+G52+F58+G58+F64+G64+F70+G70+F76+G76+F82+G82+F88+G88+F94+G94+F100+G100+F106+G106+F111+G111+F116+G116+F122+G122+F128+G128</f>
        <v>1235</v>
      </c>
      <c r="AM16" s="50" t="s">
        <v>22</v>
      </c>
      <c r="AN16" t="s">
        <v>72</v>
      </c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AH16/F16</f>
        <v>894.89939999999945</v>
      </c>
      <c r="AL17" s="11">
        <f>AH4+AH10+AH16+AH22+AH28+AH34+AH40+AH46+AH52+AH58+AH64+AH70+AH76+AH82+AH88+AH94+AH100+AH106+AH111+AH116+AH122+AH128</f>
        <v>681328.45100000035</v>
      </c>
      <c r="AM17" s="11">
        <f>AL17*30%</f>
        <v>204398.53530000011</v>
      </c>
      <c r="AN17" s="2">
        <v>45105</v>
      </c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0.16426267375759124</v>
      </c>
      <c r="AL18" s="11"/>
      <c r="AM18" s="11"/>
    </row>
    <row r="19" spans="1:40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1"/>
    </row>
    <row r="21" spans="1:40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80" t="s">
        <v>187</v>
      </c>
      <c r="AM21" s="206" t="s">
        <v>680</v>
      </c>
      <c r="AN21" s="191"/>
    </row>
    <row r="22" spans="1:40" x14ac:dyDescent="0.35">
      <c r="A22" s="20">
        <v>45066</v>
      </c>
      <c r="B22" s="21" t="s">
        <v>330</v>
      </c>
      <c r="C22" s="21" t="s">
        <v>195</v>
      </c>
      <c r="D22" s="44">
        <v>148127</v>
      </c>
      <c r="E22" s="44"/>
      <c r="F22" s="21">
        <v>5</v>
      </c>
      <c r="G22" s="21"/>
      <c r="H22" s="22">
        <v>1954</v>
      </c>
      <c r="I22" s="33">
        <v>0.5</v>
      </c>
      <c r="J22" s="24">
        <f>IFERROR(K22/H22,"")</f>
        <v>0.51412487205731838</v>
      </c>
      <c r="K22" s="22">
        <v>1004.6</v>
      </c>
      <c r="L22" s="21">
        <v>5</v>
      </c>
      <c r="M22" s="21"/>
      <c r="N22" s="21"/>
      <c r="O22" s="21"/>
      <c r="P22" s="21"/>
      <c r="Q22" s="21"/>
      <c r="R22" s="21"/>
      <c r="S22" s="21"/>
      <c r="T22" s="21"/>
      <c r="U22" s="25">
        <v>210</v>
      </c>
      <c r="V22" s="25">
        <f>H22*U22*I22/15</f>
        <v>13678</v>
      </c>
      <c r="W22" s="139">
        <v>275.75</v>
      </c>
      <c r="X22" s="25">
        <v>25821.31</v>
      </c>
      <c r="Y22" s="25">
        <f>F22*30</f>
        <v>150</v>
      </c>
      <c r="Z22" s="25">
        <v>720.76</v>
      </c>
      <c r="AA22" s="25">
        <v>0</v>
      </c>
      <c r="AB22" s="25">
        <v>105</v>
      </c>
      <c r="AC22" s="25">
        <f>F22*38</f>
        <v>190</v>
      </c>
      <c r="AD22" s="25">
        <f>IF(F22="",G22*4.11,F22*4.11)</f>
        <v>20.55</v>
      </c>
      <c r="AE22" s="25">
        <v>51.64</v>
      </c>
      <c r="AF22" s="25">
        <f>V22+Y22+Z22+AA22+AB22+AC22+AD22</f>
        <v>14864.31</v>
      </c>
      <c r="AG22" s="25">
        <f>IFERROR(IFERROR((H22*W22*J22/15)-AE22,""),"")</f>
        <v>18416.256666666668</v>
      </c>
      <c r="AH22" s="26">
        <f>IFERROR(AG22-AF22,"")</f>
        <v>3551.9466666666685</v>
      </c>
      <c r="AI22" s="6">
        <f>IF(F22="",(G22/$F$135)*$AL$27,(F22/$F$135)*$AL$27)</f>
        <v>18.417004048582996</v>
      </c>
      <c r="AJ22" s="6">
        <f>(AH22-AI22)*70%</f>
        <v>2473.4707638326599</v>
      </c>
      <c r="AL22" s="178">
        <v>4329</v>
      </c>
      <c r="AM22" t="s">
        <v>536</v>
      </c>
      <c r="AN22" s="174"/>
    </row>
    <row r="23" spans="1:4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AH22/F22</f>
        <v>710.38933333333375</v>
      </c>
      <c r="AL23" s="178">
        <v>220</v>
      </c>
      <c r="AM23" s="6" t="s">
        <v>530</v>
      </c>
      <c r="AN23" s="174"/>
    </row>
    <row r="24" spans="1:40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0.19287017611432805</v>
      </c>
      <c r="AL24" s="178">
        <v>0</v>
      </c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  <c r="AL25" s="178">
        <v>0</v>
      </c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  <c r="AL26" s="205"/>
      <c r="AN26" s="174"/>
    </row>
    <row r="27" spans="1:40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  <c r="AL27" s="214">
        <f>SUM(AL22:AL26)</f>
        <v>4549</v>
      </c>
      <c r="AM27" s="211" t="s">
        <v>682</v>
      </c>
      <c r="AN27" s="191"/>
    </row>
    <row r="28" spans="1:40" x14ac:dyDescent="0.35">
      <c r="A28" s="20">
        <v>45066</v>
      </c>
      <c r="B28" s="21" t="s">
        <v>330</v>
      </c>
      <c r="C28" s="21" t="s">
        <v>174</v>
      </c>
      <c r="D28" s="44">
        <v>148291</v>
      </c>
      <c r="E28" s="44"/>
      <c r="F28" s="21">
        <v>12</v>
      </c>
      <c r="G28" s="21"/>
      <c r="H28" s="22">
        <v>6580</v>
      </c>
      <c r="I28" s="33">
        <v>0.54</v>
      </c>
      <c r="J28" s="24">
        <f>IFERROR(K28/H28,"")</f>
        <v>0.53913373860182368</v>
      </c>
      <c r="K28" s="22">
        <v>3547.5</v>
      </c>
      <c r="L28" s="21"/>
      <c r="M28" s="21">
        <v>1</v>
      </c>
      <c r="N28" s="21">
        <v>11</v>
      </c>
      <c r="O28" s="21"/>
      <c r="P28" s="21"/>
      <c r="Q28" s="21"/>
      <c r="R28" s="21"/>
      <c r="S28" s="21"/>
      <c r="T28" s="21"/>
      <c r="U28" s="25">
        <v>225</v>
      </c>
      <c r="V28" s="25">
        <f>H28*U28*I28/15</f>
        <v>53298</v>
      </c>
      <c r="W28" s="139">
        <v>277.95</v>
      </c>
      <c r="X28" s="25">
        <v>65735.740000000005</v>
      </c>
      <c r="Y28" s="25">
        <f>F28*60</f>
        <v>720</v>
      </c>
      <c r="Z28" s="25">
        <v>2934.78</v>
      </c>
      <c r="AA28" s="25">
        <v>0</v>
      </c>
      <c r="AB28" s="25">
        <v>270</v>
      </c>
      <c r="AC28" s="25">
        <f>F28*38</f>
        <v>456</v>
      </c>
      <c r="AD28" s="25">
        <f>IF(F28="",G28*4.11,F28*4.11)</f>
        <v>49.320000000000007</v>
      </c>
      <c r="AE28" s="25">
        <v>131.47</v>
      </c>
      <c r="AF28" s="25">
        <f>V28+Y28+Z28+AA28+AB28+AC28+AD28</f>
        <v>57728.1</v>
      </c>
      <c r="AG28" s="25">
        <f>IFERROR(IFERROR((H28*W28*J28/15)-AE28,""),"")</f>
        <v>65603.704999999987</v>
      </c>
      <c r="AH28" s="26">
        <f>IFERROR(AG28-AF28,"")</f>
        <v>7875.6049999999886</v>
      </c>
      <c r="AI28" s="6">
        <f>IF(F28="",(G28/$F$135)*$AL$27,(F28/$F$135)*$AL$27)</f>
        <v>44.200809716599196</v>
      </c>
      <c r="AJ28" s="6">
        <f>(AH28-AI28)*70%</f>
        <v>5481.9829331983728</v>
      </c>
    </row>
    <row r="29" spans="1:40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AH28/F28</f>
        <v>656.30041666666568</v>
      </c>
      <c r="AL29" s="95">
        <f>AL17-AL27</f>
        <v>676779.45100000035</v>
      </c>
      <c r="AM29" s="11" t="s">
        <v>471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0.12004817410845912</v>
      </c>
      <c r="AL30" s="59">
        <f>AL29*30%</f>
        <v>203033.83530000009</v>
      </c>
      <c r="AM30" s="129" t="s">
        <v>499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7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8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8" x14ac:dyDescent="0.35">
      <c r="A34" s="20">
        <v>45066</v>
      </c>
      <c r="B34" s="21" t="s">
        <v>330</v>
      </c>
      <c r="C34" s="21" t="s">
        <v>174</v>
      </c>
      <c r="D34" s="44">
        <v>148129</v>
      </c>
      <c r="E34" s="44"/>
      <c r="F34" s="21"/>
      <c r="G34" s="21">
        <v>40</v>
      </c>
      <c r="H34" s="22">
        <v>14480</v>
      </c>
      <c r="I34" s="33">
        <v>0.5</v>
      </c>
      <c r="J34" s="24">
        <f>IFERROR(K34/H34,"")</f>
        <v>0.49285220994475137</v>
      </c>
      <c r="K34" s="22">
        <v>7136.5</v>
      </c>
      <c r="L34" s="21">
        <v>4</v>
      </c>
      <c r="M34" s="21">
        <v>26</v>
      </c>
      <c r="N34" s="21">
        <v>7</v>
      </c>
      <c r="O34" s="21">
        <v>3</v>
      </c>
      <c r="P34" s="21"/>
      <c r="Q34" s="21"/>
      <c r="R34" s="21"/>
      <c r="S34" s="21"/>
      <c r="T34" s="21"/>
      <c r="U34" s="25">
        <v>215</v>
      </c>
      <c r="V34" s="25">
        <f>H34*U34*I34/15</f>
        <v>103773.33333333333</v>
      </c>
      <c r="W34" s="139">
        <v>269.73</v>
      </c>
      <c r="X34" s="25">
        <v>128328.8</v>
      </c>
      <c r="Y34" s="25">
        <f>G34*60</f>
        <v>2400</v>
      </c>
      <c r="Z34" s="25">
        <v>9782.6</v>
      </c>
      <c r="AA34" s="25">
        <v>0</v>
      </c>
      <c r="AB34" s="25">
        <v>860</v>
      </c>
      <c r="AC34" s="25">
        <f>G34*35</f>
        <v>1400</v>
      </c>
      <c r="AD34" s="25">
        <f>IF(F34="",G34*4.11,F34*4.11)</f>
        <v>164.4</v>
      </c>
      <c r="AE34" s="25">
        <v>256.64</v>
      </c>
      <c r="AF34" s="25">
        <f>V34+Y34+Z34+AA34+AB34+AC34+AD34</f>
        <v>118380.33333333333</v>
      </c>
      <c r="AG34" s="25">
        <f>IFERROR(IFERROR((H34*W34*J34/15)-AE34,""),"")</f>
        <v>128071.90300000002</v>
      </c>
      <c r="AH34" s="26">
        <f>IFERROR(AG34-AF34,"")</f>
        <v>9691.5696666666918</v>
      </c>
      <c r="AI34" s="6">
        <f>IF(F34="",(G34/$F$135)*$AL$27,(F34/$F$135)*$AL$27)</f>
        <v>147.33603238866397</v>
      </c>
      <c r="AJ34" s="6">
        <f>(AH34-AI34)*70%</f>
        <v>6680.9635439946187</v>
      </c>
      <c r="AL34" t="s">
        <v>560</v>
      </c>
    </row>
    <row r="35" spans="1:38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AH34/G34</f>
        <v>242.28924166666729</v>
      </c>
    </row>
    <row r="36" spans="1:38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7.5672879372040647E-2</v>
      </c>
    </row>
    <row r="37" spans="1:38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8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8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8" x14ac:dyDescent="0.35">
      <c r="A40" s="20">
        <v>45067</v>
      </c>
      <c r="B40" s="21" t="s">
        <v>330</v>
      </c>
      <c r="C40" s="21" t="s">
        <v>125</v>
      </c>
      <c r="D40" s="44">
        <v>148125</v>
      </c>
      <c r="E40" s="44"/>
      <c r="F40" s="21"/>
      <c r="G40" s="21">
        <v>65</v>
      </c>
      <c r="H40" s="22">
        <v>27240</v>
      </c>
      <c r="I40" s="33">
        <v>0.5</v>
      </c>
      <c r="J40" s="24">
        <f>IFERROR(K40/H40,"")</f>
        <v>0.50343245227606459</v>
      </c>
      <c r="K40" s="22">
        <v>13713.5</v>
      </c>
      <c r="L40" s="21">
        <v>36</v>
      </c>
      <c r="M40" s="21">
        <v>24</v>
      </c>
      <c r="N40" s="21">
        <v>5</v>
      </c>
      <c r="O40" s="21"/>
      <c r="P40" s="21"/>
      <c r="Q40" s="21"/>
      <c r="R40" s="21"/>
      <c r="S40" s="21"/>
      <c r="T40" s="21"/>
      <c r="U40" s="25">
        <v>210</v>
      </c>
      <c r="V40" s="25">
        <f>H40*U40*I40/15</f>
        <v>190680</v>
      </c>
      <c r="W40" s="139">
        <v>273.52999999999997</v>
      </c>
      <c r="X40" s="25">
        <v>250284.93</v>
      </c>
      <c r="Y40" s="25">
        <f>G40*60</f>
        <v>3900</v>
      </c>
      <c r="Z40" s="25">
        <v>13097.5</v>
      </c>
      <c r="AA40" s="25">
        <v>0</v>
      </c>
      <c r="AB40" s="25">
        <v>1365</v>
      </c>
      <c r="AC40" s="25">
        <f>G40*35</f>
        <v>2275</v>
      </c>
      <c r="AD40" s="25">
        <f>IF(F40="",G40*4.11,F40*4.11)</f>
        <v>267.15000000000003</v>
      </c>
      <c r="AE40" s="25">
        <v>500.57</v>
      </c>
      <c r="AF40" s="25">
        <f>V40+Y40+Z40+AA40+AB40+AC40+AD40</f>
        <v>211584.65</v>
      </c>
      <c r="AG40" s="25">
        <f>IFERROR(IFERROR((H40*W40*J40/15)-AE40,""),"")</f>
        <v>249569.67366666661</v>
      </c>
      <c r="AH40" s="26">
        <f>IFERROR(AG40-AF40,"")</f>
        <v>37985.023666666617</v>
      </c>
      <c r="AI40" s="6">
        <f>IF(F40="",(G40/$F$135)*$AL$27,(F40/$F$135)*$AL$27)</f>
        <v>239.42105263157893</v>
      </c>
      <c r="AJ40" s="6">
        <f>(AH40-AI40)*70%</f>
        <v>26421.921829824525</v>
      </c>
    </row>
    <row r="41" spans="1:38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AH40/G40</f>
        <v>584.38497948717873</v>
      </c>
    </row>
    <row r="42" spans="1:38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0.15220208092029905</v>
      </c>
    </row>
    <row r="43" spans="1:38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8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8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8" x14ac:dyDescent="0.35">
      <c r="A46" s="20">
        <v>45067</v>
      </c>
      <c r="B46" s="21" t="s">
        <v>330</v>
      </c>
      <c r="C46" s="21" t="s">
        <v>477</v>
      </c>
      <c r="D46" s="44">
        <v>148123</v>
      </c>
      <c r="E46" s="44"/>
      <c r="F46" s="117">
        <v>99</v>
      </c>
      <c r="G46" s="21"/>
      <c r="H46" s="22">
        <v>52559.1</v>
      </c>
      <c r="I46" s="33">
        <v>0.54</v>
      </c>
      <c r="J46" s="24">
        <f>IFERROR(K46/H46,"")</f>
        <v>0.5648688809359369</v>
      </c>
      <c r="K46" s="22">
        <v>29689</v>
      </c>
      <c r="L46" s="21">
        <v>1</v>
      </c>
      <c r="M46" s="21">
        <v>3</v>
      </c>
      <c r="N46" s="21">
        <v>2</v>
      </c>
      <c r="O46" s="21">
        <v>11</v>
      </c>
      <c r="P46" s="21">
        <v>74</v>
      </c>
      <c r="Q46" s="21">
        <v>8</v>
      </c>
      <c r="R46" s="21"/>
      <c r="S46" s="21"/>
      <c r="T46" s="21"/>
      <c r="U46" s="25">
        <v>230</v>
      </c>
      <c r="V46" s="25">
        <f>H46*U46*I46/15</f>
        <v>435189.34800000006</v>
      </c>
      <c r="W46" s="139">
        <v>257.83999999999997</v>
      </c>
      <c r="X46" s="25">
        <v>510340.94</v>
      </c>
      <c r="Y46" s="25">
        <f>F46*60</f>
        <v>5940</v>
      </c>
      <c r="Z46" s="25">
        <v>19451.599999999999</v>
      </c>
      <c r="AA46" s="25">
        <v>0</v>
      </c>
      <c r="AB46" s="25">
        <v>0</v>
      </c>
      <c r="AC46" s="25">
        <f>F46*38</f>
        <v>3762</v>
      </c>
      <c r="AD46" s="25">
        <f>IF(F46="",G46*4.11,F46*4.11)</f>
        <v>406.89000000000004</v>
      </c>
      <c r="AE46" s="25">
        <v>1020.69</v>
      </c>
      <c r="AF46" s="25">
        <f>V46+Y46+Z46+AA46+AB46+AC46+AD46</f>
        <v>464749.83800000005</v>
      </c>
      <c r="AG46" s="25">
        <f>IFERROR(IFERROR((H46*W46*J46/15)-AE46,""),"")</f>
        <v>509313.4273333333</v>
      </c>
      <c r="AH46" s="26">
        <f>IFERROR(AG46-AF46,"")</f>
        <v>44563.58933333325</v>
      </c>
      <c r="AI46" s="6">
        <f>IF(F46="",(G46/$F$135)*$AL$27,(F46/$F$135)*$AL$27)</f>
        <v>364.65668016194331</v>
      </c>
      <c r="AJ46" s="6">
        <f>(AH46-AI46)*70%</f>
        <v>30939.252857219915</v>
      </c>
    </row>
    <row r="47" spans="1:38" x14ac:dyDescent="0.35">
      <c r="A47" s="21"/>
      <c r="B47" s="21"/>
      <c r="C47" s="21"/>
      <c r="D47" s="21"/>
      <c r="E47" s="21">
        <v>100</v>
      </c>
      <c r="F47" s="21"/>
      <c r="G47" s="21"/>
      <c r="H47" s="21">
        <v>530.9</v>
      </c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AH46/F46</f>
        <v>450.13726599326515</v>
      </c>
    </row>
    <row r="48" spans="1:38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8.7497377728012388E-2</v>
      </c>
    </row>
    <row r="49" spans="1:36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6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6" x14ac:dyDescent="0.35">
      <c r="A52" s="20">
        <v>45067</v>
      </c>
      <c r="B52" s="21" t="s">
        <v>330</v>
      </c>
      <c r="C52" s="21" t="s">
        <v>531</v>
      </c>
      <c r="D52" s="44">
        <v>148126</v>
      </c>
      <c r="E52" s="44"/>
      <c r="F52" s="21"/>
      <c r="G52" s="21">
        <v>65</v>
      </c>
      <c r="H52" s="22">
        <v>22867</v>
      </c>
      <c r="I52" s="33">
        <v>0.5</v>
      </c>
      <c r="J52" s="24">
        <f>IFERROR(K52/H52,"")</f>
        <v>0.49230331919359777</v>
      </c>
      <c r="K52" s="22">
        <v>11257.5</v>
      </c>
      <c r="L52" s="21">
        <v>33</v>
      </c>
      <c r="M52" s="21">
        <v>31</v>
      </c>
      <c r="N52" s="21">
        <v>1</v>
      </c>
      <c r="O52" s="21"/>
      <c r="P52" s="21"/>
      <c r="Q52" s="21"/>
      <c r="R52" s="21"/>
      <c r="S52" s="21"/>
      <c r="T52" s="21"/>
      <c r="U52" s="25">
        <v>210</v>
      </c>
      <c r="V52" s="25">
        <f>H52*U52*I52/15</f>
        <v>160069</v>
      </c>
      <c r="W52" s="139">
        <v>270.72000000000003</v>
      </c>
      <c r="X52" s="25">
        <v>203180.4</v>
      </c>
      <c r="Y52" s="25">
        <f>G52*60</f>
        <v>3900</v>
      </c>
      <c r="Z52" s="25">
        <v>8931.4</v>
      </c>
      <c r="AA52" s="25">
        <v>0</v>
      </c>
      <c r="AB52" s="25">
        <v>1365</v>
      </c>
      <c r="AC52" s="25">
        <f>G52*35</f>
        <v>2275</v>
      </c>
      <c r="AD52" s="25">
        <f>IF(F52="",G52*4.11,F52*4.11)</f>
        <v>267.15000000000003</v>
      </c>
      <c r="AE52" s="25">
        <v>406.35</v>
      </c>
      <c r="AF52" s="25">
        <f>V52+Y52+Z52+AA52+AB52+AC52+AD52</f>
        <v>176807.55</v>
      </c>
      <c r="AG52" s="25">
        <f>IFERROR(IFERROR((H52*W52*J52/15)-AE52,""),"")</f>
        <v>202769.01</v>
      </c>
      <c r="AH52" s="26">
        <f>IFERROR(AG52-AF52,"")</f>
        <v>25961.460000000021</v>
      </c>
      <c r="AI52" s="6">
        <f>IF(F52="",(G52/$F$135)*$AL$27,(F52/$F$135)*$AL$27)</f>
        <v>239.42105263157893</v>
      </c>
      <c r="AJ52" s="6">
        <f>(AH52-AI52)*70%</f>
        <v>18005.427263157908</v>
      </c>
    </row>
    <row r="53" spans="1:36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AH52/G52</f>
        <v>399.40707692307723</v>
      </c>
    </row>
    <row r="54" spans="1:36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0.12803465381618237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6" x14ac:dyDescent="0.35">
      <c r="A57" s="37" t="s">
        <v>1</v>
      </c>
      <c r="B57" s="37" t="s">
        <v>2</v>
      </c>
      <c r="C57" s="37" t="s">
        <v>110</v>
      </c>
      <c r="D57" s="37" t="s">
        <v>66</v>
      </c>
      <c r="E57" s="37"/>
      <c r="F57" s="37" t="s">
        <v>137</v>
      </c>
      <c r="G57" s="37" t="s">
        <v>138</v>
      </c>
      <c r="H57" s="37" t="s">
        <v>4</v>
      </c>
      <c r="I57" s="37" t="s">
        <v>5</v>
      </c>
      <c r="J57" s="37" t="s">
        <v>6</v>
      </c>
      <c r="K57" s="37" t="s">
        <v>7</v>
      </c>
      <c r="L57" s="37" t="s">
        <v>279</v>
      </c>
      <c r="M57" s="37" t="s">
        <v>280</v>
      </c>
      <c r="N57" s="37" t="s">
        <v>281</v>
      </c>
      <c r="O57" s="37" t="s">
        <v>282</v>
      </c>
      <c r="P57" s="37" t="s">
        <v>283</v>
      </c>
      <c r="Q57" s="37" t="s">
        <v>284</v>
      </c>
      <c r="R57" s="37" t="s">
        <v>904</v>
      </c>
      <c r="S57" s="37" t="s">
        <v>285</v>
      </c>
      <c r="T57" s="37" t="s">
        <v>289</v>
      </c>
      <c r="U57" s="37" t="s">
        <v>8</v>
      </c>
      <c r="V57" s="37" t="s">
        <v>9</v>
      </c>
      <c r="W57" s="37" t="s">
        <v>10</v>
      </c>
      <c r="X57" s="37" t="s">
        <v>100</v>
      </c>
      <c r="Y57" s="37" t="s">
        <v>106</v>
      </c>
      <c r="Z57" s="37" t="s">
        <v>12</v>
      </c>
      <c r="AA57" s="37" t="s">
        <v>258</v>
      </c>
      <c r="AB57" s="37" t="s">
        <v>13</v>
      </c>
      <c r="AC57" s="37" t="s">
        <v>74</v>
      </c>
      <c r="AD57" s="37" t="s">
        <v>21</v>
      </c>
      <c r="AE57" s="37" t="s">
        <v>14</v>
      </c>
      <c r="AF57" s="37" t="s">
        <v>15</v>
      </c>
      <c r="AG57" s="37" t="s">
        <v>16</v>
      </c>
      <c r="AH57" s="15" t="s">
        <v>17</v>
      </c>
      <c r="AI57" s="14" t="s">
        <v>679</v>
      </c>
      <c r="AJ57" s="14" t="s">
        <v>678</v>
      </c>
    </row>
    <row r="58" spans="1:36" x14ac:dyDescent="0.35">
      <c r="A58" s="38">
        <v>45068</v>
      </c>
      <c r="B58" s="39" t="s">
        <v>227</v>
      </c>
      <c r="C58" s="39" t="s">
        <v>124</v>
      </c>
      <c r="D58" s="45">
        <v>148121</v>
      </c>
      <c r="E58" s="45"/>
      <c r="F58" s="39">
        <v>50</v>
      </c>
      <c r="G58" s="39"/>
      <c r="H58" s="40">
        <v>27700</v>
      </c>
      <c r="I58" s="53">
        <v>0.54</v>
      </c>
      <c r="J58" s="42">
        <f>IFERROR(K58/H58,"")</f>
        <v>0.53776173285198559</v>
      </c>
      <c r="K58" s="40">
        <v>14896</v>
      </c>
      <c r="L58" s="39"/>
      <c r="M58" s="39">
        <v>13</v>
      </c>
      <c r="N58" s="39">
        <v>26</v>
      </c>
      <c r="O58" s="39">
        <v>8</v>
      </c>
      <c r="P58" s="39">
        <v>3</v>
      </c>
      <c r="Q58" s="39"/>
      <c r="R58" s="39"/>
      <c r="S58" s="39"/>
      <c r="T58" s="39"/>
      <c r="U58" s="43">
        <v>225</v>
      </c>
      <c r="V58" s="43">
        <f>H58*U58*I58/15</f>
        <v>224370</v>
      </c>
      <c r="W58" s="139">
        <v>267.87</v>
      </c>
      <c r="X58" s="43">
        <v>266004.3</v>
      </c>
      <c r="Y58" s="43">
        <v>0</v>
      </c>
      <c r="Z58" s="43">
        <v>10623.4</v>
      </c>
      <c r="AA58" s="43">
        <v>0</v>
      </c>
      <c r="AB58" s="43">
        <v>1125</v>
      </c>
      <c r="AC58" s="43">
        <f>F58*38</f>
        <v>1900</v>
      </c>
      <c r="AD58" s="43">
        <f>IF(F58="",G58*4.11,F58*4.11)</f>
        <v>205.50000000000003</v>
      </c>
      <c r="AE58" s="43">
        <v>532</v>
      </c>
      <c r="AF58" s="43">
        <f>V58+Y58+Z58+AA58+AB58+AC58+AD58</f>
        <v>238223.9</v>
      </c>
      <c r="AG58" s="43">
        <f>IFERROR(IFERROR((H58*W58*J58/15)-AE58,""),"")</f>
        <v>265480.76799999998</v>
      </c>
      <c r="AH58" s="26">
        <f>IFERROR(AG58-AF58,"")</f>
        <v>27256.867999999988</v>
      </c>
      <c r="AI58" s="6">
        <f>IF(F58="",(G58/$F$135)*$AL$27,(F58/$F$135)*$AL$27)</f>
        <v>184.17004048582996</v>
      </c>
      <c r="AJ58" s="6">
        <f>(AH58-AI58)*70%</f>
        <v>18950.888571659907</v>
      </c>
    </row>
    <row r="59" spans="1:36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AH58/F58</f>
        <v>545.13735999999972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0.10266984009930237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37" t="s">
        <v>1</v>
      </c>
      <c r="B63" s="37" t="s">
        <v>2</v>
      </c>
      <c r="C63" s="37" t="s">
        <v>110</v>
      </c>
      <c r="D63" s="37" t="s">
        <v>66</v>
      </c>
      <c r="E63" s="37"/>
      <c r="F63" s="37" t="s">
        <v>137</v>
      </c>
      <c r="G63" s="37" t="s">
        <v>138</v>
      </c>
      <c r="H63" s="37" t="s">
        <v>4</v>
      </c>
      <c r="I63" s="37" t="s">
        <v>5</v>
      </c>
      <c r="J63" s="37" t="s">
        <v>6</v>
      </c>
      <c r="K63" s="37" t="s">
        <v>7</v>
      </c>
      <c r="L63" s="37" t="s">
        <v>279</v>
      </c>
      <c r="M63" s="37" t="s">
        <v>280</v>
      </c>
      <c r="N63" s="37" t="s">
        <v>281</v>
      </c>
      <c r="O63" s="37" t="s">
        <v>282</v>
      </c>
      <c r="P63" s="37" t="s">
        <v>283</v>
      </c>
      <c r="Q63" s="37" t="s">
        <v>284</v>
      </c>
      <c r="R63" s="37" t="s">
        <v>904</v>
      </c>
      <c r="S63" s="37" t="s">
        <v>285</v>
      </c>
      <c r="T63" s="37" t="s">
        <v>289</v>
      </c>
      <c r="U63" s="37" t="s">
        <v>8</v>
      </c>
      <c r="V63" s="37" t="s">
        <v>9</v>
      </c>
      <c r="W63" s="37" t="s">
        <v>10</v>
      </c>
      <c r="X63" s="37" t="s">
        <v>100</v>
      </c>
      <c r="Y63" s="37" t="s">
        <v>106</v>
      </c>
      <c r="Z63" s="37" t="s">
        <v>12</v>
      </c>
      <c r="AA63" s="37" t="s">
        <v>258</v>
      </c>
      <c r="AB63" s="37" t="s">
        <v>13</v>
      </c>
      <c r="AC63" s="37" t="s">
        <v>74</v>
      </c>
      <c r="AD63" s="37" t="s">
        <v>21</v>
      </c>
      <c r="AE63" s="37" t="s">
        <v>14</v>
      </c>
      <c r="AF63" s="37" t="s">
        <v>15</v>
      </c>
      <c r="AG63" s="37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38">
        <v>45068</v>
      </c>
      <c r="B64" s="39" t="s">
        <v>419</v>
      </c>
      <c r="C64" s="39" t="s">
        <v>141</v>
      </c>
      <c r="D64" s="45">
        <v>148120</v>
      </c>
      <c r="E64" s="45"/>
      <c r="F64" s="39">
        <v>55</v>
      </c>
      <c r="G64" s="39"/>
      <c r="H64" s="40">
        <v>25080</v>
      </c>
      <c r="I64" s="53">
        <v>0.52500000000000002</v>
      </c>
      <c r="J64" s="42">
        <f>IFERROR(K64/H64,"")</f>
        <v>0.54447767145135562</v>
      </c>
      <c r="K64" s="40">
        <v>13655.5</v>
      </c>
      <c r="L64" s="39">
        <v>52</v>
      </c>
      <c r="M64" s="39">
        <v>3</v>
      </c>
      <c r="N64" s="39"/>
      <c r="O64" s="39"/>
      <c r="P64" s="39"/>
      <c r="Q64" s="39"/>
      <c r="R64" s="39"/>
      <c r="S64" s="39"/>
      <c r="T64" s="39"/>
      <c r="U64" s="43">
        <v>230</v>
      </c>
      <c r="V64" s="43">
        <f>H64*U64*I64/15</f>
        <v>201894</v>
      </c>
      <c r="W64" s="139">
        <v>274.62</v>
      </c>
      <c r="X64" s="43">
        <v>249999.35</v>
      </c>
      <c r="Y64" s="43">
        <f>F64*60</f>
        <v>3300</v>
      </c>
      <c r="Z64" s="43">
        <v>7039.8</v>
      </c>
      <c r="AA64" s="43">
        <v>0</v>
      </c>
      <c r="AB64" s="43">
        <v>1265</v>
      </c>
      <c r="AC64" s="43">
        <f>F64*38</f>
        <v>2090</v>
      </c>
      <c r="AD64" s="43">
        <f>IF(F64="",G64*4.11,F64*4.11)</f>
        <v>226.05</v>
      </c>
      <c r="AE64" s="43">
        <v>500</v>
      </c>
      <c r="AF64" s="43">
        <f>V64+Y64+Z64+AA64+AB64+AC64+AD64</f>
        <v>215814.84999999998</v>
      </c>
      <c r="AG64" s="43">
        <f>IFERROR(IFERROR((H64*W64*J64/15)-AE64,""),"")</f>
        <v>249504.894</v>
      </c>
      <c r="AH64" s="26">
        <f>IFERROR(AG64-AF64,"")</f>
        <v>33690.044000000024</v>
      </c>
      <c r="AI64" s="6">
        <f>IF(F64="",(G64/$F$135)*$AL$27,(F64/$F$135)*$AL$27)</f>
        <v>202.58704453441294</v>
      </c>
      <c r="AJ64" s="6">
        <f>(AH64-AI64)*70%</f>
        <v>23441.219868825927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AH64/F64</f>
        <v>612.54625454545499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0.13502758787569122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ht="1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47"/>
      <c r="AI68" s="47"/>
      <c r="AJ68" s="47"/>
    </row>
    <row r="69" spans="1:36" x14ac:dyDescent="0.35">
      <c r="A69" s="37" t="s">
        <v>1</v>
      </c>
      <c r="B69" s="37" t="s">
        <v>2</v>
      </c>
      <c r="C69" s="37" t="s">
        <v>110</v>
      </c>
      <c r="D69" s="37" t="s">
        <v>66</v>
      </c>
      <c r="E69" s="37"/>
      <c r="F69" s="37" t="s">
        <v>137</v>
      </c>
      <c r="G69" s="37" t="s">
        <v>138</v>
      </c>
      <c r="H69" s="37" t="s">
        <v>4</v>
      </c>
      <c r="I69" s="37" t="s">
        <v>5</v>
      </c>
      <c r="J69" s="37" t="s">
        <v>6</v>
      </c>
      <c r="K69" s="37" t="s">
        <v>7</v>
      </c>
      <c r="L69" s="37" t="s">
        <v>279</v>
      </c>
      <c r="M69" s="37" t="s">
        <v>280</v>
      </c>
      <c r="N69" s="37" t="s">
        <v>281</v>
      </c>
      <c r="O69" s="37" t="s">
        <v>282</v>
      </c>
      <c r="P69" s="37" t="s">
        <v>283</v>
      </c>
      <c r="Q69" s="37" t="s">
        <v>284</v>
      </c>
      <c r="R69" s="37" t="s">
        <v>904</v>
      </c>
      <c r="S69" s="37" t="s">
        <v>285</v>
      </c>
      <c r="T69" s="37" t="s">
        <v>289</v>
      </c>
      <c r="U69" s="37" t="s">
        <v>8</v>
      </c>
      <c r="V69" s="37" t="s">
        <v>9</v>
      </c>
      <c r="W69" s="37" t="s">
        <v>10</v>
      </c>
      <c r="X69" s="37" t="s">
        <v>100</v>
      </c>
      <c r="Y69" s="37" t="s">
        <v>106</v>
      </c>
      <c r="Z69" s="37" t="s">
        <v>12</v>
      </c>
      <c r="AA69" s="37" t="s">
        <v>258</v>
      </c>
      <c r="AB69" s="37" t="s">
        <v>13</v>
      </c>
      <c r="AC69" s="37" t="s">
        <v>74</v>
      </c>
      <c r="AD69" s="37" t="s">
        <v>21</v>
      </c>
      <c r="AE69" s="37" t="s">
        <v>14</v>
      </c>
      <c r="AF69" s="37" t="s">
        <v>15</v>
      </c>
      <c r="AG69" s="37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38">
        <v>45068</v>
      </c>
      <c r="B70" s="39" t="s">
        <v>523</v>
      </c>
      <c r="C70" s="39" t="s">
        <v>240</v>
      </c>
      <c r="D70" s="45">
        <v>148122</v>
      </c>
      <c r="E70" s="45"/>
      <c r="F70" s="39"/>
      <c r="G70" s="39">
        <v>65</v>
      </c>
      <c r="H70" s="40">
        <v>24280</v>
      </c>
      <c r="I70" s="53">
        <v>0.5</v>
      </c>
      <c r="J70" s="42">
        <f>IFERROR(K70/H70,"")</f>
        <v>0.50560131795716634</v>
      </c>
      <c r="K70" s="40">
        <v>12276</v>
      </c>
      <c r="L70" s="39">
        <v>15</v>
      </c>
      <c r="M70" s="39">
        <v>47</v>
      </c>
      <c r="N70" s="39">
        <v>3</v>
      </c>
      <c r="O70" s="39"/>
      <c r="P70" s="39"/>
      <c r="Q70" s="39"/>
      <c r="R70" s="39"/>
      <c r="S70" s="39"/>
      <c r="T70" s="39"/>
      <c r="U70" s="43">
        <v>225</v>
      </c>
      <c r="V70" s="43">
        <f>H70*U70*I70/15</f>
        <v>182100</v>
      </c>
      <c r="W70" s="139">
        <v>269.73</v>
      </c>
      <c r="X70" s="43">
        <v>220752.48</v>
      </c>
      <c r="Y70" s="43">
        <v>0</v>
      </c>
      <c r="Z70" s="43">
        <v>5080.8</v>
      </c>
      <c r="AA70" s="43">
        <v>0</v>
      </c>
      <c r="AB70" s="43">
        <v>1462.5</v>
      </c>
      <c r="AC70" s="43">
        <f>G70*35</f>
        <v>2275</v>
      </c>
      <c r="AD70" s="43">
        <f>IF(F70="",G70*4.11,F70*4.11)</f>
        <v>267.15000000000003</v>
      </c>
      <c r="AE70" s="43">
        <v>441.5</v>
      </c>
      <c r="AF70" s="43">
        <f>V70+Y70+Z70+AA70+AB70+AC70+AD70</f>
        <v>191185.44999999998</v>
      </c>
      <c r="AG70" s="43">
        <f>IFERROR(IFERROR((H70*W70*J70/15)-AE70,""),"")</f>
        <v>220305.53200000001</v>
      </c>
      <c r="AH70" s="26">
        <f>IFERROR(AG70-AF70,"")</f>
        <v>29120.082000000024</v>
      </c>
      <c r="AI70" s="6">
        <f>IF(F70="",(G70/$F$135)*$AL$27,(F70/$F$135)*$AL$27)</f>
        <v>239.42105263157893</v>
      </c>
      <c r="AJ70" s="6">
        <f>(AH70-AI70)*70%</f>
        <v>20216.462663157909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AH70/G70</f>
        <v>448.0012615384619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0.13218043930008994</v>
      </c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47"/>
      <c r="AI73" s="47"/>
      <c r="AJ73" s="47"/>
    </row>
    <row r="74" spans="1:36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47"/>
      <c r="AI74" s="47"/>
      <c r="AJ74" s="47"/>
    </row>
    <row r="75" spans="1:36" x14ac:dyDescent="0.35">
      <c r="A75" s="37" t="s">
        <v>1</v>
      </c>
      <c r="B75" s="37" t="s">
        <v>2</v>
      </c>
      <c r="C75" s="37" t="s">
        <v>110</v>
      </c>
      <c r="D75" s="37" t="s">
        <v>66</v>
      </c>
      <c r="E75" s="37"/>
      <c r="F75" s="37" t="s">
        <v>137</v>
      </c>
      <c r="G75" s="37" t="s">
        <v>138</v>
      </c>
      <c r="H75" s="37" t="s">
        <v>4</v>
      </c>
      <c r="I75" s="37" t="s">
        <v>5</v>
      </c>
      <c r="J75" s="37" t="s">
        <v>6</v>
      </c>
      <c r="K75" s="37" t="s">
        <v>7</v>
      </c>
      <c r="L75" s="37" t="s">
        <v>279</v>
      </c>
      <c r="M75" s="37" t="s">
        <v>280</v>
      </c>
      <c r="N75" s="37" t="s">
        <v>281</v>
      </c>
      <c r="O75" s="37" t="s">
        <v>282</v>
      </c>
      <c r="P75" s="37" t="s">
        <v>283</v>
      </c>
      <c r="Q75" s="37" t="s">
        <v>284</v>
      </c>
      <c r="R75" s="37" t="s">
        <v>904</v>
      </c>
      <c r="S75" s="37" t="s">
        <v>285</v>
      </c>
      <c r="T75" s="37" t="s">
        <v>289</v>
      </c>
      <c r="U75" s="37" t="s">
        <v>8</v>
      </c>
      <c r="V75" s="37" t="s">
        <v>9</v>
      </c>
      <c r="W75" s="37" t="s">
        <v>10</v>
      </c>
      <c r="X75" s="37" t="s">
        <v>100</v>
      </c>
      <c r="Y75" s="37" t="s">
        <v>106</v>
      </c>
      <c r="Z75" s="37" t="s">
        <v>12</v>
      </c>
      <c r="AA75" s="37" t="s">
        <v>258</v>
      </c>
      <c r="AB75" s="37" t="s">
        <v>13</v>
      </c>
      <c r="AC75" s="37" t="s">
        <v>74</v>
      </c>
      <c r="AD75" s="37" t="s">
        <v>21</v>
      </c>
      <c r="AE75" s="37" t="s">
        <v>14</v>
      </c>
      <c r="AF75" s="37" t="s">
        <v>15</v>
      </c>
      <c r="AG75" s="37" t="s">
        <v>16</v>
      </c>
      <c r="AH75" s="15" t="s">
        <v>17</v>
      </c>
      <c r="AI75" s="14" t="s">
        <v>679</v>
      </c>
      <c r="AJ75" s="14" t="s">
        <v>678</v>
      </c>
    </row>
    <row r="76" spans="1:36" x14ac:dyDescent="0.35">
      <c r="A76" s="38">
        <v>45068</v>
      </c>
      <c r="B76" s="39" t="s">
        <v>419</v>
      </c>
      <c r="C76" s="39" t="s">
        <v>141</v>
      </c>
      <c r="D76" s="45">
        <v>148119</v>
      </c>
      <c r="E76" s="45"/>
      <c r="F76" s="39">
        <v>50</v>
      </c>
      <c r="G76" s="39"/>
      <c r="H76" s="40">
        <v>25770</v>
      </c>
      <c r="I76" s="53">
        <v>0.54</v>
      </c>
      <c r="J76" s="42">
        <f>IFERROR(K76/H76,"")</f>
        <v>0.57604772991850994</v>
      </c>
      <c r="K76" s="40">
        <v>14844.75</v>
      </c>
      <c r="L76" s="39">
        <v>15</v>
      </c>
      <c r="M76" s="39">
        <v>32</v>
      </c>
      <c r="N76" s="39">
        <v>2</v>
      </c>
      <c r="O76" s="39"/>
      <c r="P76" s="39"/>
      <c r="Q76" s="39"/>
      <c r="R76" s="39"/>
      <c r="S76" s="39"/>
      <c r="T76" s="39">
        <v>1</v>
      </c>
      <c r="U76" s="43">
        <v>235</v>
      </c>
      <c r="V76" s="43">
        <f>H76*U76*I76/15</f>
        <v>218014.2</v>
      </c>
      <c r="W76" s="139">
        <v>273.18</v>
      </c>
      <c r="X76" s="43">
        <v>270347.87</v>
      </c>
      <c r="Y76" s="43">
        <f>F76*60</f>
        <v>3000</v>
      </c>
      <c r="Z76" s="43">
        <v>6988</v>
      </c>
      <c r="AA76" s="43">
        <v>0</v>
      </c>
      <c r="AB76" s="43">
        <v>1175</v>
      </c>
      <c r="AC76" s="43">
        <f>F76*38</f>
        <v>1900</v>
      </c>
      <c r="AD76" s="43">
        <f>IF(F76="",G76*4.11,F76*4.11)</f>
        <v>205.50000000000003</v>
      </c>
      <c r="AE76" s="43">
        <v>540.69000000000005</v>
      </c>
      <c r="AF76" s="43">
        <f>V76+Y76+Z76+AA76+AB76+AC76+AD76</f>
        <v>231282.7</v>
      </c>
      <c r="AG76" s="43">
        <f>IFERROR(IFERROR((H76*W76*J76/15)-AE76,""),"")</f>
        <v>269811.89700000006</v>
      </c>
      <c r="AH76" s="26">
        <f>IFERROR(AG76-AF76,"")</f>
        <v>38529.197000000044</v>
      </c>
      <c r="AI76" s="6">
        <f>IF(F76="",(G76/$F$135)*$AL$27,(F76/$F$135)*$AL$27)</f>
        <v>184.17004048582996</v>
      </c>
      <c r="AJ76" s="6">
        <f>(AH76-AI76)*70%</f>
        <v>26841.518871659951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AH76/F76</f>
        <v>770.58394000000089</v>
      </c>
    </row>
    <row r="78" spans="1:36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7">
        <f>IFERROR(AH76/AG76,"")</f>
        <v>0.14280021536633736</v>
      </c>
    </row>
    <row r="79" spans="1:36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47"/>
      <c r="AI79" s="47"/>
      <c r="AJ79" s="47"/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47"/>
      <c r="AI80" s="47"/>
      <c r="AJ80" s="47"/>
    </row>
    <row r="81" spans="1:36" x14ac:dyDescent="0.35">
      <c r="A81" s="37" t="s">
        <v>1</v>
      </c>
      <c r="B81" s="37" t="s">
        <v>2</v>
      </c>
      <c r="C81" s="37" t="s">
        <v>110</v>
      </c>
      <c r="D81" s="37" t="s">
        <v>66</v>
      </c>
      <c r="E81" s="37"/>
      <c r="F81" s="37" t="s">
        <v>137</v>
      </c>
      <c r="G81" s="37" t="s">
        <v>138</v>
      </c>
      <c r="H81" s="37" t="s">
        <v>4</v>
      </c>
      <c r="I81" s="37" t="s">
        <v>5</v>
      </c>
      <c r="J81" s="37" t="s">
        <v>6</v>
      </c>
      <c r="K81" s="37" t="s">
        <v>7</v>
      </c>
      <c r="L81" s="37" t="s">
        <v>279</v>
      </c>
      <c r="M81" s="37" t="s">
        <v>280</v>
      </c>
      <c r="N81" s="37" t="s">
        <v>281</v>
      </c>
      <c r="O81" s="37" t="s">
        <v>282</v>
      </c>
      <c r="P81" s="37" t="s">
        <v>283</v>
      </c>
      <c r="Q81" s="37" t="s">
        <v>284</v>
      </c>
      <c r="R81" s="37" t="s">
        <v>904</v>
      </c>
      <c r="S81" s="37" t="s">
        <v>285</v>
      </c>
      <c r="T81" s="37" t="s">
        <v>289</v>
      </c>
      <c r="U81" s="37" t="s">
        <v>8</v>
      </c>
      <c r="V81" s="37" t="s">
        <v>9</v>
      </c>
      <c r="W81" s="37" t="s">
        <v>10</v>
      </c>
      <c r="X81" s="37" t="s">
        <v>100</v>
      </c>
      <c r="Y81" s="37" t="s">
        <v>106</v>
      </c>
      <c r="Z81" s="37" t="s">
        <v>12</v>
      </c>
      <c r="AA81" s="37" t="s">
        <v>258</v>
      </c>
      <c r="AB81" s="37" t="s">
        <v>13</v>
      </c>
      <c r="AC81" s="37" t="s">
        <v>74</v>
      </c>
      <c r="AD81" s="37" t="s">
        <v>21</v>
      </c>
      <c r="AE81" s="37" t="s">
        <v>14</v>
      </c>
      <c r="AF81" s="37" t="s">
        <v>15</v>
      </c>
      <c r="AG81" s="37" t="s">
        <v>16</v>
      </c>
      <c r="AH81" s="15" t="s">
        <v>17</v>
      </c>
      <c r="AI81" s="14" t="s">
        <v>679</v>
      </c>
      <c r="AJ81" s="14" t="s">
        <v>678</v>
      </c>
    </row>
    <row r="82" spans="1:36" x14ac:dyDescent="0.35">
      <c r="A82" s="38">
        <v>45068</v>
      </c>
      <c r="B82" s="39" t="s">
        <v>419</v>
      </c>
      <c r="C82" s="39" t="s">
        <v>141</v>
      </c>
      <c r="D82" s="45">
        <v>148119</v>
      </c>
      <c r="E82" s="45"/>
      <c r="F82" s="39">
        <v>50</v>
      </c>
      <c r="G82" s="39"/>
      <c r="H82" s="40">
        <v>25430</v>
      </c>
      <c r="I82" s="53">
        <v>0.54</v>
      </c>
      <c r="J82" s="42">
        <f>IFERROR(K82/H82,"")</f>
        <v>0.58374950845458118</v>
      </c>
      <c r="K82" s="40">
        <v>14844.75</v>
      </c>
      <c r="L82" s="39">
        <v>16</v>
      </c>
      <c r="M82" s="39">
        <v>34</v>
      </c>
      <c r="N82" s="39"/>
      <c r="O82" s="39"/>
      <c r="P82" s="39"/>
      <c r="Q82" s="39"/>
      <c r="R82" s="39"/>
      <c r="S82" s="39"/>
      <c r="T82" s="39"/>
      <c r="U82" s="43">
        <v>235</v>
      </c>
      <c r="V82" s="43">
        <f>H82*U82*I82/15</f>
        <v>215137.8</v>
      </c>
      <c r="W82" s="139">
        <v>273.18</v>
      </c>
      <c r="X82" s="43">
        <v>270347.87</v>
      </c>
      <c r="Y82" s="43">
        <f>F82*60</f>
        <v>3000</v>
      </c>
      <c r="Z82" s="43">
        <v>6966.4</v>
      </c>
      <c r="AA82" s="43">
        <v>0</v>
      </c>
      <c r="AB82" s="43">
        <v>1175</v>
      </c>
      <c r="AC82" s="43">
        <f>F82*38</f>
        <v>1900</v>
      </c>
      <c r="AD82" s="43">
        <f>IF(F82="",G82*4.11,F82*4.11)</f>
        <v>205.50000000000003</v>
      </c>
      <c r="AE82" s="43">
        <v>540.69000000000005</v>
      </c>
      <c r="AF82" s="43">
        <f>V82+Y82+Z82+AA82+AB82+AC82+AD82</f>
        <v>228384.69999999998</v>
      </c>
      <c r="AG82" s="43">
        <f>IFERROR(IFERROR((H82*W82*J82/15)-AE82,""),"")</f>
        <v>269811.897</v>
      </c>
      <c r="AH82" s="26">
        <f>IFERROR(AG82-AF82,"")</f>
        <v>41427.197000000015</v>
      </c>
      <c r="AI82" s="6">
        <f>IF(F82="",(G82/$F$135)*$AL$27,(F82/$F$135)*$AL$27)</f>
        <v>184.17004048582996</v>
      </c>
      <c r="AJ82" s="6">
        <f>(AH82-AI82)*70%</f>
        <v>28870.118871659928</v>
      </c>
    </row>
    <row r="83" spans="1:36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3"/>
      <c r="AA83" s="21"/>
      <c r="AB83" s="21"/>
      <c r="AC83" s="21"/>
      <c r="AD83" s="21"/>
      <c r="AE83" s="21"/>
      <c r="AF83" s="21"/>
      <c r="AG83" s="21"/>
      <c r="AH83" s="26">
        <f>AH82/F82</f>
        <v>828.54394000000025</v>
      </c>
      <c r="AI83" s="48"/>
      <c r="AJ83" s="48"/>
    </row>
    <row r="84" spans="1:36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7">
        <f>IFERROR(AH82/AG82,"")</f>
        <v>0.1535410315876472</v>
      </c>
      <c r="AI84" s="47"/>
      <c r="AJ84" s="47"/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47"/>
      <c r="AI85" s="47"/>
      <c r="AJ85" s="47"/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47"/>
      <c r="AI86" s="47"/>
      <c r="AJ86" s="47"/>
    </row>
    <row r="87" spans="1:36" x14ac:dyDescent="0.35">
      <c r="A87" s="14" t="s">
        <v>1</v>
      </c>
      <c r="B87" s="14" t="s">
        <v>2</v>
      </c>
      <c r="C87" s="14" t="s">
        <v>110</v>
      </c>
      <c r="D87" s="14" t="s">
        <v>66</v>
      </c>
      <c r="E87" s="14"/>
      <c r="F87" s="14" t="s">
        <v>137</v>
      </c>
      <c r="G87" s="14" t="s">
        <v>138</v>
      </c>
      <c r="H87" s="14" t="s">
        <v>4</v>
      </c>
      <c r="I87" s="14" t="s">
        <v>5</v>
      </c>
      <c r="J87" s="14" t="s">
        <v>6</v>
      </c>
      <c r="K87" s="14" t="s">
        <v>7</v>
      </c>
      <c r="L87" s="14" t="s">
        <v>279</v>
      </c>
      <c r="M87" s="14" t="s">
        <v>280</v>
      </c>
      <c r="N87" s="14" t="s">
        <v>281</v>
      </c>
      <c r="O87" s="14" t="s">
        <v>282</v>
      </c>
      <c r="P87" s="14" t="s">
        <v>283</v>
      </c>
      <c r="Q87" s="14" t="s">
        <v>284</v>
      </c>
      <c r="R87" s="14" t="s">
        <v>904</v>
      </c>
      <c r="S87" s="14" t="s">
        <v>285</v>
      </c>
      <c r="T87" s="14" t="s">
        <v>289</v>
      </c>
      <c r="U87" s="14" t="s">
        <v>8</v>
      </c>
      <c r="V87" s="14" t="s">
        <v>9</v>
      </c>
      <c r="W87" s="14" t="s">
        <v>10</v>
      </c>
      <c r="X87" s="14" t="s">
        <v>100</v>
      </c>
      <c r="Y87" s="14" t="s">
        <v>106</v>
      </c>
      <c r="Z87" s="14" t="s">
        <v>12</v>
      </c>
      <c r="AA87" s="14" t="s">
        <v>258</v>
      </c>
      <c r="AB87" s="14" t="s">
        <v>13</v>
      </c>
      <c r="AC87" s="14" t="s">
        <v>74</v>
      </c>
      <c r="AD87" s="14" t="s">
        <v>21</v>
      </c>
      <c r="AE87" s="14" t="s">
        <v>14</v>
      </c>
      <c r="AF87" s="14" t="s">
        <v>15</v>
      </c>
      <c r="AG87" s="14" t="s">
        <v>16</v>
      </c>
      <c r="AH87" s="15" t="s">
        <v>17</v>
      </c>
      <c r="AI87" s="14" t="s">
        <v>679</v>
      </c>
      <c r="AJ87" s="14" t="s">
        <v>678</v>
      </c>
    </row>
    <row r="88" spans="1:36" x14ac:dyDescent="0.35">
      <c r="A88" s="20">
        <v>45069</v>
      </c>
      <c r="B88" s="21" t="s">
        <v>419</v>
      </c>
      <c r="C88" s="21" t="s">
        <v>533</v>
      </c>
      <c r="D88" s="44">
        <v>148113</v>
      </c>
      <c r="E88" s="44"/>
      <c r="F88" s="21">
        <v>100</v>
      </c>
      <c r="G88" s="21"/>
      <c r="H88" s="22">
        <v>53286</v>
      </c>
      <c r="I88" s="33">
        <v>0.53</v>
      </c>
      <c r="J88" s="24">
        <f>IFERROR(K88/H88,"")</f>
        <v>0.54640055549300004</v>
      </c>
      <c r="K88" s="22">
        <v>29115.5</v>
      </c>
      <c r="L88" s="21">
        <v>5</v>
      </c>
      <c r="M88" s="21">
        <v>62</v>
      </c>
      <c r="N88" s="21">
        <v>32</v>
      </c>
      <c r="O88" s="21">
        <v>1</v>
      </c>
      <c r="P88" s="21"/>
      <c r="Q88" s="21"/>
      <c r="R88" s="21"/>
      <c r="S88" s="21"/>
      <c r="T88" s="21"/>
      <c r="U88" s="25">
        <v>235</v>
      </c>
      <c r="V88" s="25">
        <f>H88*U88*I88/15</f>
        <v>442451.42000000004</v>
      </c>
      <c r="W88" s="139">
        <v>271.83999999999997</v>
      </c>
      <c r="X88" s="25">
        <v>527665.78</v>
      </c>
      <c r="Y88" s="25">
        <f>F88*60</f>
        <v>6000</v>
      </c>
      <c r="Z88" s="25">
        <v>16448</v>
      </c>
      <c r="AA88" s="25">
        <v>0</v>
      </c>
      <c r="AB88" s="25">
        <v>2350</v>
      </c>
      <c r="AC88" s="25">
        <f>F88*38</f>
        <v>3800</v>
      </c>
      <c r="AD88" s="25">
        <f>IF(F88="",G88*4.11,F88*4.11)</f>
        <v>411.00000000000006</v>
      </c>
      <c r="AE88" s="25">
        <v>1055.33</v>
      </c>
      <c r="AF88" s="25">
        <f>V88+Y88+Z88+AA88+AB88+AC88+AD88</f>
        <v>471460.42000000004</v>
      </c>
      <c r="AG88" s="25">
        <f>IFERROR(IFERROR((H88*W88*J88/15)-AE88,""),"")</f>
        <v>526595.17133333336</v>
      </c>
      <c r="AH88" s="26">
        <f>IFERROR(AG88-AF88,"")</f>
        <v>55134.751333333319</v>
      </c>
      <c r="AI88" s="6">
        <f>IF(F88="",(G88/$F$135)*$AL$27,(F88/$F$135)*$AL$27)</f>
        <v>368.34008097165992</v>
      </c>
      <c r="AJ88" s="6">
        <f>(AH88-AI88)*70%</f>
        <v>38336.487876653155</v>
      </c>
    </row>
    <row r="89" spans="1:36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3"/>
      <c r="AA89" s="21"/>
      <c r="AB89" s="21"/>
      <c r="AC89" s="21"/>
      <c r="AD89" s="21"/>
      <c r="AE89" s="21"/>
      <c r="AF89" s="21"/>
      <c r="AG89" s="21"/>
      <c r="AH89" s="26">
        <f>AH88/F88</f>
        <v>551.34751333333315</v>
      </c>
      <c r="AI89" s="48"/>
      <c r="AJ89" s="48"/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7">
        <f>IFERROR(AH88/AG88,"")</f>
        <v>0.10470044986119549</v>
      </c>
      <c r="AI90" s="47"/>
      <c r="AJ90" s="47"/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47"/>
      <c r="AI91" s="47"/>
      <c r="AJ91" s="47"/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/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>
        <v>45069</v>
      </c>
      <c r="B94" s="21" t="s">
        <v>534</v>
      </c>
      <c r="C94" s="21" t="s">
        <v>460</v>
      </c>
      <c r="D94" s="44">
        <v>148112</v>
      </c>
      <c r="E94" s="44"/>
      <c r="F94" s="21">
        <v>100</v>
      </c>
      <c r="G94" s="21"/>
      <c r="H94" s="22">
        <v>54560</v>
      </c>
      <c r="I94" s="33">
        <v>0.54</v>
      </c>
      <c r="J94" s="24">
        <f>IFERROR(K94/H94,"")</f>
        <v>0.53405425219941349</v>
      </c>
      <c r="K94" s="22">
        <v>29138</v>
      </c>
      <c r="L94" s="21">
        <v>97</v>
      </c>
      <c r="M94" s="21">
        <v>3</v>
      </c>
      <c r="N94" s="21"/>
      <c r="O94" s="21"/>
      <c r="P94" s="21"/>
      <c r="Q94" s="21"/>
      <c r="R94" s="21"/>
      <c r="S94" s="21"/>
      <c r="T94" s="21"/>
      <c r="U94" s="25">
        <v>225</v>
      </c>
      <c r="V94" s="25">
        <f>H94*U94*I94/15</f>
        <v>441936</v>
      </c>
      <c r="W94" s="139">
        <v>272.27999999999997</v>
      </c>
      <c r="X94" s="25">
        <v>528912.39</v>
      </c>
      <c r="Y94" s="25">
        <v>0</v>
      </c>
      <c r="Z94" s="25">
        <v>27956</v>
      </c>
      <c r="AA94" s="25">
        <v>0</v>
      </c>
      <c r="AB94" s="25">
        <v>2250</v>
      </c>
      <c r="AC94" s="25">
        <f>F94*38</f>
        <v>3800</v>
      </c>
      <c r="AD94" s="25">
        <f>IF(F94="",G94*4.11,F94*4.11)</f>
        <v>411.00000000000006</v>
      </c>
      <c r="AE94" s="25">
        <v>1057.82</v>
      </c>
      <c r="AF94" s="25">
        <f>V94+Y94+Z94+AA94+AB94+AC94+AD94</f>
        <v>476353</v>
      </c>
      <c r="AG94" s="25">
        <f>IFERROR(IFERROR((H94*W94*J94/15)-AE94,""),"")</f>
        <v>527855.15600000008</v>
      </c>
      <c r="AH94" s="26">
        <f>IFERROR(AG94-AF94,"")</f>
        <v>51502.156000000075</v>
      </c>
      <c r="AI94" s="6">
        <f>IF(F94="",(G94/$F$135)*$AL$27,(F94/$F$135)*$AL$27)</f>
        <v>368.34008097165992</v>
      </c>
      <c r="AJ94" s="6">
        <f>(AH94-AI94)*70%</f>
        <v>35793.671143319887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AH94/F94</f>
        <v>515.0215600000007</v>
      </c>
      <c r="AI95" s="48"/>
      <c r="AJ95" s="48"/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9.7568727736364227E-2</v>
      </c>
      <c r="AI96" s="47"/>
      <c r="AJ96" s="47"/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47"/>
      <c r="AJ97" s="47"/>
    </row>
    <row r="98" spans="1:36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47"/>
      <c r="AI98" s="47"/>
      <c r="AJ98" s="47"/>
    </row>
    <row r="99" spans="1:36" x14ac:dyDescent="0.35">
      <c r="A99" s="14" t="s">
        <v>1</v>
      </c>
      <c r="B99" s="14" t="s">
        <v>2</v>
      </c>
      <c r="C99" s="14" t="s">
        <v>110</v>
      </c>
      <c r="D99" s="14" t="s">
        <v>66</v>
      </c>
      <c r="E99" s="14"/>
      <c r="F99" s="14" t="s">
        <v>137</v>
      </c>
      <c r="G99" s="14" t="s">
        <v>138</v>
      </c>
      <c r="H99" s="14" t="s">
        <v>4</v>
      </c>
      <c r="I99" s="14" t="s">
        <v>5</v>
      </c>
      <c r="J99" s="14" t="s">
        <v>6</v>
      </c>
      <c r="K99" s="14" t="s">
        <v>7</v>
      </c>
      <c r="L99" s="14" t="s">
        <v>279</v>
      </c>
      <c r="M99" s="14" t="s">
        <v>280</v>
      </c>
      <c r="N99" s="14" t="s">
        <v>281</v>
      </c>
      <c r="O99" s="14" t="s">
        <v>282</v>
      </c>
      <c r="P99" s="14" t="s">
        <v>283</v>
      </c>
      <c r="Q99" s="14" t="s">
        <v>284</v>
      </c>
      <c r="R99" s="14" t="s">
        <v>904</v>
      </c>
      <c r="S99" s="14" t="s">
        <v>285</v>
      </c>
      <c r="T99" s="14" t="s">
        <v>289</v>
      </c>
      <c r="U99" s="14" t="s">
        <v>8</v>
      </c>
      <c r="V99" s="14" t="s">
        <v>9</v>
      </c>
      <c r="W99" s="14" t="s">
        <v>10</v>
      </c>
      <c r="X99" s="14" t="s">
        <v>100</v>
      </c>
      <c r="Y99" s="14" t="s">
        <v>106</v>
      </c>
      <c r="Z99" s="14" t="s">
        <v>12</v>
      </c>
      <c r="AA99" s="14" t="s">
        <v>258</v>
      </c>
      <c r="AB99" s="14" t="s">
        <v>13</v>
      </c>
      <c r="AC99" s="14" t="s">
        <v>74</v>
      </c>
      <c r="AD99" s="14" t="s">
        <v>21</v>
      </c>
      <c r="AE99" s="14" t="s">
        <v>14</v>
      </c>
      <c r="AF99" s="14" t="s">
        <v>15</v>
      </c>
      <c r="AG99" s="14" t="s">
        <v>16</v>
      </c>
      <c r="AH99" s="15" t="s">
        <v>17</v>
      </c>
      <c r="AI99" s="14" t="s">
        <v>679</v>
      </c>
      <c r="AJ99" s="14" t="s">
        <v>678</v>
      </c>
    </row>
    <row r="100" spans="1:36" x14ac:dyDescent="0.35">
      <c r="A100" s="20">
        <v>45069</v>
      </c>
      <c r="B100" s="21" t="s">
        <v>209</v>
      </c>
      <c r="C100" s="21" t="s">
        <v>504</v>
      </c>
      <c r="D100" s="44">
        <v>148114</v>
      </c>
      <c r="E100" s="44"/>
      <c r="F100" s="21"/>
      <c r="G100" s="21">
        <v>65</v>
      </c>
      <c r="H100" s="22">
        <v>27950</v>
      </c>
      <c r="I100" s="33">
        <v>0.5</v>
      </c>
      <c r="J100" s="24">
        <f>IFERROR(K100/H100,"")</f>
        <v>0.50849731663685149</v>
      </c>
      <c r="K100" s="22">
        <v>14212.5</v>
      </c>
      <c r="L100" s="21">
        <v>12</v>
      </c>
      <c r="M100" s="21">
        <v>25</v>
      </c>
      <c r="N100" s="21">
        <v>27</v>
      </c>
      <c r="O100" s="21">
        <v>1</v>
      </c>
      <c r="P100" s="21"/>
      <c r="Q100" s="21"/>
      <c r="R100" s="21"/>
      <c r="S100" s="21"/>
      <c r="T100" s="21"/>
      <c r="U100" s="25">
        <v>215</v>
      </c>
      <c r="V100" s="25">
        <f>H100*U100*I100/15</f>
        <v>200308.33333333334</v>
      </c>
      <c r="W100" s="139">
        <v>265.85000000000002</v>
      </c>
      <c r="X100" s="25">
        <v>251894.56</v>
      </c>
      <c r="Y100" s="25">
        <v>0</v>
      </c>
      <c r="Z100" s="25">
        <v>8908</v>
      </c>
      <c r="AA100" s="25">
        <v>0</v>
      </c>
      <c r="AB100" s="25">
        <v>1397.5</v>
      </c>
      <c r="AC100" s="25">
        <f>G100*35</f>
        <v>2275</v>
      </c>
      <c r="AD100" s="25">
        <f>IF(F100="",G100*4.11,F100*4.11)</f>
        <v>267.15000000000003</v>
      </c>
      <c r="AE100" s="25">
        <v>503.8</v>
      </c>
      <c r="AF100" s="25">
        <f>V100+Y100+Z100+AA100+AB100+AC100+AD100</f>
        <v>213155.98333333334</v>
      </c>
      <c r="AG100" s="25">
        <f>IFERROR(IFERROR((H100*W100*J100/15)-AE100,""),"")</f>
        <v>251389.07500000004</v>
      </c>
      <c r="AH100" s="26">
        <f>IFERROR(AG100-AF100,"")</f>
        <v>38233.091666666704</v>
      </c>
      <c r="AI100" s="6">
        <f>IF(F100="",(G100/$F$135)*$AL$27,(F100/$F$135)*$AL$27)</f>
        <v>239.42105263157893</v>
      </c>
      <c r="AJ100" s="6">
        <f>(AH100-AI100)*70%</f>
        <v>26595.569429824583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3"/>
      <c r="AA101" s="21"/>
      <c r="AB101" s="21"/>
      <c r="AC101" s="21"/>
      <c r="AD101" s="21"/>
      <c r="AE101" s="21"/>
      <c r="AF101" s="21"/>
      <c r="AG101" s="21"/>
      <c r="AH101" s="26">
        <f>AH100/G100</f>
        <v>588.20141025641078</v>
      </c>
      <c r="AI101" s="48"/>
      <c r="AJ101" s="48"/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7">
        <f>IFERROR(AH100/AG100,"")</f>
        <v>0.15208732386905316</v>
      </c>
      <c r="AI102" s="47"/>
      <c r="AJ102" s="47"/>
    </row>
    <row r="103" spans="1:36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47"/>
      <c r="AI103" s="47"/>
      <c r="AJ103" s="47"/>
    </row>
    <row r="104" spans="1:36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47"/>
      <c r="AI104" s="47"/>
      <c r="AJ104" s="47"/>
    </row>
    <row r="105" spans="1:36" x14ac:dyDescent="0.35">
      <c r="A105" s="14" t="s">
        <v>1</v>
      </c>
      <c r="B105" s="14" t="s">
        <v>2</v>
      </c>
      <c r="C105" s="14" t="s">
        <v>110</v>
      </c>
      <c r="D105" s="14" t="s">
        <v>66</v>
      </c>
      <c r="E105" s="14"/>
      <c r="F105" s="14" t="s">
        <v>137</v>
      </c>
      <c r="G105" s="14" t="s">
        <v>138</v>
      </c>
      <c r="H105" s="14" t="s">
        <v>4</v>
      </c>
      <c r="I105" s="14" t="s">
        <v>5</v>
      </c>
      <c r="J105" s="14" t="s">
        <v>6</v>
      </c>
      <c r="K105" s="14" t="s">
        <v>7</v>
      </c>
      <c r="L105" s="14" t="s">
        <v>279</v>
      </c>
      <c r="M105" s="14" t="s">
        <v>280</v>
      </c>
      <c r="N105" s="14" t="s">
        <v>281</v>
      </c>
      <c r="O105" s="14" t="s">
        <v>282</v>
      </c>
      <c r="P105" s="14" t="s">
        <v>283</v>
      </c>
      <c r="Q105" s="14" t="s">
        <v>284</v>
      </c>
      <c r="R105" s="14" t="s">
        <v>904</v>
      </c>
      <c r="S105" s="14" t="s">
        <v>285</v>
      </c>
      <c r="T105" s="14" t="s">
        <v>289</v>
      </c>
      <c r="U105" s="14" t="s">
        <v>8</v>
      </c>
      <c r="V105" s="14" t="s">
        <v>9</v>
      </c>
      <c r="W105" s="14" t="s">
        <v>10</v>
      </c>
      <c r="X105" s="14" t="s">
        <v>100</v>
      </c>
      <c r="Y105" s="14" t="s">
        <v>106</v>
      </c>
      <c r="Z105" s="14" t="s">
        <v>12</v>
      </c>
      <c r="AA105" s="14" t="s">
        <v>258</v>
      </c>
      <c r="AB105" s="14" t="s">
        <v>13</v>
      </c>
      <c r="AC105" s="14" t="s">
        <v>74</v>
      </c>
      <c r="AD105" s="14" t="s">
        <v>21</v>
      </c>
      <c r="AE105" s="14" t="s">
        <v>14</v>
      </c>
      <c r="AF105" s="14" t="s">
        <v>15</v>
      </c>
      <c r="AG105" s="14" t="s">
        <v>16</v>
      </c>
      <c r="AH105" s="15" t="s">
        <v>17</v>
      </c>
      <c r="AI105" s="14" t="s">
        <v>679</v>
      </c>
      <c r="AJ105" s="14" t="s">
        <v>678</v>
      </c>
    </row>
    <row r="106" spans="1:36" x14ac:dyDescent="0.35">
      <c r="A106" s="20">
        <v>45070</v>
      </c>
      <c r="B106" s="21" t="s">
        <v>419</v>
      </c>
      <c r="C106" s="21" t="s">
        <v>224</v>
      </c>
      <c r="D106" s="44">
        <v>148131</v>
      </c>
      <c r="E106" s="44"/>
      <c r="F106" s="21">
        <v>50</v>
      </c>
      <c r="G106" s="21"/>
      <c r="H106" s="22">
        <v>30700</v>
      </c>
      <c r="I106" s="33">
        <v>0.55000000000000004</v>
      </c>
      <c r="J106" s="24">
        <f>IFERROR(K106/H106,"")</f>
        <v>0.56745928338762219</v>
      </c>
      <c r="K106" s="22">
        <v>17421</v>
      </c>
      <c r="L106" s="21">
        <v>1</v>
      </c>
      <c r="M106" s="21">
        <v>14</v>
      </c>
      <c r="N106" s="21">
        <v>24</v>
      </c>
      <c r="O106" s="21">
        <v>11</v>
      </c>
      <c r="P106" s="21"/>
      <c r="Q106" s="21"/>
      <c r="R106" s="21"/>
      <c r="S106" s="21"/>
      <c r="T106" s="21"/>
      <c r="U106" s="25">
        <v>230</v>
      </c>
      <c r="V106" s="25">
        <f>H106*U106*I106/15</f>
        <v>258903.33333333337</v>
      </c>
      <c r="W106" s="139">
        <v>265.29000000000002</v>
      </c>
      <c r="X106" s="25">
        <v>308113.09999999998</v>
      </c>
      <c r="Y106" s="25">
        <f>F106*60</f>
        <v>3000</v>
      </c>
      <c r="Z106" s="25">
        <v>7462</v>
      </c>
      <c r="AA106" s="25">
        <v>0</v>
      </c>
      <c r="AB106" s="25">
        <v>1150</v>
      </c>
      <c r="AC106" s="25">
        <f>F106*38</f>
        <v>1900</v>
      </c>
      <c r="AD106" s="25">
        <f>IF(F106="",G106*4.11,F106*4.11)</f>
        <v>205.50000000000003</v>
      </c>
      <c r="AE106" s="25">
        <v>616.22</v>
      </c>
      <c r="AF106" s="25">
        <f>V106+Y106+Z106+AA106+AB106+AC106+AD106</f>
        <v>272620.83333333337</v>
      </c>
      <c r="AG106" s="25">
        <f>IFERROR(IFERROR((H106*W106*J106/15)-AE106,""),"")</f>
        <v>307491.58600000007</v>
      </c>
      <c r="AH106" s="26">
        <f>IFERROR(AG106-AF106,"")</f>
        <v>34870.752666666696</v>
      </c>
      <c r="AI106" s="6">
        <f>IF(F106="",(G106/$F$135)*$AL$27,(F106/$F$135)*$AL$27)</f>
        <v>184.17004048582996</v>
      </c>
      <c r="AJ106" s="6">
        <f>(AH106-AI106)*70%</f>
        <v>24280.607838326607</v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3"/>
      <c r="AA107" s="21"/>
      <c r="AB107" s="21"/>
      <c r="AC107" s="21"/>
      <c r="AD107" s="21"/>
      <c r="AE107" s="21"/>
      <c r="AF107" s="21"/>
      <c r="AG107" s="21"/>
      <c r="AH107" s="26">
        <f>AH106/F106</f>
        <v>697.41505333333396</v>
      </c>
      <c r="AI107" s="48"/>
      <c r="AJ107" s="48"/>
    </row>
    <row r="108" spans="1:36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7">
        <f>IFERROR(AH106/AG106,"")</f>
        <v>0.11340392470663145</v>
      </c>
      <c r="AI108" s="47"/>
      <c r="AJ108" s="47"/>
    </row>
    <row r="109" spans="1:36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47"/>
      <c r="AI109" s="47"/>
      <c r="AJ109" s="47"/>
    </row>
    <row r="110" spans="1:36" x14ac:dyDescent="0.35">
      <c r="A110" s="14" t="s">
        <v>1</v>
      </c>
      <c r="B110" s="14" t="s">
        <v>2</v>
      </c>
      <c r="C110" s="14" t="s">
        <v>110</v>
      </c>
      <c r="D110" s="14" t="s">
        <v>66</v>
      </c>
      <c r="E110" s="14"/>
      <c r="F110" s="14" t="s">
        <v>137</v>
      </c>
      <c r="G110" s="14" t="s">
        <v>138</v>
      </c>
      <c r="H110" s="14" t="s">
        <v>4</v>
      </c>
      <c r="I110" s="14" t="s">
        <v>5</v>
      </c>
      <c r="J110" s="14" t="s">
        <v>6</v>
      </c>
      <c r="K110" s="14" t="s">
        <v>7</v>
      </c>
      <c r="L110" s="14" t="s">
        <v>279</v>
      </c>
      <c r="M110" s="14" t="s">
        <v>280</v>
      </c>
      <c r="N110" s="14" t="s">
        <v>281</v>
      </c>
      <c r="O110" s="14" t="s">
        <v>282</v>
      </c>
      <c r="P110" s="14" t="s">
        <v>283</v>
      </c>
      <c r="Q110" s="14" t="s">
        <v>284</v>
      </c>
      <c r="R110" s="14" t="s">
        <v>904</v>
      </c>
      <c r="S110" s="14" t="s">
        <v>285</v>
      </c>
      <c r="T110" s="14" t="s">
        <v>289</v>
      </c>
      <c r="U110" s="14" t="s">
        <v>8</v>
      </c>
      <c r="V110" s="14" t="s">
        <v>9</v>
      </c>
      <c r="W110" s="14" t="s">
        <v>10</v>
      </c>
      <c r="X110" s="14" t="s">
        <v>100</v>
      </c>
      <c r="Y110" s="14" t="s">
        <v>106</v>
      </c>
      <c r="Z110" s="14" t="s">
        <v>12</v>
      </c>
      <c r="AA110" s="14" t="s">
        <v>258</v>
      </c>
      <c r="AB110" s="14" t="s">
        <v>13</v>
      </c>
      <c r="AC110" s="14" t="s">
        <v>74</v>
      </c>
      <c r="AD110" s="14" t="s">
        <v>21</v>
      </c>
      <c r="AE110" s="14" t="s">
        <v>14</v>
      </c>
      <c r="AF110" s="14" t="s">
        <v>15</v>
      </c>
      <c r="AG110" s="14" t="s">
        <v>16</v>
      </c>
      <c r="AH110" s="15" t="s">
        <v>17</v>
      </c>
      <c r="AI110" s="14" t="s">
        <v>679</v>
      </c>
      <c r="AJ110" s="14" t="s">
        <v>678</v>
      </c>
    </row>
    <row r="111" spans="1:36" x14ac:dyDescent="0.35">
      <c r="A111" s="20">
        <v>45070</v>
      </c>
      <c r="B111" s="21" t="s">
        <v>419</v>
      </c>
      <c r="C111" s="21" t="s">
        <v>460</v>
      </c>
      <c r="D111" s="44">
        <v>148132</v>
      </c>
      <c r="E111" s="44"/>
      <c r="F111" s="21"/>
      <c r="G111" s="21">
        <v>63</v>
      </c>
      <c r="H111" s="22">
        <v>27340</v>
      </c>
      <c r="I111" s="33">
        <v>0.5</v>
      </c>
      <c r="J111" s="24">
        <f>IFERROR(K111/H111,"")</f>
        <v>0.46301133869787853</v>
      </c>
      <c r="K111" s="22">
        <v>12658.73</v>
      </c>
      <c r="L111" s="21">
        <v>10</v>
      </c>
      <c r="M111" s="21">
        <v>31</v>
      </c>
      <c r="N111" s="21">
        <v>11</v>
      </c>
      <c r="O111" s="21">
        <v>11</v>
      </c>
      <c r="P111" s="21"/>
      <c r="Q111" s="21"/>
      <c r="R111" s="21"/>
      <c r="S111" s="21"/>
      <c r="T111" s="21"/>
      <c r="U111" s="25">
        <v>200</v>
      </c>
      <c r="V111" s="25">
        <f>H111*U111*I111/15</f>
        <v>182266.66666666666</v>
      </c>
      <c r="W111" s="139">
        <v>262.49</v>
      </c>
      <c r="X111" s="25">
        <v>221518.35</v>
      </c>
      <c r="Y111" s="25">
        <f>G111*60</f>
        <v>3780</v>
      </c>
      <c r="Z111" s="25">
        <v>14162.2</v>
      </c>
      <c r="AA111" s="25">
        <v>0</v>
      </c>
      <c r="AB111" s="25">
        <v>1260</v>
      </c>
      <c r="AC111" s="25">
        <f>G111*35</f>
        <v>2205</v>
      </c>
      <c r="AD111" s="25">
        <f>IF(F111="",G111*4.11,F111*4.11)</f>
        <v>258.93</v>
      </c>
      <c r="AE111" s="25">
        <v>443.04</v>
      </c>
      <c r="AF111" s="25">
        <f>V111+Y111+Z111+AA111+AB111+AC111+AD111</f>
        <v>203932.79666666666</v>
      </c>
      <c r="AG111" s="25">
        <f>IFERROR(IFERROR((H111*W111*J111/15)-AE111,""),"")</f>
        <v>221076.29584666665</v>
      </c>
      <c r="AH111" s="26">
        <f>IFERROR(AG111-AF111,"")</f>
        <v>17143.499179999984</v>
      </c>
      <c r="AI111" s="6">
        <f>IF(F111="",(G111/$F$135)*$AL$27,(F111/$F$135)*$AL$27)</f>
        <v>232.05425101214576</v>
      </c>
      <c r="AJ111" s="6">
        <f>(AH111-AI111)*70%</f>
        <v>11838.011450291488</v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3"/>
      <c r="AA112" s="21"/>
      <c r="AB112" s="21"/>
      <c r="AC112" s="21"/>
      <c r="AD112" s="21"/>
      <c r="AE112" s="21"/>
      <c r="AF112" s="21"/>
      <c r="AG112" s="21"/>
      <c r="AH112" s="26">
        <f>AH111/G111</f>
        <v>272.11903460317433</v>
      </c>
      <c r="AI112" s="48"/>
      <c r="AJ112" s="48"/>
    </row>
    <row r="113" spans="1:36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7">
        <f>IFERROR(AH111/AG111,"")</f>
        <v>7.7545623398224087E-2</v>
      </c>
      <c r="AI113" s="47"/>
      <c r="AJ113" s="47"/>
    </row>
    <row r="114" spans="1:36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47"/>
      <c r="AI114" s="47"/>
      <c r="AJ114" s="47"/>
    </row>
    <row r="115" spans="1:36" x14ac:dyDescent="0.35">
      <c r="A115" s="14" t="s">
        <v>1</v>
      </c>
      <c r="B115" s="14" t="s">
        <v>2</v>
      </c>
      <c r="C115" s="14" t="s">
        <v>110</v>
      </c>
      <c r="D115" s="14" t="s">
        <v>66</v>
      </c>
      <c r="E115" s="14"/>
      <c r="F115" s="14" t="s">
        <v>137</v>
      </c>
      <c r="G115" s="14" t="s">
        <v>138</v>
      </c>
      <c r="H115" s="14" t="s">
        <v>4</v>
      </c>
      <c r="I115" s="14" t="s">
        <v>5</v>
      </c>
      <c r="J115" s="14" t="s">
        <v>6</v>
      </c>
      <c r="K115" s="14" t="s">
        <v>7</v>
      </c>
      <c r="L115" s="14" t="s">
        <v>279</v>
      </c>
      <c r="M115" s="14" t="s">
        <v>280</v>
      </c>
      <c r="N115" s="14" t="s">
        <v>281</v>
      </c>
      <c r="O115" s="14" t="s">
        <v>282</v>
      </c>
      <c r="P115" s="14" t="s">
        <v>283</v>
      </c>
      <c r="Q115" s="14" t="s">
        <v>284</v>
      </c>
      <c r="R115" s="14" t="s">
        <v>904</v>
      </c>
      <c r="S115" s="14" t="s">
        <v>285</v>
      </c>
      <c r="T115" s="14" t="s">
        <v>289</v>
      </c>
      <c r="U115" s="14" t="s">
        <v>8</v>
      </c>
      <c r="V115" s="14" t="s">
        <v>9</v>
      </c>
      <c r="W115" s="14" t="s">
        <v>10</v>
      </c>
      <c r="X115" s="14" t="s">
        <v>100</v>
      </c>
      <c r="Y115" s="14" t="s">
        <v>106</v>
      </c>
      <c r="Z115" s="14" t="s">
        <v>12</v>
      </c>
      <c r="AA115" s="14" t="s">
        <v>258</v>
      </c>
      <c r="AB115" s="14" t="s">
        <v>13</v>
      </c>
      <c r="AC115" s="14" t="s">
        <v>74</v>
      </c>
      <c r="AD115" s="14" t="s">
        <v>21</v>
      </c>
      <c r="AE115" s="14" t="s">
        <v>14</v>
      </c>
      <c r="AF115" s="14" t="s">
        <v>15</v>
      </c>
      <c r="AG115" s="14" t="s">
        <v>16</v>
      </c>
      <c r="AH115" s="15" t="s">
        <v>17</v>
      </c>
      <c r="AI115" s="14" t="s">
        <v>679</v>
      </c>
      <c r="AJ115" s="14" t="s">
        <v>678</v>
      </c>
    </row>
    <row r="116" spans="1:36" x14ac:dyDescent="0.35">
      <c r="A116" s="20">
        <v>45070</v>
      </c>
      <c r="B116" s="21" t="s">
        <v>535</v>
      </c>
      <c r="C116" s="21" t="s">
        <v>460</v>
      </c>
      <c r="D116" s="44">
        <v>148132</v>
      </c>
      <c r="E116" s="44"/>
      <c r="F116" s="21"/>
      <c r="G116" s="21">
        <v>63</v>
      </c>
      <c r="H116" s="22">
        <v>25360</v>
      </c>
      <c r="I116" s="33">
        <v>0.5</v>
      </c>
      <c r="J116" s="24">
        <f>IFERROR(K116/H116,"")</f>
        <v>0.49916167192429023</v>
      </c>
      <c r="K116" s="22">
        <v>12658.74</v>
      </c>
      <c r="L116" s="21">
        <v>10</v>
      </c>
      <c r="M116" s="21">
        <v>31</v>
      </c>
      <c r="N116" s="21">
        <v>11</v>
      </c>
      <c r="O116" s="21">
        <v>11</v>
      </c>
      <c r="P116" s="21"/>
      <c r="Q116" s="21"/>
      <c r="R116" s="21"/>
      <c r="S116" s="21"/>
      <c r="T116" s="21"/>
      <c r="U116" s="25">
        <v>205</v>
      </c>
      <c r="V116" s="25">
        <f>H116*U116*I116/15</f>
        <v>173293.33333333334</v>
      </c>
      <c r="W116" s="139">
        <v>262.49</v>
      </c>
      <c r="X116" s="25">
        <v>221518.35</v>
      </c>
      <c r="Y116" s="25">
        <v>0</v>
      </c>
      <c r="Z116" s="25">
        <v>13986.4</v>
      </c>
      <c r="AA116" s="25">
        <v>0</v>
      </c>
      <c r="AB116" s="25">
        <v>1291.5</v>
      </c>
      <c r="AC116" s="25">
        <f>G116*35</f>
        <v>2205</v>
      </c>
      <c r="AD116" s="25">
        <f>IF(F116="",G116*4.11,F116*4.11)</f>
        <v>258.93</v>
      </c>
      <c r="AE116" s="25">
        <v>443.04</v>
      </c>
      <c r="AF116" s="25">
        <f>V116+Y116+Z116+AA116+AB116+AC116+AD116</f>
        <v>191035.16333333333</v>
      </c>
      <c r="AG116" s="25">
        <f>IFERROR(IFERROR((H116*W116*J116/15)-AE116,""),"")</f>
        <v>221076.47084000002</v>
      </c>
      <c r="AH116" s="26">
        <f>IFERROR(AG116-AF116,"")</f>
        <v>30041.307506666693</v>
      </c>
      <c r="AI116" s="6">
        <f>IF(F116="",(G116/$F$135)*$AL$27,(F116/$F$135)*$AL$27)</f>
        <v>232.05425101214576</v>
      </c>
      <c r="AJ116" s="6">
        <f>(AH116-AI116)*70%</f>
        <v>20866.477278958184</v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3"/>
      <c r="AA117" s="21"/>
      <c r="AB117" s="21"/>
      <c r="AC117" s="21"/>
      <c r="AD117" s="21"/>
      <c r="AE117" s="21"/>
      <c r="AF117" s="21"/>
      <c r="AG117" s="21"/>
      <c r="AH117" s="26">
        <f>AH116/G116</f>
        <v>476.8461508994713</v>
      </c>
      <c r="AI117" s="48"/>
      <c r="AJ117" s="48"/>
    </row>
    <row r="118" spans="1:36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7">
        <f>IFERROR(AH116/AG116,"")</f>
        <v>0.13588649842528258</v>
      </c>
      <c r="AI118" s="47"/>
      <c r="AJ118" s="47"/>
    </row>
    <row r="119" spans="1:36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47"/>
      <c r="AI119" s="47"/>
      <c r="AJ119" s="47"/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47"/>
      <c r="AI120" s="47"/>
      <c r="AJ120" s="47"/>
    </row>
    <row r="121" spans="1:36" x14ac:dyDescent="0.35">
      <c r="A121" s="14" t="s">
        <v>1</v>
      </c>
      <c r="B121" s="14" t="s">
        <v>2</v>
      </c>
      <c r="C121" s="14" t="s">
        <v>110</v>
      </c>
      <c r="D121" s="14" t="s">
        <v>66</v>
      </c>
      <c r="E121" s="14"/>
      <c r="F121" s="14" t="s">
        <v>137</v>
      </c>
      <c r="G121" s="14" t="s">
        <v>138</v>
      </c>
      <c r="H121" s="14" t="s">
        <v>4</v>
      </c>
      <c r="I121" s="14" t="s">
        <v>5</v>
      </c>
      <c r="J121" s="14" t="s">
        <v>6</v>
      </c>
      <c r="K121" s="14" t="s">
        <v>7</v>
      </c>
      <c r="L121" s="14" t="s">
        <v>279</v>
      </c>
      <c r="M121" s="14" t="s">
        <v>280</v>
      </c>
      <c r="N121" s="14" t="s">
        <v>281</v>
      </c>
      <c r="O121" s="14" t="s">
        <v>282</v>
      </c>
      <c r="P121" s="14" t="s">
        <v>283</v>
      </c>
      <c r="Q121" s="14" t="s">
        <v>284</v>
      </c>
      <c r="R121" s="14" t="s">
        <v>904</v>
      </c>
      <c r="S121" s="14" t="s">
        <v>285</v>
      </c>
      <c r="T121" s="14" t="s">
        <v>289</v>
      </c>
      <c r="U121" s="14" t="s">
        <v>8</v>
      </c>
      <c r="V121" s="14" t="s">
        <v>9</v>
      </c>
      <c r="W121" s="14" t="s">
        <v>10</v>
      </c>
      <c r="X121" s="14" t="s">
        <v>100</v>
      </c>
      <c r="Y121" s="14" t="s">
        <v>106</v>
      </c>
      <c r="Z121" s="14" t="s">
        <v>12</v>
      </c>
      <c r="AA121" s="14" t="s">
        <v>258</v>
      </c>
      <c r="AB121" s="14" t="s">
        <v>13</v>
      </c>
      <c r="AC121" s="14" t="s">
        <v>74</v>
      </c>
      <c r="AD121" s="14" t="s">
        <v>21</v>
      </c>
      <c r="AE121" s="14" t="s">
        <v>14</v>
      </c>
      <c r="AF121" s="14" t="s">
        <v>15</v>
      </c>
      <c r="AG121" s="14" t="s">
        <v>16</v>
      </c>
      <c r="AH121" s="15" t="s">
        <v>17</v>
      </c>
      <c r="AI121" s="14" t="s">
        <v>679</v>
      </c>
      <c r="AJ121" s="14" t="s">
        <v>678</v>
      </c>
    </row>
    <row r="122" spans="1:36" x14ac:dyDescent="0.35">
      <c r="A122" s="20">
        <v>45070</v>
      </c>
      <c r="B122" s="21" t="s">
        <v>419</v>
      </c>
      <c r="C122" s="21" t="s">
        <v>539</v>
      </c>
      <c r="D122" s="44">
        <v>148132</v>
      </c>
      <c r="E122" s="44"/>
      <c r="F122" s="21"/>
      <c r="G122" s="21">
        <v>60</v>
      </c>
      <c r="H122" s="22">
        <v>24480</v>
      </c>
      <c r="I122" s="33">
        <v>0.5</v>
      </c>
      <c r="J122" s="24">
        <f>IFERROR(K122/H122,"")</f>
        <v>0.49248120915032684</v>
      </c>
      <c r="K122" s="22">
        <v>12055.94</v>
      </c>
      <c r="L122" s="21">
        <v>10</v>
      </c>
      <c r="M122" s="21">
        <v>31</v>
      </c>
      <c r="N122" s="21">
        <v>11</v>
      </c>
      <c r="O122" s="21">
        <v>5</v>
      </c>
      <c r="P122" s="21">
        <v>3</v>
      </c>
      <c r="Q122" s="21"/>
      <c r="R122" s="21"/>
      <c r="S122" s="21"/>
      <c r="T122" s="21"/>
      <c r="U122" s="25">
        <v>215</v>
      </c>
      <c r="V122" s="25">
        <f>H122*U122*I122/15</f>
        <v>175440</v>
      </c>
      <c r="W122" s="139">
        <v>262.49</v>
      </c>
      <c r="X122" s="25">
        <v>210969.85</v>
      </c>
      <c r="Y122" s="25">
        <f>G122*60</f>
        <v>3600</v>
      </c>
      <c r="Z122" s="25">
        <v>11767.88</v>
      </c>
      <c r="AA122" s="25">
        <v>0</v>
      </c>
      <c r="AB122" s="25">
        <v>1290</v>
      </c>
      <c r="AC122" s="25">
        <f>G122*35</f>
        <v>2100</v>
      </c>
      <c r="AD122" s="25">
        <f>IF(F122="",G122*4.11,F122*4.11)</f>
        <v>246.60000000000002</v>
      </c>
      <c r="AE122" s="25">
        <v>421.94</v>
      </c>
      <c r="AF122" s="25">
        <f>V122+Y122+Z122+AA122+AB122+AC122+AD122</f>
        <v>194444.48</v>
      </c>
      <c r="AG122" s="25">
        <f>IFERROR(IFERROR((H122*W122*J122/15)-AE122,""),"")</f>
        <v>210548.97270666668</v>
      </c>
      <c r="AH122" s="26">
        <f>IFERROR(AG122-AF122,"")</f>
        <v>16104.492706666671</v>
      </c>
      <c r="AI122" s="6">
        <f>IF(F122="",(G122/$F$135)*$AL$27,(F122/$F$135)*$AL$27)</f>
        <v>221.00404858299595</v>
      </c>
      <c r="AJ122" s="6">
        <f>(AH122-AI122)*70%</f>
        <v>11118.442060658572</v>
      </c>
    </row>
    <row r="123" spans="1:36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3"/>
      <c r="AA123" s="21"/>
      <c r="AB123" s="21"/>
      <c r="AC123" s="21"/>
      <c r="AD123" s="21"/>
      <c r="AE123" s="21"/>
      <c r="AF123" s="21"/>
      <c r="AG123" s="21"/>
      <c r="AH123" s="26">
        <f>AH122/G122</f>
        <v>268.40821177777786</v>
      </c>
      <c r="AI123" s="48"/>
      <c r="AJ123" s="48"/>
    </row>
    <row r="124" spans="1:36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7">
        <f>IFERROR(AH122/AG122,"")</f>
        <v>7.6488108679129876E-2</v>
      </c>
      <c r="AI124" s="47"/>
      <c r="AJ124" s="47"/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47"/>
      <c r="AI125" s="47"/>
      <c r="AJ125" s="47"/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47"/>
      <c r="AI126" s="47"/>
      <c r="AJ126" s="47"/>
    </row>
    <row r="127" spans="1:36" x14ac:dyDescent="0.35">
      <c r="A127" s="14" t="s">
        <v>1</v>
      </c>
      <c r="B127" s="14" t="s">
        <v>2</v>
      </c>
      <c r="C127" s="14" t="s">
        <v>110</v>
      </c>
      <c r="D127" s="14" t="s">
        <v>66</v>
      </c>
      <c r="E127" s="14"/>
      <c r="F127" s="14" t="s">
        <v>137</v>
      </c>
      <c r="G127" s="14" t="s">
        <v>138</v>
      </c>
      <c r="H127" s="14" t="s">
        <v>4</v>
      </c>
      <c r="I127" s="14" t="s">
        <v>5</v>
      </c>
      <c r="J127" s="14" t="s">
        <v>6</v>
      </c>
      <c r="K127" s="14" t="s">
        <v>7</v>
      </c>
      <c r="L127" s="14" t="s">
        <v>279</v>
      </c>
      <c r="M127" s="14" t="s">
        <v>280</v>
      </c>
      <c r="N127" s="14" t="s">
        <v>281</v>
      </c>
      <c r="O127" s="14" t="s">
        <v>282</v>
      </c>
      <c r="P127" s="14" t="s">
        <v>283</v>
      </c>
      <c r="Q127" s="14" t="s">
        <v>284</v>
      </c>
      <c r="R127" s="14" t="s">
        <v>904</v>
      </c>
      <c r="S127" s="14" t="s">
        <v>285</v>
      </c>
      <c r="T127" s="14" t="s">
        <v>289</v>
      </c>
      <c r="U127" s="14" t="s">
        <v>8</v>
      </c>
      <c r="V127" s="14" t="s">
        <v>9</v>
      </c>
      <c r="W127" s="14" t="s">
        <v>10</v>
      </c>
      <c r="X127" s="14" t="s">
        <v>100</v>
      </c>
      <c r="Y127" s="14" t="s">
        <v>106</v>
      </c>
      <c r="Z127" s="14" t="s">
        <v>12</v>
      </c>
      <c r="AA127" s="14" t="s">
        <v>258</v>
      </c>
      <c r="AB127" s="14" t="s">
        <v>13</v>
      </c>
      <c r="AC127" s="14" t="s">
        <v>74</v>
      </c>
      <c r="AD127" s="14" t="s">
        <v>21</v>
      </c>
      <c r="AE127" s="14" t="s">
        <v>14</v>
      </c>
      <c r="AF127" s="14" t="s">
        <v>15</v>
      </c>
      <c r="AG127" s="14" t="s">
        <v>16</v>
      </c>
      <c r="AH127" s="15" t="s">
        <v>17</v>
      </c>
      <c r="AI127" s="14" t="s">
        <v>679</v>
      </c>
      <c r="AJ127" s="14" t="s">
        <v>678</v>
      </c>
    </row>
    <row r="128" spans="1:36" x14ac:dyDescent="0.35">
      <c r="A128" s="20">
        <v>45070</v>
      </c>
      <c r="B128" s="21" t="s">
        <v>419</v>
      </c>
      <c r="C128" s="21" t="s">
        <v>389</v>
      </c>
      <c r="D128" s="44">
        <v>148132</v>
      </c>
      <c r="E128" s="44"/>
      <c r="F128" s="21"/>
      <c r="G128" s="21">
        <v>65</v>
      </c>
      <c r="H128" s="22">
        <v>21300</v>
      </c>
      <c r="I128" s="33">
        <v>0.5</v>
      </c>
      <c r="J128" s="24">
        <f>IFERROR(K128/H128,"")</f>
        <v>0.61317323943661972</v>
      </c>
      <c r="K128" s="22">
        <v>13060.59</v>
      </c>
      <c r="L128" s="21">
        <v>16</v>
      </c>
      <c r="M128" s="21">
        <v>32</v>
      </c>
      <c r="N128" s="21">
        <v>17</v>
      </c>
      <c r="O128" s="21"/>
      <c r="P128" s="21"/>
      <c r="Q128" s="21"/>
      <c r="R128" s="21"/>
      <c r="S128" s="21"/>
      <c r="T128" s="21"/>
      <c r="U128" s="25">
        <v>195.3</v>
      </c>
      <c r="V128" s="25">
        <f>H128*U128*I128/15</f>
        <v>138663.00000000003</v>
      </c>
      <c r="W128" s="139">
        <v>262.49</v>
      </c>
      <c r="X128" s="25">
        <v>228550.69</v>
      </c>
      <c r="Y128" s="25">
        <f>G128*60</f>
        <v>3900</v>
      </c>
      <c r="Z128" s="25">
        <v>7048</v>
      </c>
      <c r="AA128" s="25">
        <v>0</v>
      </c>
      <c r="AB128" s="25">
        <v>1260</v>
      </c>
      <c r="AC128" s="25">
        <f>G128*35</f>
        <v>2275</v>
      </c>
      <c r="AD128" s="25">
        <f>IF(F128="",G128*4.11,F128*4.11)</f>
        <v>267.15000000000003</v>
      </c>
      <c r="AE128" s="25">
        <v>457.1</v>
      </c>
      <c r="AF128" s="25">
        <f>V128+Y128+Z128+AA128+AB128+AC128+AD128</f>
        <v>153413.15000000002</v>
      </c>
      <c r="AG128" s="25">
        <f>IFERROR(IFERROR((H128*W128*J128/15)-AE128,""),"")</f>
        <v>228094.51793999999</v>
      </c>
      <c r="AH128" s="26">
        <f>IFERROR(AG128-AF128,"")</f>
        <v>74681.367939999967</v>
      </c>
      <c r="AI128" s="6">
        <f>IF(F128="",(G128/$F$135)*$AL$27,(F128/$F$135)*$AL$27)</f>
        <v>239.42105263157893</v>
      </c>
      <c r="AJ128" s="6">
        <f>(AH128-AI128)*70%</f>
        <v>52109.362821157876</v>
      </c>
    </row>
    <row r="129" spans="1:36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3"/>
      <c r="AA129" s="21"/>
      <c r="AB129" s="21"/>
      <c r="AC129" s="21"/>
      <c r="AD129" s="21"/>
      <c r="AE129" s="21"/>
      <c r="AF129" s="21"/>
      <c r="AG129" s="21"/>
      <c r="AH129" s="26">
        <f>AH128/G128</f>
        <v>1148.9441221538457</v>
      </c>
      <c r="AI129" s="48"/>
      <c r="AJ129" s="48"/>
    </row>
    <row r="130" spans="1:36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7">
        <f>IFERROR(AH128/AG128,"")</f>
        <v>0.32741412908329881</v>
      </c>
      <c r="AI130" s="47"/>
      <c r="AJ130" s="47"/>
    </row>
    <row r="131" spans="1:36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47"/>
      <c r="AI131" s="47"/>
      <c r="AJ131" s="47"/>
    </row>
    <row r="132" spans="1:36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  <c r="AI132" s="47"/>
      <c r="AJ132" s="47"/>
    </row>
    <row r="133" spans="1:36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47"/>
      <c r="AI133" s="47"/>
      <c r="AJ133" s="47"/>
    </row>
    <row r="134" spans="1:36" ht="15" thickBot="1" x14ac:dyDescent="0.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47"/>
      <c r="AI134" s="47"/>
      <c r="AJ134" s="47"/>
    </row>
    <row r="135" spans="1:36" ht="16" thickBot="1" x14ac:dyDescent="0.4">
      <c r="A135" s="377" t="s">
        <v>528</v>
      </c>
      <c r="B135" s="378"/>
      <c r="C135" s="378"/>
      <c r="D135" s="378"/>
      <c r="E135" s="378"/>
      <c r="F135" s="30">
        <f>SUM(F4:G128)</f>
        <v>1235</v>
      </c>
      <c r="G135" s="30"/>
      <c r="H135" s="30"/>
      <c r="I135" s="30"/>
      <c r="J135" s="30"/>
      <c r="K135" s="30"/>
      <c r="L135" s="46"/>
      <c r="M135" s="46"/>
      <c r="N135" s="46"/>
      <c r="O135" s="46"/>
      <c r="P135" s="46"/>
      <c r="Q135" s="46"/>
      <c r="R135" s="46"/>
      <c r="S135" s="46"/>
      <c r="T135" s="46"/>
      <c r="U135" s="30"/>
      <c r="V135" s="31">
        <f>V4+V10+V16+V22+V28+V34+V40+V46+V52+V58+V64+V70+V76+V82+V88+V94+V100+V106+V111+V116+V122+V128</f>
        <v>4353325.1679999996</v>
      </c>
      <c r="W135" s="30"/>
      <c r="X135" s="30"/>
      <c r="Y135" s="31">
        <f t="shared" ref="Y135:AJ135" si="0">Y4+Y10+Y16+Y22+Y28+Y34+Y40+Y46+Y52+Y58+Y64+Y70+Y76+Y82+Y88+Y94+Y100+Y106+Y111+Y116+Y122+Y128</f>
        <v>51870</v>
      </c>
      <c r="Z135" s="31">
        <f t="shared" si="0"/>
        <v>217807.04</v>
      </c>
      <c r="AA135" s="31">
        <f t="shared" si="0"/>
        <v>0</v>
      </c>
      <c r="AB135" s="31">
        <f t="shared" si="0"/>
        <v>24814.5</v>
      </c>
      <c r="AC135" s="31">
        <f t="shared" si="0"/>
        <v>45013</v>
      </c>
      <c r="AD135" s="31">
        <f t="shared" si="0"/>
        <v>5075.8500000000013</v>
      </c>
      <c r="AE135" s="31">
        <f t="shared" si="0"/>
        <v>10779.550000000001</v>
      </c>
      <c r="AF135" s="31">
        <f t="shared" si="0"/>
        <v>4697905.5580000011</v>
      </c>
      <c r="AG135" s="31">
        <f t="shared" si="0"/>
        <v>5379234.0089999996</v>
      </c>
      <c r="AH135" s="31">
        <f t="shared" si="0"/>
        <v>681328.45100000035</v>
      </c>
      <c r="AI135" s="31">
        <f t="shared" si="0"/>
        <v>4549</v>
      </c>
      <c r="AJ135" s="31">
        <f t="shared" si="0"/>
        <v>473745.61570000008</v>
      </c>
    </row>
  </sheetData>
  <mergeCells count="2">
    <mergeCell ref="U2:AC2"/>
    <mergeCell ref="A135:E13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63">
    <tabColor theme="9" tint="-0.249977111117893"/>
  </sheetPr>
  <dimension ref="A1:AN88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bestFit="1" customWidth="1"/>
    <col min="4" max="5" width="12.453125" customWidth="1"/>
    <col min="7" max="7" width="10.7265625" customWidth="1"/>
    <col min="8" max="8" width="11.7265625" customWidth="1"/>
    <col min="10" max="10" width="11.26953125" customWidth="1"/>
    <col min="11" max="11" width="13.81640625" customWidth="1"/>
    <col min="17" max="18" width="11.26953125" bestFit="1" customWidth="1"/>
    <col min="19" max="19" width="3.7265625" bestFit="1" customWidth="1"/>
    <col min="20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6.7265625" style="21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20.54296875" bestFit="1" customWidth="1"/>
    <col min="39" max="39" width="15.7265625" customWidth="1"/>
    <col min="40" max="40" width="12.45312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AF88</f>
        <v>3472686.9899999993</v>
      </c>
      <c r="AM3" s="164">
        <f>AH88-AI88</f>
        <v>373743.40066666662</v>
      </c>
    </row>
    <row r="4" spans="1:40" x14ac:dyDescent="0.35">
      <c r="A4" s="20">
        <v>45073</v>
      </c>
      <c r="B4" s="21" t="s">
        <v>419</v>
      </c>
      <c r="C4" s="21" t="s">
        <v>460</v>
      </c>
      <c r="D4" s="44">
        <v>148486</v>
      </c>
      <c r="E4" s="44"/>
      <c r="F4" s="21">
        <v>100</v>
      </c>
      <c r="G4" s="21"/>
      <c r="H4" s="22">
        <v>55796</v>
      </c>
      <c r="I4" s="33">
        <v>0.54</v>
      </c>
      <c r="J4" s="24">
        <f>IFERROR(K4/H4,"")</f>
        <v>0.53519069467345326</v>
      </c>
      <c r="K4" s="22">
        <v>29861.5</v>
      </c>
      <c r="L4" s="21"/>
      <c r="M4" s="21">
        <v>6</v>
      </c>
      <c r="N4" s="21">
        <v>39</v>
      </c>
      <c r="O4" s="21">
        <v>47</v>
      </c>
      <c r="P4" s="21">
        <v>8</v>
      </c>
      <c r="Q4" s="21"/>
      <c r="R4" s="21"/>
      <c r="S4" s="21"/>
      <c r="T4" s="21"/>
      <c r="U4" s="25">
        <v>212.5</v>
      </c>
      <c r="V4" s="25">
        <f>H4*U4*I4/15</f>
        <v>426839.4</v>
      </c>
      <c r="W4" s="142">
        <v>255.64</v>
      </c>
      <c r="X4" s="25">
        <v>508939.57</v>
      </c>
      <c r="Y4" s="25">
        <f>F4*60</f>
        <v>6000</v>
      </c>
      <c r="Z4" s="25">
        <v>27408</v>
      </c>
      <c r="AA4" s="25">
        <v>0</v>
      </c>
      <c r="AB4" s="25">
        <v>2125</v>
      </c>
      <c r="AC4" s="25">
        <f>F4*38</f>
        <v>3800</v>
      </c>
      <c r="AD4" s="25">
        <f>F4*4.11</f>
        <v>411.00000000000006</v>
      </c>
      <c r="AE4" s="25">
        <v>1017.89</v>
      </c>
      <c r="AF4" s="25">
        <f>V4+Y4+Z4+AA4+AB4+AC4+AD4</f>
        <v>466583.4</v>
      </c>
      <c r="AG4" s="25">
        <f>IFERROR(IFERROR((H4*W4*J4/15)-AE4,""),"")</f>
        <v>507901.70066666661</v>
      </c>
      <c r="AH4" s="26">
        <f>IFERROR(AG4-AF4,"")</f>
        <v>41318.30066666659</v>
      </c>
      <c r="AI4" s="6">
        <f>IF(F4="",(G4/$F$88)*$AL$28,(F4/$F$88)*$AL$28)</f>
        <v>379.9855670103093</v>
      </c>
      <c r="AJ4" s="6">
        <f>(AH4-AI4)*70%</f>
        <v>28656.820569759398</v>
      </c>
      <c r="AL4" s="166" t="s">
        <v>749</v>
      </c>
      <c r="AM4" s="167">
        <f>AM3/AL3</f>
        <v>0.10762369362482241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  <c r="AA5" s="21"/>
      <c r="AB5" s="21"/>
      <c r="AC5" s="21"/>
      <c r="AD5" s="21"/>
      <c r="AE5" s="21"/>
      <c r="AF5" s="21"/>
      <c r="AG5" s="21"/>
      <c r="AH5" s="26">
        <f>IFERROR(AH4/F4,"")</f>
        <v>413.1830066666659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AA6" s="21"/>
      <c r="AB6" s="21"/>
      <c r="AC6" s="21"/>
      <c r="AD6" s="21"/>
      <c r="AE6" s="21"/>
      <c r="AF6" s="21"/>
      <c r="AG6" s="21"/>
      <c r="AH6" s="27">
        <f>IFERROR(AH4/AG4,"")</f>
        <v>8.1350979160795506E-2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</row>
    <row r="10" spans="1:40" x14ac:dyDescent="0.35">
      <c r="A10" s="20">
        <v>45073</v>
      </c>
      <c r="B10" s="21" t="s">
        <v>419</v>
      </c>
      <c r="C10" s="21" t="s">
        <v>538</v>
      </c>
      <c r="D10" s="44">
        <v>148488</v>
      </c>
      <c r="E10" s="44"/>
      <c r="F10" s="21"/>
      <c r="G10" s="21">
        <v>64</v>
      </c>
      <c r="H10" s="22">
        <v>24540</v>
      </c>
      <c r="I10" s="33">
        <v>0.5</v>
      </c>
      <c r="J10" s="24">
        <f>IFERROR(K10/H10,"")</f>
        <v>0.48626731866340667</v>
      </c>
      <c r="K10" s="22">
        <v>11933</v>
      </c>
      <c r="L10" s="21">
        <v>1</v>
      </c>
      <c r="M10" s="21">
        <v>42</v>
      </c>
      <c r="N10" s="21">
        <v>20</v>
      </c>
      <c r="O10" s="21">
        <v>1</v>
      </c>
      <c r="P10" s="21"/>
      <c r="Q10" s="21"/>
      <c r="R10" s="21"/>
      <c r="S10" s="21"/>
      <c r="T10" s="21"/>
      <c r="U10" s="25">
        <v>215</v>
      </c>
      <c r="V10" s="25">
        <f>H10*U10*I10/15</f>
        <v>175870</v>
      </c>
      <c r="W10" s="142">
        <v>261.22000000000003</v>
      </c>
      <c r="X10" s="25">
        <v>207809.74</v>
      </c>
      <c r="Y10" s="25">
        <f>G10*60</f>
        <v>3840</v>
      </c>
      <c r="Z10" s="143">
        <v>5966.54</v>
      </c>
      <c r="AA10" s="25">
        <v>0</v>
      </c>
      <c r="AB10" s="25">
        <v>1376</v>
      </c>
      <c r="AC10" s="25">
        <f>G10*35</f>
        <v>2240</v>
      </c>
      <c r="AD10" s="25">
        <f>IF(F10="",G10*4.11,F10*4.11)</f>
        <v>263.04000000000002</v>
      </c>
      <c r="AE10" s="25">
        <v>415.62</v>
      </c>
      <c r="AF10" s="25">
        <f>V10+Y10+Z10+AA10+AB10+AC10+AD10</f>
        <v>189555.58000000002</v>
      </c>
      <c r="AG10" s="25">
        <f>IFERROR(IFERROR((H10*W10*J10/15)-AE10,""),"")</f>
        <v>207393.59733333337</v>
      </c>
      <c r="AH10" s="26">
        <f>IFERROR(AG10-AF10,"")</f>
        <v>17838.017333333351</v>
      </c>
      <c r="AI10" s="6">
        <f>IF(F10="",(G10/$F$88)*$AL$28,(F10/$F$88)*$AL$28)</f>
        <v>243.19076288659795</v>
      </c>
      <c r="AJ10" s="6">
        <f>(AH10-AI10)*70%</f>
        <v>12316.378599312726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  <c r="AA11" s="21"/>
      <c r="AB11" s="21"/>
      <c r="AC11" s="21"/>
      <c r="AD11" s="21"/>
      <c r="AE11" s="21"/>
      <c r="AF11" s="21"/>
      <c r="AG11" s="21"/>
      <c r="AH11" s="26">
        <f>AH10/G10</f>
        <v>278.71902083333362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AA12" s="21"/>
      <c r="AB12" s="21"/>
      <c r="AC12" s="21"/>
      <c r="AD12" s="21"/>
      <c r="AE12" s="21"/>
      <c r="AF12" s="21"/>
      <c r="AG12" s="21"/>
      <c r="AH12" s="27">
        <f>IFERROR(AH10/AG10,"")</f>
        <v>8.6010453373173312E-2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</row>
    <row r="16" spans="1:40" x14ac:dyDescent="0.35">
      <c r="A16" s="20">
        <v>45073</v>
      </c>
      <c r="B16" s="21" t="s">
        <v>419</v>
      </c>
      <c r="C16" s="21" t="s">
        <v>257</v>
      </c>
      <c r="D16" s="44">
        <v>148487</v>
      </c>
      <c r="E16" s="44"/>
      <c r="F16" s="21"/>
      <c r="G16" s="21">
        <v>65</v>
      </c>
      <c r="H16" s="22">
        <v>21630.5</v>
      </c>
      <c r="I16" s="33">
        <v>0.5</v>
      </c>
      <c r="J16" s="24">
        <f>IFERROR(K16/H16,"")</f>
        <v>0.53144864889854604</v>
      </c>
      <c r="K16" s="22">
        <v>11495.5</v>
      </c>
      <c r="L16" s="21">
        <v>41</v>
      </c>
      <c r="M16" s="21">
        <v>23</v>
      </c>
      <c r="N16" s="21">
        <v>1</v>
      </c>
      <c r="O16" s="21"/>
      <c r="P16" s="21"/>
      <c r="Q16" s="21"/>
      <c r="R16" s="21"/>
      <c r="S16" s="21"/>
      <c r="T16" s="21"/>
      <c r="U16" s="25">
        <v>200</v>
      </c>
      <c r="V16" s="25">
        <f>H16*U16*I16/15</f>
        <v>144203.33333333334</v>
      </c>
      <c r="W16" s="142">
        <v>260.89</v>
      </c>
      <c r="X16" s="25">
        <v>199942.77</v>
      </c>
      <c r="Y16" s="25">
        <f>G16*60</f>
        <v>3900</v>
      </c>
      <c r="Z16" s="25">
        <v>12009.56</v>
      </c>
      <c r="AA16" s="25">
        <v>0</v>
      </c>
      <c r="AB16" s="25">
        <v>1300</v>
      </c>
      <c r="AC16" s="25">
        <f>G16*35</f>
        <v>2275</v>
      </c>
      <c r="AD16" s="25">
        <f>IF(F16="",G16*4.11,F16*4.11)</f>
        <v>267.15000000000003</v>
      </c>
      <c r="AE16" s="25">
        <v>399.89</v>
      </c>
      <c r="AF16" s="25">
        <f>V16+Y16+Z16+AA16+AB16+AC16+AD16</f>
        <v>163955.04333333333</v>
      </c>
      <c r="AG16" s="25">
        <f>IFERROR(IFERROR((H16*W16*J16/15)-AE16,""),"")</f>
        <v>199537.50966666662</v>
      </c>
      <c r="AH16" s="26">
        <f>IFERROR(AG16-AF16,"")</f>
        <v>35582.466333333286</v>
      </c>
      <c r="AI16" s="6">
        <f>IF(F16="",(G16/$F$88)*$AL$28,(F16/$F$88)*$AL$28)</f>
        <v>246.99061855670104</v>
      </c>
      <c r="AJ16" s="6">
        <f>(AH16-AI16)*70%</f>
        <v>24734.833000343609</v>
      </c>
      <c r="AL16">
        <f>F4+G4+F10+G10+F16+G16+F22+G22+F28+G28+F34+G34+F40+G40+F46+G46+F52+G52+F58+G58+F64+G64+F70+G70+F76+G76+F82+G82</f>
        <v>970</v>
      </c>
      <c r="AM16" s="50" t="s">
        <v>22</v>
      </c>
      <c r="AN16" t="s">
        <v>72</v>
      </c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  <c r="AA17" s="21"/>
      <c r="AB17" s="21"/>
      <c r="AC17" s="21"/>
      <c r="AD17" s="21"/>
      <c r="AE17" s="21"/>
      <c r="AF17" s="21"/>
      <c r="AG17" s="21"/>
      <c r="AH17" s="26">
        <f>AH16/G16</f>
        <v>547.42255897435825</v>
      </c>
      <c r="AL17" s="11">
        <f>AH4+AH10+AH16+AH22+AH28+AH34+AH40+AH46+AH52+AH58+AH64+AH70+AH76+AH82</f>
        <v>377429.26066666661</v>
      </c>
      <c r="AM17" s="11">
        <f>AL17*30%</f>
        <v>113228.77819999999</v>
      </c>
      <c r="AN17" s="2">
        <v>45112</v>
      </c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AA18" s="21"/>
      <c r="AB18" s="21"/>
      <c r="AC18" s="21"/>
      <c r="AD18" s="21"/>
      <c r="AE18" s="21"/>
      <c r="AF18" s="21"/>
      <c r="AG18" s="21"/>
      <c r="AH18" s="27">
        <f>IFERROR(AH16/AG16,"")</f>
        <v>0.1783246989138777</v>
      </c>
      <c r="AL18" s="11"/>
      <c r="AM18" s="11"/>
    </row>
    <row r="19" spans="1:40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1"/>
    </row>
    <row r="21" spans="1:40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80" t="s">
        <v>187</v>
      </c>
      <c r="AM21" s="211" t="s">
        <v>680</v>
      </c>
      <c r="AN21" s="191"/>
    </row>
    <row r="22" spans="1:40" x14ac:dyDescent="0.35">
      <c r="A22" s="20">
        <v>45074</v>
      </c>
      <c r="B22" s="21" t="s">
        <v>419</v>
      </c>
      <c r="C22" s="21" t="s">
        <v>319</v>
      </c>
      <c r="D22" s="44">
        <v>148485</v>
      </c>
      <c r="E22" s="44"/>
      <c r="F22" s="21">
        <v>50</v>
      </c>
      <c r="G22" s="21"/>
      <c r="H22" s="22">
        <v>31370</v>
      </c>
      <c r="I22" s="33">
        <v>0.54</v>
      </c>
      <c r="J22" s="24">
        <f>IFERROR(K22/H22,"")</f>
        <v>0.49012591648071407</v>
      </c>
      <c r="K22" s="22">
        <v>15375.25</v>
      </c>
      <c r="L22" s="21"/>
      <c r="M22" s="21">
        <v>13</v>
      </c>
      <c r="N22" s="21">
        <v>18</v>
      </c>
      <c r="O22" s="21">
        <v>15</v>
      </c>
      <c r="P22" s="21">
        <v>3</v>
      </c>
      <c r="Q22" s="21">
        <v>1</v>
      </c>
      <c r="R22" s="21"/>
      <c r="S22" s="21"/>
      <c r="T22" s="21"/>
      <c r="U22" s="25">
        <v>210</v>
      </c>
      <c r="V22" s="25">
        <f>H22*U22*I22/15</f>
        <v>237157.20000000004</v>
      </c>
      <c r="W22" s="142">
        <v>258.54000000000002</v>
      </c>
      <c r="X22" s="25">
        <v>265018.37</v>
      </c>
      <c r="Y22" s="25">
        <f>F22*60</f>
        <v>3000</v>
      </c>
      <c r="Z22" s="25">
        <v>7802.6</v>
      </c>
      <c r="AA22" s="25">
        <v>0</v>
      </c>
      <c r="AB22" s="25">
        <v>0</v>
      </c>
      <c r="AC22" s="25">
        <f>F22*38</f>
        <v>1900</v>
      </c>
      <c r="AD22" s="25">
        <f>IF(F22="",G22*4.11,F22*4.11)</f>
        <v>205.50000000000003</v>
      </c>
      <c r="AE22" s="25">
        <v>530.04</v>
      </c>
      <c r="AF22" s="25">
        <f>V22+Y22+Z22+AA22+AB22+AC22+AD22</f>
        <v>250065.30000000005</v>
      </c>
      <c r="AG22" s="25">
        <f>IFERROR(IFERROR((H22*W22*J22/15)-AE22,""),"")</f>
        <v>264477.76900000009</v>
      </c>
      <c r="AH22" s="26">
        <f>IFERROR(AG22-AF22,"")</f>
        <v>14412.469000000041</v>
      </c>
      <c r="AI22" s="6">
        <f>IF(F22="",(G22/$F$88)*$AL$28,(F22/$F$88)*$AL$28)</f>
        <v>189.99278350515465</v>
      </c>
      <c r="AJ22" s="6">
        <f>(AH22-AI22)*70%</f>
        <v>9955.7333515464197</v>
      </c>
      <c r="AL22" s="178">
        <f>35000-35000</f>
        <v>0</v>
      </c>
      <c r="AM22" t="s">
        <v>540</v>
      </c>
      <c r="AN22" s="174"/>
    </row>
    <row r="23" spans="1:4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  <c r="AA23" s="21"/>
      <c r="AB23" s="21"/>
      <c r="AC23" s="21"/>
      <c r="AD23" s="21"/>
      <c r="AE23" s="21"/>
      <c r="AF23" s="21"/>
      <c r="AG23" s="21"/>
      <c r="AH23" s="26">
        <f>AH22/F22</f>
        <v>288.24938000000083</v>
      </c>
      <c r="AL23" s="178">
        <f>17500-17500</f>
        <v>0</v>
      </c>
      <c r="AM23" s="6" t="s">
        <v>541</v>
      </c>
      <c r="AN23" s="174"/>
    </row>
    <row r="24" spans="1:40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AA24" s="21"/>
      <c r="AB24" s="21"/>
      <c r="AC24" s="21"/>
      <c r="AD24" s="21"/>
      <c r="AE24" s="21"/>
      <c r="AF24" s="21"/>
      <c r="AG24" s="21"/>
      <c r="AH24" s="27">
        <f>IFERROR(AH22/AG22,"")</f>
        <v>5.4494066002197847E-2</v>
      </c>
      <c r="AL24" s="178">
        <v>1732.88</v>
      </c>
      <c r="AM24" t="s">
        <v>536</v>
      </c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  <c r="AA25" s="21"/>
      <c r="AB25" s="21"/>
      <c r="AC25" s="21"/>
      <c r="AD25" s="21"/>
      <c r="AE25" s="21"/>
      <c r="AF25" s="21"/>
      <c r="AG25" s="21"/>
      <c r="AH25" s="24"/>
      <c r="AI25" s="47"/>
      <c r="AJ25" s="47"/>
      <c r="AL25" s="178">
        <v>1732.98</v>
      </c>
      <c r="AM25" t="s">
        <v>536</v>
      </c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  <c r="AA26" s="21"/>
      <c r="AB26" s="21"/>
      <c r="AC26" s="21"/>
      <c r="AD26" s="21"/>
      <c r="AE26" s="21"/>
      <c r="AF26" s="21"/>
      <c r="AG26" s="21"/>
      <c r="AH26" s="24"/>
      <c r="AI26" s="47"/>
      <c r="AJ26" s="47"/>
      <c r="AL26" s="205">
        <v>220</v>
      </c>
      <c r="AM26" t="s">
        <v>530</v>
      </c>
      <c r="AN26" s="174"/>
    </row>
    <row r="27" spans="1:40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  <c r="AL27" s="178"/>
      <c r="AN27" s="174"/>
    </row>
    <row r="28" spans="1:40" x14ac:dyDescent="0.35">
      <c r="A28" s="20">
        <v>45074</v>
      </c>
      <c r="B28" s="21" t="s">
        <v>419</v>
      </c>
      <c r="C28" s="21" t="s">
        <v>319</v>
      </c>
      <c r="D28" s="44">
        <v>148485</v>
      </c>
      <c r="E28" s="44"/>
      <c r="F28" s="21">
        <v>50</v>
      </c>
      <c r="G28" s="21"/>
      <c r="H28" s="22">
        <v>26740</v>
      </c>
      <c r="I28" s="33">
        <v>0.53</v>
      </c>
      <c r="J28" s="24">
        <f>IFERROR(K28/H28,"")</f>
        <v>0.574990650710546</v>
      </c>
      <c r="K28" s="22">
        <v>15375.25</v>
      </c>
      <c r="L28" s="21"/>
      <c r="M28" s="21">
        <v>13</v>
      </c>
      <c r="N28" s="21">
        <v>18</v>
      </c>
      <c r="O28" s="21">
        <v>14</v>
      </c>
      <c r="P28" s="21">
        <v>5</v>
      </c>
      <c r="Q28" s="21"/>
      <c r="R28" s="21"/>
      <c r="S28" s="21"/>
      <c r="T28" s="21"/>
      <c r="U28" s="25">
        <v>220</v>
      </c>
      <c r="V28" s="25">
        <f>H28*U28*I28/15</f>
        <v>207858.93333333332</v>
      </c>
      <c r="W28" s="142">
        <v>258.54000000000002</v>
      </c>
      <c r="X28" s="25">
        <v>265018.37</v>
      </c>
      <c r="Y28" s="25">
        <f>F28*60</f>
        <v>3000</v>
      </c>
      <c r="Z28" s="25">
        <v>7802.6</v>
      </c>
      <c r="AA28" s="25">
        <v>0</v>
      </c>
      <c r="AB28" s="25">
        <v>0</v>
      </c>
      <c r="AC28" s="25">
        <f>F28*38</f>
        <v>1900</v>
      </c>
      <c r="AD28" s="25">
        <f>IF(F28="",G28*4.11,F28*4.11)</f>
        <v>205.50000000000003</v>
      </c>
      <c r="AE28" s="25">
        <v>530.04</v>
      </c>
      <c r="AF28" s="25">
        <f>V28+Y28+Z28+AA28+AB28+AC28+AD28</f>
        <v>220767.03333333333</v>
      </c>
      <c r="AG28" s="25">
        <f>IFERROR(IFERROR((H28*W28*J28/15)-AE28,""),"")</f>
        <v>264477.76900000003</v>
      </c>
      <c r="AH28" s="26">
        <f>IFERROR(AG28-AF28,"")</f>
        <v>43710.735666666704</v>
      </c>
      <c r="AI28" s="6">
        <f>IF(F28="",(G28/$F$88)*$AL$28,(F28/$F$88)*$AL$28)</f>
        <v>189.99278350515465</v>
      </c>
      <c r="AJ28" s="6">
        <f>(AH28-AI28)*70%</f>
        <v>30464.520018213079</v>
      </c>
      <c r="AL28" s="214">
        <f>SUM(AL22:AL27)</f>
        <v>3685.86</v>
      </c>
      <c r="AM28" s="211" t="s">
        <v>682</v>
      </c>
      <c r="AN28" s="191"/>
    </row>
    <row r="29" spans="1:40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  <c r="AA29" s="21"/>
      <c r="AB29" s="21"/>
      <c r="AC29" s="21"/>
      <c r="AD29" s="21"/>
      <c r="AE29" s="21"/>
      <c r="AF29" s="21"/>
      <c r="AG29" s="21"/>
      <c r="AH29" s="26">
        <f>AH28/F28</f>
        <v>874.21471333333409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AA30" s="21"/>
      <c r="AB30" s="21"/>
      <c r="AC30" s="21"/>
      <c r="AD30" s="21"/>
      <c r="AE30" s="21"/>
      <c r="AF30" s="21"/>
      <c r="AG30" s="21"/>
      <c r="AH30" s="27">
        <f>IFERROR(AH28/AG28,"")</f>
        <v>0.165271870796319</v>
      </c>
      <c r="AL30" s="95">
        <f>AL17-AL28</f>
        <v>373743.40066666662</v>
      </c>
      <c r="AM30" s="11" t="s">
        <v>471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125">
        <f>AL30*30%</f>
        <v>112123.02019999998</v>
      </c>
      <c r="AM31" s="123" t="s">
        <v>499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8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8" x14ac:dyDescent="0.35">
      <c r="A34" s="20">
        <v>45075</v>
      </c>
      <c r="B34" s="21" t="s">
        <v>419</v>
      </c>
      <c r="C34" s="21" t="s">
        <v>538</v>
      </c>
      <c r="D34" s="44">
        <v>148482</v>
      </c>
      <c r="E34" s="44"/>
      <c r="F34" s="21"/>
      <c r="G34" s="21">
        <v>61</v>
      </c>
      <c r="H34" s="22">
        <v>26980</v>
      </c>
      <c r="I34" s="33">
        <v>0.5</v>
      </c>
      <c r="J34" s="24">
        <f>IFERROR(K34/H34,"")</f>
        <v>0.49445885841363973</v>
      </c>
      <c r="K34" s="22">
        <v>13340.5</v>
      </c>
      <c r="L34" s="21">
        <v>14</v>
      </c>
      <c r="M34" s="21">
        <v>27</v>
      </c>
      <c r="N34" s="21">
        <v>14</v>
      </c>
      <c r="O34" s="21">
        <v>6</v>
      </c>
      <c r="P34" s="21"/>
      <c r="Q34" s="21"/>
      <c r="R34" s="21"/>
      <c r="S34" s="21"/>
      <c r="T34" s="21"/>
      <c r="U34" s="25">
        <v>215</v>
      </c>
      <c r="V34" s="25">
        <f>H34*U34*I34/15</f>
        <v>193356.66666666666</v>
      </c>
      <c r="W34" s="142">
        <v>254.52</v>
      </c>
      <c r="X34" s="25">
        <v>226372.6</v>
      </c>
      <c r="Y34" s="25">
        <f>G34*60</f>
        <v>3660</v>
      </c>
      <c r="Z34" s="25">
        <v>6006.7</v>
      </c>
      <c r="AA34" s="25">
        <v>0</v>
      </c>
      <c r="AB34" s="25">
        <v>1311.5</v>
      </c>
      <c r="AC34" s="25">
        <f>G34*35</f>
        <v>2135</v>
      </c>
      <c r="AD34" s="25">
        <f>IF(F34="",G34*4.11,F34*4.11)</f>
        <v>250.71</v>
      </c>
      <c r="AE34" s="25">
        <v>452.74</v>
      </c>
      <c r="AF34" s="25">
        <f>V34+Y34+Z34+AA34+AB34+AC34+AD34</f>
        <v>206720.57666666666</v>
      </c>
      <c r="AG34" s="25">
        <f>IFERROR(IFERROR((H34*W34*J34/15)-AE34,""),"")</f>
        <v>225908.864</v>
      </c>
      <c r="AH34" s="26">
        <f>IFERROR(AG34-AF34,"")</f>
        <v>19188.287333333341</v>
      </c>
      <c r="AI34" s="6">
        <f>IF(F34="",(G34/$F$88)*$AL$28,(F34/$F$88)*$AL$28)</f>
        <v>231.79119587628867</v>
      </c>
      <c r="AJ34" s="6">
        <f>(AH34-AI34)*70%</f>
        <v>13269.547296219936</v>
      </c>
      <c r="AL34" t="s">
        <v>583</v>
      </c>
    </row>
    <row r="35" spans="1:38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  <c r="AA35" s="21"/>
      <c r="AB35" s="21"/>
      <c r="AC35" s="21"/>
      <c r="AD35" s="21"/>
      <c r="AE35" s="21"/>
      <c r="AF35" s="21"/>
      <c r="AG35" s="21"/>
      <c r="AH35" s="26">
        <f>AH34/G34</f>
        <v>314.56208743169412</v>
      </c>
    </row>
    <row r="36" spans="1:38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AA36" s="21"/>
      <c r="AB36" s="21"/>
      <c r="AC36" s="21"/>
      <c r="AD36" s="21"/>
      <c r="AE36" s="21"/>
      <c r="AF36" s="21"/>
      <c r="AG36" s="21"/>
      <c r="AH36" s="27">
        <f>IFERROR(AH34/AG34,"")</f>
        <v>8.4938178137770382E-2</v>
      </c>
    </row>
    <row r="37" spans="1:38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8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8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8" x14ac:dyDescent="0.35">
      <c r="A40" s="20">
        <v>45075</v>
      </c>
      <c r="B40" s="21" t="s">
        <v>419</v>
      </c>
      <c r="C40" s="21" t="s">
        <v>538</v>
      </c>
      <c r="D40" s="44">
        <v>148481</v>
      </c>
      <c r="E40" s="44"/>
      <c r="F40" s="21"/>
      <c r="G40" s="21">
        <v>61</v>
      </c>
      <c r="H40" s="22">
        <v>25440</v>
      </c>
      <c r="I40" s="33">
        <v>0.5</v>
      </c>
      <c r="J40" s="24">
        <f>IFERROR(K40/H40,"")</f>
        <v>0.49318003144654088</v>
      </c>
      <c r="K40" s="22">
        <v>12546.5</v>
      </c>
      <c r="L40" s="21">
        <v>9</v>
      </c>
      <c r="M40" s="21">
        <v>47</v>
      </c>
      <c r="N40" s="21">
        <v>5</v>
      </c>
      <c r="O40" s="21"/>
      <c r="P40" s="21"/>
      <c r="Q40" s="21"/>
      <c r="R40" s="21"/>
      <c r="S40" s="21"/>
      <c r="T40" s="21"/>
      <c r="U40" s="25">
        <v>210</v>
      </c>
      <c r="V40" s="25">
        <f>H40*U40*I40/15</f>
        <v>178080</v>
      </c>
      <c r="W40" s="142">
        <v>258.58</v>
      </c>
      <c r="X40" s="25">
        <v>216284.94</v>
      </c>
      <c r="Y40" s="25">
        <f>G40*60</f>
        <v>3660</v>
      </c>
      <c r="Z40" s="25">
        <v>6006.7</v>
      </c>
      <c r="AA40" s="25">
        <v>0</v>
      </c>
      <c r="AB40" s="25">
        <v>1311.5</v>
      </c>
      <c r="AC40" s="25">
        <f>G40*35</f>
        <v>2135</v>
      </c>
      <c r="AD40" s="25">
        <f>IF(F40="",G40*4.11,F40*4.11)</f>
        <v>250.71</v>
      </c>
      <c r="AE40" s="25">
        <v>432.57</v>
      </c>
      <c r="AF40" s="25">
        <f>V40+Y40+Z40+AA40+AB40+AC40+AD40</f>
        <v>191443.91</v>
      </c>
      <c r="AG40" s="25">
        <f>IFERROR(IFERROR((H40*W40*J40/15)-AE40,""),"")</f>
        <v>215852.36133333331</v>
      </c>
      <c r="AH40" s="26">
        <f>IFERROR(AG40-AF40,"")</f>
        <v>24408.451333333302</v>
      </c>
      <c r="AI40" s="6">
        <f>IF(F40="",(G40/$F$88)*$AL$28,(F40/$F$88)*$AL$28)</f>
        <v>231.79119587628867</v>
      </c>
      <c r="AJ40" s="6">
        <f>(AH40-AI40)*70%</f>
        <v>16923.662096219909</v>
      </c>
    </row>
    <row r="41" spans="1:38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  <c r="AA41" s="21"/>
      <c r="AB41" s="21"/>
      <c r="AC41" s="21"/>
      <c r="AD41" s="21"/>
      <c r="AE41" s="21"/>
      <c r="AF41" s="21"/>
      <c r="AG41" s="21"/>
      <c r="AH41" s="26">
        <f>AH40/G40</f>
        <v>400.13854644808691</v>
      </c>
    </row>
    <row r="42" spans="1:38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AA42" s="21"/>
      <c r="AB42" s="21"/>
      <c r="AC42" s="21"/>
      <c r="AD42" s="21"/>
      <c r="AE42" s="21"/>
      <c r="AF42" s="21"/>
      <c r="AG42" s="21"/>
      <c r="AH42" s="27">
        <f>IFERROR(AH40/AG40,"")</f>
        <v>0.11307938065889479</v>
      </c>
    </row>
    <row r="43" spans="1:38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8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8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8" x14ac:dyDescent="0.35">
      <c r="A46" s="20">
        <v>45075</v>
      </c>
      <c r="B46" s="21" t="s">
        <v>419</v>
      </c>
      <c r="C46" s="21" t="s">
        <v>538</v>
      </c>
      <c r="D46" s="44">
        <v>148484</v>
      </c>
      <c r="E46" s="44"/>
      <c r="F46" s="21"/>
      <c r="G46" s="21">
        <v>64</v>
      </c>
      <c r="H46" s="22">
        <v>23360</v>
      </c>
      <c r="I46" s="33">
        <v>0.5</v>
      </c>
      <c r="J46" s="24">
        <f>IFERROR(K46/H46,"")</f>
        <v>0.51406249999999998</v>
      </c>
      <c r="K46" s="22">
        <v>12008.5</v>
      </c>
      <c r="L46" s="21">
        <v>7</v>
      </c>
      <c r="M46" s="21">
        <v>31</v>
      </c>
      <c r="N46" s="21">
        <v>22</v>
      </c>
      <c r="O46" s="21">
        <v>4</v>
      </c>
      <c r="P46" s="21"/>
      <c r="Q46" s="21"/>
      <c r="R46" s="21"/>
      <c r="S46" s="21"/>
      <c r="T46" s="21"/>
      <c r="U46" s="25">
        <v>210</v>
      </c>
      <c r="V46" s="25">
        <f>H46*U46*I46/15</f>
        <v>163520</v>
      </c>
      <c r="W46" s="142">
        <v>254.77</v>
      </c>
      <c r="X46" s="25">
        <v>203965.17</v>
      </c>
      <c r="Y46" s="25">
        <f>G46*60</f>
        <v>3840</v>
      </c>
      <c r="Z46" s="25">
        <v>6831.85</v>
      </c>
      <c r="AA46" s="25">
        <v>0</v>
      </c>
      <c r="AB46" s="25">
        <v>1344</v>
      </c>
      <c r="AC46" s="25">
        <f>G46*35</f>
        <v>2240</v>
      </c>
      <c r="AD46" s="25">
        <f>IF(F46="",G46*4.11,F46*4.11)</f>
        <v>263.04000000000002</v>
      </c>
      <c r="AE46" s="25">
        <v>407.92</v>
      </c>
      <c r="AF46" s="25">
        <f>V46+Y46+Z46+AA46+AB46+AC46+AD46</f>
        <v>178038.89</v>
      </c>
      <c r="AG46" s="25">
        <f>IFERROR(IFERROR((H46*W46*J46/15)-AE46,""),"")</f>
        <v>203552.44966666665</v>
      </c>
      <c r="AH46" s="26">
        <f>IFERROR(AG46-AF46,"")</f>
        <v>25513.559666666639</v>
      </c>
      <c r="AI46" s="6">
        <f>IF(F46="",(G46/$F$88)*$AL$28,(F46/$F$88)*$AL$28)</f>
        <v>243.19076288659795</v>
      </c>
      <c r="AJ46" s="6">
        <f>(AH46-AI46)*70%</f>
        <v>17689.258232646025</v>
      </c>
    </row>
    <row r="47" spans="1:38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  <c r="AA47" s="21"/>
      <c r="AB47" s="21"/>
      <c r="AC47" s="21"/>
      <c r="AD47" s="21"/>
      <c r="AE47" s="21"/>
      <c r="AF47" s="21"/>
      <c r="AG47" s="21"/>
      <c r="AH47" s="26">
        <f>AH46/G46</f>
        <v>398.64936979166623</v>
      </c>
    </row>
    <row r="48" spans="1:38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AA48" s="21"/>
      <c r="AB48" s="21"/>
      <c r="AC48" s="21"/>
      <c r="AD48" s="21"/>
      <c r="AE48" s="21"/>
      <c r="AF48" s="21"/>
      <c r="AG48" s="21"/>
      <c r="AH48" s="27">
        <f>IFERROR(AH46/AG46,"")</f>
        <v>0.12534145233057684</v>
      </c>
    </row>
    <row r="49" spans="1:36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6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6" x14ac:dyDescent="0.35">
      <c r="A52" s="20">
        <v>45075</v>
      </c>
      <c r="B52" s="21" t="s">
        <v>419</v>
      </c>
      <c r="C52" s="21" t="s">
        <v>538</v>
      </c>
      <c r="D52" s="44">
        <v>148483</v>
      </c>
      <c r="E52" s="44"/>
      <c r="F52" s="21"/>
      <c r="G52" s="21">
        <v>65</v>
      </c>
      <c r="H52" s="22">
        <v>22100</v>
      </c>
      <c r="I52" s="33">
        <v>0.5</v>
      </c>
      <c r="J52" s="24">
        <f>IFERROR(K52/H52,"")</f>
        <v>0.4873529411764706</v>
      </c>
      <c r="K52" s="22">
        <v>10770.5</v>
      </c>
      <c r="L52" s="21">
        <v>17</v>
      </c>
      <c r="M52" s="21">
        <v>38</v>
      </c>
      <c r="N52" s="21">
        <v>8</v>
      </c>
      <c r="O52" s="21">
        <v>2</v>
      </c>
      <c r="P52" s="21"/>
      <c r="Q52" s="21"/>
      <c r="R52" s="21"/>
      <c r="S52" s="21"/>
      <c r="T52" s="21"/>
      <c r="U52" s="25">
        <v>195.3</v>
      </c>
      <c r="V52" s="25">
        <f>H52*U52*I52/15</f>
        <v>143871</v>
      </c>
      <c r="W52" s="142">
        <v>253.6</v>
      </c>
      <c r="X52" s="25">
        <v>182089.04</v>
      </c>
      <c r="Y52" s="25">
        <f>G52*60</f>
        <v>3900</v>
      </c>
      <c r="Z52" s="25">
        <v>6831.85</v>
      </c>
      <c r="AA52" s="25">
        <v>0</v>
      </c>
      <c r="AB52" s="25">
        <v>1269.45</v>
      </c>
      <c r="AC52" s="25">
        <f>G52*35</f>
        <v>2275</v>
      </c>
      <c r="AD52" s="25">
        <f>IF(F52="",G52*4.11,F52*4.11)</f>
        <v>267.15000000000003</v>
      </c>
      <c r="AE52" s="25">
        <v>364.18</v>
      </c>
      <c r="AF52" s="25">
        <f>V52+Y52+Z52+AA52+AB52+AC52+AD52</f>
        <v>158414.45000000001</v>
      </c>
      <c r="AG52" s="25">
        <f>IFERROR(IFERROR((H52*W52*J52/15)-AE52,""),"")</f>
        <v>181729.07333333336</v>
      </c>
      <c r="AH52" s="26">
        <f>IFERROR(AG52-AF52,"")</f>
        <v>23314.623333333351</v>
      </c>
      <c r="AI52" s="6">
        <f>IF(F52="",(G52/$F$88)*$AL$28,(F52/$F$88)*$AL$28)</f>
        <v>246.99061855670104</v>
      </c>
      <c r="AJ52" s="6">
        <f>(AH52-AI52)*70%</f>
        <v>16147.342900343654</v>
      </c>
    </row>
    <row r="53" spans="1:36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  <c r="AA53" s="21"/>
      <c r="AB53" s="21"/>
      <c r="AC53" s="21"/>
      <c r="AD53" s="21"/>
      <c r="AE53" s="21"/>
      <c r="AF53" s="21"/>
      <c r="AG53" s="21"/>
      <c r="AH53" s="26">
        <f>AH52/G52</f>
        <v>358.68651282051309</v>
      </c>
    </row>
    <row r="54" spans="1:36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AA54" s="21"/>
      <c r="AB54" s="21"/>
      <c r="AC54" s="21"/>
      <c r="AD54" s="21"/>
      <c r="AE54" s="21"/>
      <c r="AF54" s="21"/>
      <c r="AG54" s="21"/>
      <c r="AH54" s="27">
        <f>IFERROR(AH52/AG52,"")</f>
        <v>0.12829330445420206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6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36" x14ac:dyDescent="0.35">
      <c r="A58" s="20">
        <v>45076</v>
      </c>
      <c r="B58" s="21" t="s">
        <v>419</v>
      </c>
      <c r="C58" s="21" t="s">
        <v>224</v>
      </c>
      <c r="D58" s="44">
        <v>148478</v>
      </c>
      <c r="E58" s="44"/>
      <c r="F58" s="21"/>
      <c r="G58" s="21">
        <v>60</v>
      </c>
      <c r="H58" s="22">
        <v>22960</v>
      </c>
      <c r="I58" s="33">
        <v>0.5</v>
      </c>
      <c r="J58" s="24">
        <f>IFERROR(K58/H58,"")</f>
        <v>0.51134581881533103</v>
      </c>
      <c r="K58" s="22">
        <v>11740.5</v>
      </c>
      <c r="L58" s="21">
        <v>13</v>
      </c>
      <c r="M58" s="21">
        <v>30</v>
      </c>
      <c r="N58" s="21">
        <v>17</v>
      </c>
      <c r="O58" s="21"/>
      <c r="P58" s="21"/>
      <c r="Q58" s="21"/>
      <c r="R58" s="21"/>
      <c r="S58" s="21"/>
      <c r="T58" s="21"/>
      <c r="U58" s="25">
        <v>220</v>
      </c>
      <c r="V58" s="25">
        <f>H58*U58*I58/15</f>
        <v>168373.33333333334</v>
      </c>
      <c r="W58" s="142">
        <v>254.57</v>
      </c>
      <c r="X58" s="25">
        <v>199257.78</v>
      </c>
      <c r="Y58" s="25">
        <f>G58*60</f>
        <v>3600</v>
      </c>
      <c r="Z58" s="25">
        <v>7254.96</v>
      </c>
      <c r="AA58" s="25">
        <v>0</v>
      </c>
      <c r="AB58" s="25">
        <v>1320</v>
      </c>
      <c r="AC58" s="25">
        <f>G58*35</f>
        <v>2100</v>
      </c>
      <c r="AD58" s="25">
        <f>IF(F58="",G58*4.11,F58*4.11)</f>
        <v>246.60000000000002</v>
      </c>
      <c r="AE58" s="25">
        <v>398.5</v>
      </c>
      <c r="AF58" s="25">
        <f>V58+Y58+Z58+AA58+AB58+AC58+AD58</f>
        <v>182894.89333333334</v>
      </c>
      <c r="AG58" s="25">
        <f>IFERROR(IFERROR((H58*W58*J58/15)-AE58,""),"")</f>
        <v>198853.43900000004</v>
      </c>
      <c r="AH58" s="26">
        <f>IFERROR(AG58-AF58,"")</f>
        <v>15958.545666666701</v>
      </c>
      <c r="AI58" s="6">
        <f>IF(F58="",(G58/$F$88)*$AL$28,(F58/$F$88)*$AL$28)</f>
        <v>227.99134020618558</v>
      </c>
      <c r="AJ58" s="6">
        <f>(AH58-AI58)*70%</f>
        <v>11011.38802852236</v>
      </c>
    </row>
    <row r="59" spans="1:36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  <c r="AA59" s="21"/>
      <c r="AB59" s="21"/>
      <c r="AC59" s="21"/>
      <c r="AD59" s="21"/>
      <c r="AE59" s="21"/>
      <c r="AF59" s="21"/>
      <c r="AG59" s="21"/>
      <c r="AH59" s="26">
        <f>AH58/G58</f>
        <v>265.97576111111169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AA60" s="21"/>
      <c r="AB60" s="21"/>
      <c r="AC60" s="21"/>
      <c r="AD60" s="21"/>
      <c r="AE60" s="21"/>
      <c r="AF60" s="21"/>
      <c r="AG60" s="21"/>
      <c r="AH60" s="27">
        <f>IFERROR(AH58/AG58,"")</f>
        <v>8.0252801997891005E-2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45077</v>
      </c>
      <c r="B64" s="21" t="s">
        <v>419</v>
      </c>
      <c r="C64" s="21" t="s">
        <v>542</v>
      </c>
      <c r="D64" s="44">
        <v>148474</v>
      </c>
      <c r="E64" s="44"/>
      <c r="F64" s="21"/>
      <c r="G64" s="21">
        <v>130</v>
      </c>
      <c r="H64" s="22">
        <v>44020</v>
      </c>
      <c r="I64" s="33">
        <v>0.5</v>
      </c>
      <c r="J64" s="24">
        <f>IFERROR(K64/H64,"")</f>
        <v>0.49813721035892777</v>
      </c>
      <c r="K64" s="22">
        <v>21928</v>
      </c>
      <c r="L64" s="21">
        <v>26</v>
      </c>
      <c r="M64" s="21">
        <v>92</v>
      </c>
      <c r="N64" s="21">
        <v>11</v>
      </c>
      <c r="O64" s="21">
        <v>1</v>
      </c>
      <c r="P64" s="21"/>
      <c r="Q64" s="21"/>
      <c r="R64" s="21"/>
      <c r="S64" s="21"/>
      <c r="T64" s="21"/>
      <c r="U64" s="25">
        <v>195.3</v>
      </c>
      <c r="V64" s="25">
        <f>H64*U64*I64/15</f>
        <v>286570.2</v>
      </c>
      <c r="W64" s="142">
        <v>247.41</v>
      </c>
      <c r="X64" s="25">
        <v>361676.27</v>
      </c>
      <c r="Y64" s="25">
        <f>G64*60</f>
        <v>7800</v>
      </c>
      <c r="Z64" s="25">
        <v>20865.12</v>
      </c>
      <c r="AA64" s="25">
        <v>0</v>
      </c>
      <c r="AB64" s="25">
        <v>2538.9</v>
      </c>
      <c r="AC64" s="25">
        <f>G64*35</f>
        <v>4550</v>
      </c>
      <c r="AD64" s="25">
        <f>IF(F64="",G64*4.11,F64*4.11)</f>
        <v>534.30000000000007</v>
      </c>
      <c r="AE64" s="25">
        <v>723.35</v>
      </c>
      <c r="AF64" s="25">
        <f>V64+Y64+Z64+AA64+AB64+AC64+AD64</f>
        <v>322858.52</v>
      </c>
      <c r="AG64" s="25">
        <f>IFERROR(IFERROR((H64*W64*J64/15)-AE64,""),"")</f>
        <v>360957.08199999999</v>
      </c>
      <c r="AH64" s="26">
        <f>IFERROR(AG64-AF64,"")</f>
        <v>38098.561999999976</v>
      </c>
      <c r="AI64" s="6">
        <f>IF(F64="",(G64/$F$88)*$AL$28,(F64/$F$88)*$AL$28)</f>
        <v>493.98123711340207</v>
      </c>
      <c r="AJ64" s="6">
        <f>(AH64-AI64)*70%</f>
        <v>26323.206534020599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  <c r="AA65" s="21"/>
      <c r="AB65" s="21"/>
      <c r="AC65" s="21"/>
      <c r="AD65" s="21"/>
      <c r="AE65" s="21"/>
      <c r="AF65" s="21"/>
      <c r="AG65" s="21"/>
      <c r="AH65" s="26">
        <f>AH64/G64</f>
        <v>293.06586153846138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AA66" s="21"/>
      <c r="AB66" s="21"/>
      <c r="AC66" s="21"/>
      <c r="AD66" s="21"/>
      <c r="AE66" s="21"/>
      <c r="AF66" s="21"/>
      <c r="AG66" s="21"/>
      <c r="AH66" s="27">
        <f>IFERROR(AH64/AG64,"")</f>
        <v>0.10554873113696098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ht="1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AA68" s="21"/>
      <c r="AB68" s="21"/>
      <c r="AC68" s="21"/>
      <c r="AD68" s="21"/>
      <c r="AE68" s="21"/>
      <c r="AF68" s="21"/>
      <c r="AG68" s="21"/>
      <c r="AH68" s="47"/>
      <c r="AI68" s="47"/>
      <c r="AJ68" s="47"/>
    </row>
    <row r="69" spans="1:36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258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20">
        <v>45077</v>
      </c>
      <c r="B70" s="21" t="s">
        <v>419</v>
      </c>
      <c r="C70" s="21" t="s">
        <v>257</v>
      </c>
      <c r="D70" s="44">
        <v>148473</v>
      </c>
      <c r="E70" s="44"/>
      <c r="F70" s="21">
        <v>77</v>
      </c>
      <c r="G70" s="21"/>
      <c r="H70" s="22">
        <v>46046</v>
      </c>
      <c r="I70" s="33">
        <v>0.54</v>
      </c>
      <c r="J70" s="24">
        <f>IFERROR(K70/H70,"")</f>
        <v>0.54459670764018586</v>
      </c>
      <c r="K70" s="22">
        <v>25076.5</v>
      </c>
      <c r="L70" s="21"/>
      <c r="M70" s="21">
        <v>1</v>
      </c>
      <c r="N70" s="21">
        <v>29</v>
      </c>
      <c r="O70" s="21">
        <v>40</v>
      </c>
      <c r="P70" s="21">
        <v>6</v>
      </c>
      <c r="Q70" s="21">
        <v>1</v>
      </c>
      <c r="R70" s="21"/>
      <c r="S70" s="21"/>
      <c r="T70" s="21"/>
      <c r="U70" s="25">
        <v>210</v>
      </c>
      <c r="V70" s="25">
        <f>H70*U70*I70/15</f>
        <v>348107.76</v>
      </c>
      <c r="W70" s="142">
        <v>241.76</v>
      </c>
      <c r="X70" s="25">
        <v>404178.26</v>
      </c>
      <c r="Y70" s="25">
        <f>F70*60</f>
        <v>4620</v>
      </c>
      <c r="Z70" s="25">
        <v>18498.169999999998</v>
      </c>
      <c r="AA70" s="25">
        <v>0</v>
      </c>
      <c r="AB70" s="25">
        <v>1617</v>
      </c>
      <c r="AC70" s="25">
        <f>F70*38</f>
        <v>2926</v>
      </c>
      <c r="AD70" s="25">
        <f>IF(F70="",G70*4.11,F70*4.11)</f>
        <v>316.47000000000003</v>
      </c>
      <c r="AE70" s="25">
        <v>808.35</v>
      </c>
      <c r="AF70" s="25">
        <f>V70+Y70+Z70+AA70+AB70+AC70+AD70</f>
        <v>376085.39999999997</v>
      </c>
      <c r="AG70" s="25">
        <f>IFERROR(IFERROR((H70*W70*J70/15)-AE70,""),"")</f>
        <v>403357.95933333325</v>
      </c>
      <c r="AH70" s="26">
        <f>IFERROR(AG70-AF70,"")</f>
        <v>27272.55933333328</v>
      </c>
      <c r="AI70" s="6">
        <f>IF(F70="",(G70/$F$88)*$AL$28,(F70/$F$88)*$AL$28)</f>
        <v>292.58888659793814</v>
      </c>
      <c r="AJ70" s="6">
        <f>(AH70-AI70)*70%</f>
        <v>18885.979312714739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  <c r="AA71" s="21"/>
      <c r="AB71" s="21"/>
      <c r="AC71" s="21"/>
      <c r="AD71" s="21"/>
      <c r="AE71" s="21"/>
      <c r="AF71" s="21"/>
      <c r="AG71" s="21"/>
      <c r="AH71" s="26">
        <f>AH70/F70</f>
        <v>354.18908225108157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AA72" s="21"/>
      <c r="AB72" s="21"/>
      <c r="AC72" s="21"/>
      <c r="AD72" s="21"/>
      <c r="AE72" s="21"/>
      <c r="AF72" s="21"/>
      <c r="AG72" s="21"/>
      <c r="AH72" s="27">
        <f>IFERROR(AH70/AG70,"")</f>
        <v>6.7613787461660968E-2</v>
      </c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AA73" s="21"/>
      <c r="AB73" s="21"/>
      <c r="AC73" s="21"/>
      <c r="AD73" s="21"/>
      <c r="AE73" s="21"/>
      <c r="AF73" s="21"/>
      <c r="AG73" s="21"/>
      <c r="AH73" s="47"/>
      <c r="AI73" s="47"/>
      <c r="AJ73" s="47"/>
    </row>
    <row r="74" spans="1:36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AA74" s="21"/>
      <c r="AB74" s="21"/>
      <c r="AC74" s="21"/>
      <c r="AD74" s="21"/>
      <c r="AE74" s="21"/>
      <c r="AF74" s="21"/>
      <c r="AG74" s="21"/>
      <c r="AH74" s="47"/>
      <c r="AI74" s="47"/>
      <c r="AJ74" s="47"/>
    </row>
    <row r="75" spans="1:36" x14ac:dyDescent="0.35">
      <c r="A75" s="14" t="s">
        <v>1</v>
      </c>
      <c r="B75" s="14" t="s">
        <v>2</v>
      </c>
      <c r="C75" s="14" t="s">
        <v>110</v>
      </c>
      <c r="D75" s="14" t="s">
        <v>66</v>
      </c>
      <c r="E75" s="14"/>
      <c r="F75" s="14" t="s">
        <v>137</v>
      </c>
      <c r="G75" s="14" t="s">
        <v>138</v>
      </c>
      <c r="H75" s="14" t="s">
        <v>4</v>
      </c>
      <c r="I75" s="14" t="s">
        <v>5</v>
      </c>
      <c r="J75" s="14" t="s">
        <v>6</v>
      </c>
      <c r="K75" s="14" t="s">
        <v>7</v>
      </c>
      <c r="L75" s="14" t="s">
        <v>279</v>
      </c>
      <c r="M75" s="14" t="s">
        <v>280</v>
      </c>
      <c r="N75" s="14" t="s">
        <v>281</v>
      </c>
      <c r="O75" s="14" t="s">
        <v>282</v>
      </c>
      <c r="P75" s="14" t="s">
        <v>283</v>
      </c>
      <c r="Q75" s="14" t="s">
        <v>284</v>
      </c>
      <c r="R75" s="14" t="s">
        <v>904</v>
      </c>
      <c r="S75" s="14" t="s">
        <v>285</v>
      </c>
      <c r="T75" s="14" t="s">
        <v>289</v>
      </c>
      <c r="U75" s="14" t="s">
        <v>8</v>
      </c>
      <c r="V75" s="14" t="s">
        <v>9</v>
      </c>
      <c r="W75" s="14" t="s">
        <v>10</v>
      </c>
      <c r="X75" s="14" t="s">
        <v>100</v>
      </c>
      <c r="Y75" s="14" t="s">
        <v>106</v>
      </c>
      <c r="Z75" s="14" t="s">
        <v>12</v>
      </c>
      <c r="AA75" s="14" t="s">
        <v>258</v>
      </c>
      <c r="AB75" s="14" t="s">
        <v>13</v>
      </c>
      <c r="AC75" s="14" t="s">
        <v>74</v>
      </c>
      <c r="AD75" s="14" t="s">
        <v>21</v>
      </c>
      <c r="AE75" s="14" t="s">
        <v>14</v>
      </c>
      <c r="AF75" s="14" t="s">
        <v>15</v>
      </c>
      <c r="AG75" s="14" t="s">
        <v>16</v>
      </c>
      <c r="AH75" s="15" t="s">
        <v>17</v>
      </c>
      <c r="AI75" s="14" t="s">
        <v>679</v>
      </c>
      <c r="AJ75" s="14" t="s">
        <v>678</v>
      </c>
    </row>
    <row r="76" spans="1:36" x14ac:dyDescent="0.35">
      <c r="A76" s="20">
        <v>45077</v>
      </c>
      <c r="B76" s="21" t="s">
        <v>419</v>
      </c>
      <c r="C76" s="21" t="s">
        <v>257</v>
      </c>
      <c r="D76" s="44">
        <v>148849</v>
      </c>
      <c r="E76" s="44"/>
      <c r="F76" s="21">
        <v>23</v>
      </c>
      <c r="G76" s="21"/>
      <c r="H76" s="22">
        <v>13754</v>
      </c>
      <c r="I76" s="33">
        <v>0.54</v>
      </c>
      <c r="J76" s="24">
        <f>IFERROR(K76/H76,"")</f>
        <v>0.52104842227715575</v>
      </c>
      <c r="K76" s="22">
        <v>7166.5</v>
      </c>
      <c r="L76" s="21"/>
      <c r="M76" s="21"/>
      <c r="N76" s="21">
        <v>10</v>
      </c>
      <c r="O76" s="21">
        <v>12</v>
      </c>
      <c r="P76" s="21">
        <v>1</v>
      </c>
      <c r="Q76" s="21"/>
      <c r="R76" s="21"/>
      <c r="S76" s="21"/>
      <c r="T76" s="21"/>
      <c r="U76" s="25">
        <v>210</v>
      </c>
      <c r="V76" s="25">
        <f>H76*U76*I76/15</f>
        <v>103980.24</v>
      </c>
      <c r="W76" s="142">
        <v>242.78</v>
      </c>
      <c r="X76" s="25">
        <v>115990.41</v>
      </c>
      <c r="Y76" s="25">
        <f>F76*60</f>
        <v>1380</v>
      </c>
      <c r="Z76" s="25">
        <v>5525.29</v>
      </c>
      <c r="AA76" s="25">
        <v>0</v>
      </c>
      <c r="AB76" s="25">
        <v>483</v>
      </c>
      <c r="AC76" s="25">
        <f>F76*38</f>
        <v>874</v>
      </c>
      <c r="AD76" s="25">
        <f>IF(F76="",G76*4.11,F76*4.11)</f>
        <v>94.53</v>
      </c>
      <c r="AE76" s="25">
        <v>231.98</v>
      </c>
      <c r="AF76" s="25">
        <f>V76+Y76+Z76+AA76+AB76+AC76+AD76</f>
        <v>112337.06</v>
      </c>
      <c r="AG76" s="25">
        <f>IFERROR(IFERROR((H76*W76*J76/15)-AE76,""),"")</f>
        <v>115760.21133333334</v>
      </c>
      <c r="AH76" s="26">
        <f>IFERROR(AG76-AF76,"")</f>
        <v>3423.1513333333423</v>
      </c>
      <c r="AI76" s="6">
        <f>IF(F76="",(G76/$F$88)*$AL$28,(F76/$F$88)*$AL$28)</f>
        <v>87.39668041237114</v>
      </c>
      <c r="AJ76" s="6">
        <f>(AH76-AI76)*70%</f>
        <v>2335.0282570446798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  <c r="AA77" s="21"/>
      <c r="AB77" s="21"/>
      <c r="AC77" s="21"/>
      <c r="AD77" s="21"/>
      <c r="AE77" s="21"/>
      <c r="AF77" s="21"/>
      <c r="AG77" s="21"/>
      <c r="AH77" s="26">
        <f>AH76/F76</f>
        <v>148.83266666666705</v>
      </c>
    </row>
    <row r="78" spans="1:36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AA78" s="21"/>
      <c r="AB78" s="21"/>
      <c r="AC78" s="21"/>
      <c r="AD78" s="21"/>
      <c r="AE78" s="21"/>
      <c r="AF78" s="21"/>
      <c r="AG78" s="21"/>
      <c r="AH78" s="27">
        <f>IFERROR(AH76/AG76,"")</f>
        <v>2.9571052902420198E-2</v>
      </c>
    </row>
    <row r="79" spans="1:36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AA79" s="21"/>
      <c r="AB79" s="21"/>
      <c r="AC79" s="21"/>
      <c r="AD79" s="21"/>
      <c r="AE79" s="21"/>
      <c r="AF79" s="21"/>
      <c r="AG79" s="21"/>
      <c r="AH79" s="47"/>
      <c r="AI79" s="47"/>
      <c r="AJ79" s="47"/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AA80" s="21"/>
      <c r="AB80" s="21"/>
      <c r="AC80" s="21"/>
      <c r="AD80" s="21"/>
      <c r="AE80" s="21"/>
      <c r="AF80" s="21"/>
      <c r="AG80" s="21"/>
      <c r="AH80" s="47"/>
      <c r="AI80" s="47"/>
      <c r="AJ80" s="47"/>
    </row>
    <row r="81" spans="1:36" x14ac:dyDescent="0.35">
      <c r="A81" s="14" t="s">
        <v>1</v>
      </c>
      <c r="B81" s="14" t="s">
        <v>2</v>
      </c>
      <c r="C81" s="14" t="s">
        <v>110</v>
      </c>
      <c r="D81" s="14" t="s">
        <v>66</v>
      </c>
      <c r="E81" s="14"/>
      <c r="F81" s="14" t="s">
        <v>137</v>
      </c>
      <c r="G81" s="14" t="s">
        <v>138</v>
      </c>
      <c r="H81" s="14" t="s">
        <v>4</v>
      </c>
      <c r="I81" s="14" t="s">
        <v>5</v>
      </c>
      <c r="J81" s="14" t="s">
        <v>6</v>
      </c>
      <c r="K81" s="14" t="s">
        <v>7</v>
      </c>
      <c r="L81" s="14" t="s">
        <v>279</v>
      </c>
      <c r="M81" s="14" t="s">
        <v>280</v>
      </c>
      <c r="N81" s="14" t="s">
        <v>281</v>
      </c>
      <c r="O81" s="14" t="s">
        <v>282</v>
      </c>
      <c r="P81" s="14" t="s">
        <v>283</v>
      </c>
      <c r="Q81" s="14" t="s">
        <v>284</v>
      </c>
      <c r="R81" s="14" t="s">
        <v>904</v>
      </c>
      <c r="S81" s="14" t="s">
        <v>285</v>
      </c>
      <c r="T81" s="14" t="s">
        <v>289</v>
      </c>
      <c r="U81" s="14" t="s">
        <v>8</v>
      </c>
      <c r="V81" s="14" t="s">
        <v>9</v>
      </c>
      <c r="W81" s="14" t="s">
        <v>10</v>
      </c>
      <c r="X81" s="14" t="s">
        <v>100</v>
      </c>
      <c r="Y81" s="14" t="s">
        <v>106</v>
      </c>
      <c r="Z81" s="14" t="s">
        <v>12</v>
      </c>
      <c r="AA81" s="14" t="s">
        <v>258</v>
      </c>
      <c r="AB81" s="14" t="s">
        <v>13</v>
      </c>
      <c r="AC81" s="14" t="s">
        <v>74</v>
      </c>
      <c r="AD81" s="14" t="s">
        <v>21</v>
      </c>
      <c r="AE81" s="14" t="s">
        <v>14</v>
      </c>
      <c r="AF81" s="14" t="s">
        <v>15</v>
      </c>
      <c r="AG81" s="14" t="s">
        <v>16</v>
      </c>
      <c r="AH81" s="15" t="s">
        <v>17</v>
      </c>
      <c r="AI81" s="14" t="s">
        <v>679</v>
      </c>
      <c r="AJ81" s="14" t="s">
        <v>678</v>
      </c>
    </row>
    <row r="82" spans="1:36" x14ac:dyDescent="0.35">
      <c r="A82" s="20">
        <v>45079</v>
      </c>
      <c r="B82" s="21" t="s">
        <v>544</v>
      </c>
      <c r="C82" s="21" t="s">
        <v>545</v>
      </c>
      <c r="D82" s="44">
        <v>148731</v>
      </c>
      <c r="E82" s="44"/>
      <c r="F82" s="21">
        <v>100</v>
      </c>
      <c r="G82" s="21"/>
      <c r="H82" s="22">
        <v>55700</v>
      </c>
      <c r="I82" s="33">
        <v>0.53</v>
      </c>
      <c r="J82" s="24">
        <f>IFERROR(K82/H82,"")</f>
        <v>0.52957809694793534</v>
      </c>
      <c r="K82" s="22">
        <v>29497.5</v>
      </c>
      <c r="L82" s="21">
        <v>10</v>
      </c>
      <c r="M82" s="21">
        <v>57</v>
      </c>
      <c r="N82" s="21">
        <v>26</v>
      </c>
      <c r="O82" s="21">
        <v>7</v>
      </c>
      <c r="P82" s="21"/>
      <c r="Q82" s="21"/>
      <c r="R82" s="21"/>
      <c r="S82" s="21"/>
      <c r="T82" s="21"/>
      <c r="U82" s="25">
        <v>200</v>
      </c>
      <c r="V82" s="25">
        <f>H82*U82*I82/15</f>
        <v>393613.33333333331</v>
      </c>
      <c r="W82" s="25">
        <v>254.95</v>
      </c>
      <c r="X82" s="25">
        <v>501360.26</v>
      </c>
      <c r="Y82" s="25">
        <v>8000</v>
      </c>
      <c r="Z82" s="25">
        <v>45142.6</v>
      </c>
      <c r="AA82" s="25">
        <v>0</v>
      </c>
      <c r="AB82" s="25">
        <v>2000</v>
      </c>
      <c r="AC82" s="25">
        <f>F82*38</f>
        <v>3800</v>
      </c>
      <c r="AD82" s="25">
        <f>IF(F82="",G82*4.11,F82*4.11)</f>
        <v>411.00000000000006</v>
      </c>
      <c r="AE82" s="25">
        <v>1002.71</v>
      </c>
      <c r="AF82" s="25">
        <f>V82+Y82+Z82+AA82+AB82+AC82+AD82</f>
        <v>452966.93333333329</v>
      </c>
      <c r="AG82" s="25">
        <f>IFERROR(IFERROR((H82*W82*J82/15)-AE82,""),"")</f>
        <v>500356.46499999997</v>
      </c>
      <c r="AH82" s="26">
        <f>IFERROR(AG82-AF82,"")</f>
        <v>47389.531666666677</v>
      </c>
      <c r="AI82" s="6">
        <f>IF(F82="",(G82/$F$88)*$AL$28,(F82/$F$88)*$AL$28)</f>
        <v>379.9855670103093</v>
      </c>
      <c r="AJ82" s="6">
        <f>(AH82-AI82)*70%</f>
        <v>32906.682269759454</v>
      </c>
    </row>
    <row r="83" spans="1:36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  <c r="AA83" s="21"/>
      <c r="AB83" s="21"/>
      <c r="AC83" s="21"/>
      <c r="AD83" s="21"/>
      <c r="AE83" s="21"/>
      <c r="AF83" s="21"/>
      <c r="AG83" s="21"/>
      <c r="AH83" s="26">
        <f>AH82/F82</f>
        <v>473.89531666666676</v>
      </c>
    </row>
    <row r="84" spans="1:36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AA84" s="21"/>
      <c r="AB84" s="21"/>
      <c r="AC84" s="21"/>
      <c r="AD84" s="21"/>
      <c r="AE84" s="21"/>
      <c r="AF84" s="21"/>
      <c r="AG84" s="21"/>
      <c r="AH84" s="27">
        <f>IFERROR(AH82/AG82,"")</f>
        <v>9.4711540634668689E-2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AA85" s="21"/>
      <c r="AB85" s="21"/>
      <c r="AC85" s="21"/>
      <c r="AD85" s="21"/>
      <c r="AE85" s="21"/>
      <c r="AF85" s="21"/>
      <c r="AG85" s="21"/>
      <c r="AH85" s="47"/>
      <c r="AI85" s="47"/>
      <c r="AJ85" s="47"/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AA86" s="21"/>
      <c r="AB86" s="21"/>
      <c r="AC86" s="21"/>
      <c r="AD86" s="21"/>
      <c r="AE86" s="21"/>
      <c r="AF86" s="21"/>
      <c r="AG86" s="21"/>
      <c r="AH86" s="47"/>
      <c r="AI86" s="47"/>
      <c r="AJ86" s="47"/>
    </row>
    <row r="87" spans="1:36" ht="15" thickBot="1" x14ac:dyDescent="0.4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AA87" s="21"/>
      <c r="AB87" s="21"/>
      <c r="AC87" s="21"/>
      <c r="AD87" s="21"/>
      <c r="AE87" s="21"/>
      <c r="AF87" s="21"/>
      <c r="AG87" s="21"/>
      <c r="AH87" s="47"/>
      <c r="AI87" s="47"/>
      <c r="AJ87" s="47"/>
    </row>
    <row r="88" spans="1:36" ht="16" thickBot="1" x14ac:dyDescent="0.4">
      <c r="A88" s="377" t="s">
        <v>537</v>
      </c>
      <c r="B88" s="378"/>
      <c r="C88" s="378"/>
      <c r="D88" s="378"/>
      <c r="E88" s="378"/>
      <c r="F88" s="30">
        <f>SUM(F4:G82)</f>
        <v>970</v>
      </c>
      <c r="G88" s="30"/>
      <c r="H88" s="30"/>
      <c r="I88" s="30"/>
      <c r="J88" s="30"/>
      <c r="K88" s="30"/>
      <c r="L88" s="46"/>
      <c r="M88" s="46"/>
      <c r="N88" s="46"/>
      <c r="O88" s="46"/>
      <c r="P88" s="46"/>
      <c r="Q88" s="46"/>
      <c r="R88" s="46"/>
      <c r="S88" s="46"/>
      <c r="T88" s="46"/>
      <c r="U88" s="30"/>
      <c r="V88" s="31">
        <f>V4+V10+V16+V22+V28+V34+V40+V46+V52+V58+V64+V70+V76+V82</f>
        <v>3171401.4000000008</v>
      </c>
      <c r="W88" s="30"/>
      <c r="X88" s="30"/>
      <c r="Y88" s="31">
        <f t="shared" ref="Y88:AJ88" si="0">Y4+Y10+Y16+Y22+Y28+Y34+Y40+Y46+Y52+Y58+Y64+Y70+Y76+Y82</f>
        <v>60200</v>
      </c>
      <c r="Z88" s="28">
        <f t="shared" si="0"/>
        <v>183952.54000000004</v>
      </c>
      <c r="AA88" s="31">
        <f t="shared" si="0"/>
        <v>0</v>
      </c>
      <c r="AB88" s="31">
        <f t="shared" si="0"/>
        <v>17996.349999999999</v>
      </c>
      <c r="AC88" s="31">
        <f t="shared" si="0"/>
        <v>35150</v>
      </c>
      <c r="AD88" s="31">
        <f t="shared" si="0"/>
        <v>3986.7000000000003</v>
      </c>
      <c r="AE88" s="31">
        <f t="shared" si="0"/>
        <v>7715.7800000000007</v>
      </c>
      <c r="AF88" s="31">
        <f t="shared" si="0"/>
        <v>3472686.9899999993</v>
      </c>
      <c r="AG88" s="31">
        <f t="shared" si="0"/>
        <v>3850116.2506666668</v>
      </c>
      <c r="AH88" s="31">
        <f t="shared" si="0"/>
        <v>377429.26066666661</v>
      </c>
      <c r="AI88" s="31">
        <f t="shared" si="0"/>
        <v>3685.86</v>
      </c>
      <c r="AJ88" s="31">
        <f t="shared" si="0"/>
        <v>261620.3804666666</v>
      </c>
    </row>
  </sheetData>
  <mergeCells count="2">
    <mergeCell ref="U2:AC2"/>
    <mergeCell ref="A88:E88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64"/>
  <dimension ref="A1:AO75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5" width="12.453125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4.81640625" bestFit="1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21.1796875" bestFit="1" customWidth="1"/>
    <col min="39" max="39" width="15.7265625" customWidth="1"/>
    <col min="40" max="40" width="12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AF75</f>
        <v>2797707.1599999997</v>
      </c>
      <c r="AM3" s="164">
        <f>AH75-AI75</f>
        <v>407084.56500000024</v>
      </c>
    </row>
    <row r="4" spans="1:40" x14ac:dyDescent="0.35">
      <c r="A4" s="20">
        <v>45080</v>
      </c>
      <c r="B4" s="21" t="s">
        <v>546</v>
      </c>
      <c r="C4" s="21" t="s">
        <v>547</v>
      </c>
      <c r="D4" s="44">
        <v>148732</v>
      </c>
      <c r="E4" s="44"/>
      <c r="F4" s="21">
        <v>100</v>
      </c>
      <c r="G4" s="21"/>
      <c r="H4" s="22">
        <v>61620</v>
      </c>
      <c r="I4" s="33">
        <v>0.54</v>
      </c>
      <c r="J4" s="24">
        <f>IFERROR(K4/H4,"")</f>
        <v>0.54969165855241808</v>
      </c>
      <c r="K4" s="22">
        <v>33872</v>
      </c>
      <c r="L4" s="21"/>
      <c r="M4" s="21"/>
      <c r="N4" s="21">
        <v>26</v>
      </c>
      <c r="O4" s="21">
        <v>68</v>
      </c>
      <c r="P4" s="21">
        <v>6</v>
      </c>
      <c r="Q4" s="21"/>
      <c r="R4" s="21"/>
      <c r="S4" s="21"/>
      <c r="T4" s="21"/>
      <c r="U4" s="25">
        <v>212.5</v>
      </c>
      <c r="V4" s="25">
        <f>H4*U4*I4/15</f>
        <v>471393</v>
      </c>
      <c r="W4" s="25">
        <v>241.55</v>
      </c>
      <c r="X4" s="25">
        <v>545454.81000000006</v>
      </c>
      <c r="Y4" s="25">
        <f>F4*30</f>
        <v>3000</v>
      </c>
      <c r="Z4" s="25">
        <v>27340.58</v>
      </c>
      <c r="AA4" s="25">
        <v>0</v>
      </c>
      <c r="AB4" s="25">
        <v>2125</v>
      </c>
      <c r="AC4" s="25">
        <f>F4*38</f>
        <v>3800</v>
      </c>
      <c r="AD4" s="25">
        <f>F4*4.11</f>
        <v>411.00000000000006</v>
      </c>
      <c r="AE4" s="25">
        <v>1090.9100000000001</v>
      </c>
      <c r="AF4" s="25">
        <f>V4+Y4+Z4+AA4+AB4+AC4+AD4</f>
        <v>508069.58</v>
      </c>
      <c r="AG4" s="25">
        <f>IFERROR(IFERROR((H4*W4*J4/15)-AE4,""),"")</f>
        <v>544361.19666666666</v>
      </c>
      <c r="AH4" s="26">
        <f>IFERROR(AG4-AF4,"")</f>
        <v>36291.61666666664</v>
      </c>
      <c r="AI4" s="6">
        <f>IF(F4="",(G4/$F$75)*$AL$28,(F4/$F$75)*$AL$28)</f>
        <v>895.86466165413526</v>
      </c>
      <c r="AJ4" s="6">
        <f>(AH4-AI4)*70%</f>
        <v>24777.026403508749</v>
      </c>
      <c r="AL4" s="166" t="s">
        <v>749</v>
      </c>
      <c r="AM4" s="167">
        <f>AM3/AL3</f>
        <v>0.14550649575490249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IFERROR(AH4/F4,"")</f>
        <v>362.91616666666641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6.6668265278447825E-2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M9" s="63"/>
    </row>
    <row r="10" spans="1:40" x14ac:dyDescent="0.35">
      <c r="A10" s="20">
        <v>45080</v>
      </c>
      <c r="B10" s="21" t="s">
        <v>548</v>
      </c>
      <c r="C10" s="21" t="s">
        <v>549</v>
      </c>
      <c r="D10" s="44">
        <v>148728</v>
      </c>
      <c r="E10" s="44"/>
      <c r="F10" s="21">
        <v>100</v>
      </c>
      <c r="G10" s="21"/>
      <c r="H10" s="22">
        <v>57560</v>
      </c>
      <c r="I10" s="33">
        <v>0.55000000000000004</v>
      </c>
      <c r="J10" s="24">
        <f>IFERROR(K10/H10,"")</f>
        <v>0.56515809589993049</v>
      </c>
      <c r="K10" s="22">
        <v>32530.5</v>
      </c>
      <c r="L10" s="21">
        <v>7</v>
      </c>
      <c r="M10" s="21">
        <v>46</v>
      </c>
      <c r="N10" s="21">
        <v>35</v>
      </c>
      <c r="O10" s="21">
        <v>10</v>
      </c>
      <c r="P10" s="21">
        <v>1</v>
      </c>
      <c r="Q10" s="21">
        <v>1</v>
      </c>
      <c r="R10" s="21"/>
      <c r="S10" s="21"/>
      <c r="T10" s="21"/>
      <c r="U10" s="25">
        <v>220</v>
      </c>
      <c r="V10" s="25">
        <f>H10*U10*I10/15</f>
        <v>464317.33333333337</v>
      </c>
      <c r="W10" s="25">
        <v>255.68</v>
      </c>
      <c r="X10" s="25">
        <v>554495.19999999995</v>
      </c>
      <c r="Y10" s="25">
        <f>F10*30</f>
        <v>3000</v>
      </c>
      <c r="Z10" s="25">
        <v>15225.16</v>
      </c>
      <c r="AA10" s="25">
        <v>0</v>
      </c>
      <c r="AB10" s="25">
        <v>2200</v>
      </c>
      <c r="AC10" s="25">
        <f>F10*38</f>
        <v>3800</v>
      </c>
      <c r="AD10" s="25">
        <f>IF(F10="",G10*4.11,F10*4.11)</f>
        <v>411.00000000000006</v>
      </c>
      <c r="AE10" s="25">
        <v>1109</v>
      </c>
      <c r="AF10" s="25">
        <f>V10+Y10+Z10+AA10+AB10+AC10+AD10</f>
        <v>488953.49333333335</v>
      </c>
      <c r="AG10" s="25">
        <f>IFERROR(IFERROR((H10*W10*J10/15)-AE10,""),"")</f>
        <v>553384.21600000001</v>
      </c>
      <c r="AH10" s="26">
        <f>IFERROR(AG10-AF10,"")</f>
        <v>64430.722666666668</v>
      </c>
      <c r="AI10" s="6">
        <f>IF(F10="",(G10/$F$75)*$AL$28,(F10/$F$75)*$AL$28)</f>
        <v>895.86466165413526</v>
      </c>
      <c r="AJ10" s="6">
        <f>(AH10-AI10)*70%</f>
        <v>44474.400603508766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AH10/F10</f>
        <v>644.30722666666668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0.11643035851724882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</row>
    <row r="16" spans="1:40" x14ac:dyDescent="0.35">
      <c r="A16" s="20">
        <v>45080</v>
      </c>
      <c r="B16" s="21" t="s">
        <v>201</v>
      </c>
      <c r="C16" s="21" t="s">
        <v>550</v>
      </c>
      <c r="D16" s="44">
        <v>148733</v>
      </c>
      <c r="E16" s="44"/>
      <c r="F16" s="21"/>
      <c r="G16" s="21">
        <v>65</v>
      </c>
      <c r="H16" s="22">
        <v>25820</v>
      </c>
      <c r="I16" s="33">
        <v>0.5</v>
      </c>
      <c r="J16" s="24">
        <f>IFERROR(K16/H16,"")</f>
        <v>0.50352439969016272</v>
      </c>
      <c r="K16" s="22">
        <v>13001</v>
      </c>
      <c r="L16" s="21">
        <v>14</v>
      </c>
      <c r="M16" s="21">
        <v>34</v>
      </c>
      <c r="N16" s="21">
        <v>13</v>
      </c>
      <c r="O16" s="21">
        <v>4</v>
      </c>
      <c r="P16" s="21"/>
      <c r="Q16" s="21"/>
      <c r="R16" s="21"/>
      <c r="S16" s="21"/>
      <c r="T16" s="21"/>
      <c r="U16" s="25">
        <v>210</v>
      </c>
      <c r="V16" s="25">
        <f>H16*U16*I16/15</f>
        <v>180740</v>
      </c>
      <c r="W16" s="25">
        <v>251.01</v>
      </c>
      <c r="X16" s="25">
        <v>217560.64</v>
      </c>
      <c r="Y16" s="25">
        <v>0</v>
      </c>
      <c r="Z16" s="25">
        <v>6305.08</v>
      </c>
      <c r="AA16" s="25">
        <v>0</v>
      </c>
      <c r="AB16" s="25">
        <v>1365</v>
      </c>
      <c r="AC16" s="25">
        <f>G16*35</f>
        <v>2275</v>
      </c>
      <c r="AD16" s="25">
        <f>IF(F16="",G16*4.11,F16*4.11)</f>
        <v>267.15000000000003</v>
      </c>
      <c r="AE16" s="25">
        <v>435.13</v>
      </c>
      <c r="AF16" s="25">
        <f>V16+Y16+Z16+AA16+AB16+AC16+AD16</f>
        <v>190952.22999999998</v>
      </c>
      <c r="AG16" s="25">
        <f>IFERROR(IFERROR((H16*W16*J16/15)-AE16,""),"")</f>
        <v>217123.60400000002</v>
      </c>
      <c r="AH16" s="26">
        <f>IFERROR(AG16-AF16,"")</f>
        <v>26171.37400000004</v>
      </c>
      <c r="AI16" s="6">
        <f>IF(F16="",(G16/$F$75)*$AL$28,(F16/$F$75)*$AL$28)</f>
        <v>582.31203007518798</v>
      </c>
      <c r="AJ16" s="6">
        <f>(AH16-AI16)*70%</f>
        <v>17912.343378947397</v>
      </c>
      <c r="AL16">
        <f>F4+G4+F10+G10+F16+G16+F22+G22+F28+G28+F34+G34+F40+G40+F46+G46+F52+G52+F58+G58+F64+G64+F70+G70</f>
        <v>798</v>
      </c>
      <c r="AM16" s="50" t="s">
        <v>22</v>
      </c>
      <c r="AN16" t="s">
        <v>72</v>
      </c>
    </row>
    <row r="17" spans="1:4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AH16/G16</f>
        <v>402.63652307692371</v>
      </c>
      <c r="AL17" s="11">
        <f>AH4+AH10+AH16+AH22+AH28+AH34+AH40+AH46+AH52+AH58+AH64+AH70</f>
        <v>414233.56500000024</v>
      </c>
      <c r="AM17" s="11">
        <f>AL17*30%</f>
        <v>124270.06950000007</v>
      </c>
      <c r="AN17" s="2">
        <v>45093</v>
      </c>
    </row>
    <row r="18" spans="1:41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0.1205367519599575</v>
      </c>
      <c r="AL18" s="11"/>
      <c r="AM18" s="11"/>
    </row>
    <row r="19" spans="1:41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</row>
    <row r="20" spans="1:4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1"/>
    </row>
    <row r="21" spans="1:41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83" t="s">
        <v>187</v>
      </c>
      <c r="AM21" s="211" t="s">
        <v>680</v>
      </c>
      <c r="AN21" s="190"/>
      <c r="AO21" s="191"/>
    </row>
    <row r="22" spans="1:41" x14ac:dyDescent="0.35">
      <c r="A22" s="20">
        <v>45080</v>
      </c>
      <c r="B22" s="21" t="s">
        <v>551</v>
      </c>
      <c r="C22" s="21" t="s">
        <v>550</v>
      </c>
      <c r="D22" s="44">
        <v>148734</v>
      </c>
      <c r="E22" s="44"/>
      <c r="F22" s="21"/>
      <c r="G22" s="21">
        <v>59</v>
      </c>
      <c r="H22" s="22">
        <v>22160</v>
      </c>
      <c r="I22" s="33">
        <v>0.5</v>
      </c>
      <c r="J22" s="24">
        <f>IFERROR(K22/H22,"")</f>
        <v>0.51753158844765346</v>
      </c>
      <c r="K22" s="22">
        <v>11468.5</v>
      </c>
      <c r="L22" s="21">
        <v>14</v>
      </c>
      <c r="M22" s="21">
        <v>36</v>
      </c>
      <c r="N22" s="21">
        <v>8</v>
      </c>
      <c r="O22" s="21">
        <v>1</v>
      </c>
      <c r="P22" s="21"/>
      <c r="Q22" s="21"/>
      <c r="R22" s="21"/>
      <c r="S22" s="21"/>
      <c r="T22" s="21"/>
      <c r="U22" s="25">
        <v>210</v>
      </c>
      <c r="V22" s="25">
        <f>H22*U22*I22/15</f>
        <v>155120</v>
      </c>
      <c r="W22" s="25">
        <v>251.57</v>
      </c>
      <c r="X22" s="25">
        <v>192342.66</v>
      </c>
      <c r="Y22" s="25">
        <f>F22*60</f>
        <v>0</v>
      </c>
      <c r="Z22" s="25">
        <v>6206.54</v>
      </c>
      <c r="AA22" s="25">
        <v>0</v>
      </c>
      <c r="AB22" s="25">
        <v>1239</v>
      </c>
      <c r="AC22" s="25">
        <f>G22*35</f>
        <v>2065</v>
      </c>
      <c r="AD22" s="25">
        <f>IF(F22="",G22*4.11,F22*4.11)</f>
        <v>242.49</v>
      </c>
      <c r="AE22" s="25">
        <v>384.69</v>
      </c>
      <c r="AF22" s="25">
        <f>V22+Y22+Z22+AA22+AB22+AC22+AD22</f>
        <v>164873.03</v>
      </c>
      <c r="AG22" s="25">
        <f>IFERROR(IFERROR((H22*W22*J22/15)-AE22,""),"")</f>
        <v>191957.34633333335</v>
      </c>
      <c r="AH22" s="26">
        <f>IFERROR(AG22-AF22,"")</f>
        <v>27084.31633333335</v>
      </c>
      <c r="AI22" s="6">
        <f>IF(F22="",(G22/$F$75)*$AL$28,(F22/$F$75)*$AL$28)</f>
        <v>528.56015037593977</v>
      </c>
      <c r="AJ22" s="6">
        <f>(AH22-AI22)*70%</f>
        <v>18589.029328070188</v>
      </c>
      <c r="AL22" s="187">
        <v>1100</v>
      </c>
      <c r="AM22" t="s">
        <v>559</v>
      </c>
      <c r="AO22" s="174"/>
    </row>
    <row r="23" spans="1:41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AH22/G22</f>
        <v>459.05620903954832</v>
      </c>
      <c r="AL23" s="178">
        <f>38000-38000</f>
        <v>0</v>
      </c>
      <c r="AM23" t="s">
        <v>540</v>
      </c>
      <c r="AO23" s="174"/>
    </row>
    <row r="24" spans="1:41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0.14109549257000834</v>
      </c>
      <c r="AL24" s="178">
        <v>4329</v>
      </c>
      <c r="AM24" t="s">
        <v>536</v>
      </c>
      <c r="AO24" s="174"/>
    </row>
    <row r="25" spans="1:4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  <c r="AL25" s="178">
        <v>220</v>
      </c>
      <c r="AM25" t="s">
        <v>530</v>
      </c>
      <c r="AO25" s="174"/>
    </row>
    <row r="26" spans="1:4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  <c r="AL26" s="205">
        <v>1500</v>
      </c>
      <c r="AM26" t="s">
        <v>561</v>
      </c>
      <c r="AO26" s="174"/>
    </row>
    <row r="27" spans="1:41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  <c r="AL27" s="178"/>
      <c r="AO27" s="174"/>
    </row>
    <row r="28" spans="1:41" x14ac:dyDescent="0.35">
      <c r="A28" s="20">
        <v>45082</v>
      </c>
      <c r="B28" s="21" t="s">
        <v>552</v>
      </c>
      <c r="C28" s="21" t="s">
        <v>553</v>
      </c>
      <c r="D28" s="44">
        <v>148724</v>
      </c>
      <c r="E28" s="44"/>
      <c r="F28" s="21"/>
      <c r="G28" s="21">
        <v>65</v>
      </c>
      <c r="H28" s="22">
        <v>23640</v>
      </c>
      <c r="I28" s="33">
        <v>0.5</v>
      </c>
      <c r="J28" s="24">
        <f>IFERROR(K28/H28,"")</f>
        <v>0.50323604060913707</v>
      </c>
      <c r="K28" s="22">
        <v>11896.5</v>
      </c>
      <c r="L28" s="21">
        <v>14</v>
      </c>
      <c r="M28" s="21">
        <v>33</v>
      </c>
      <c r="N28" s="21">
        <v>13</v>
      </c>
      <c r="O28" s="21">
        <v>4</v>
      </c>
      <c r="P28" s="21">
        <v>1</v>
      </c>
      <c r="Q28" s="21"/>
      <c r="R28" s="21"/>
      <c r="S28" s="21"/>
      <c r="T28" s="21"/>
      <c r="U28" s="25">
        <v>200</v>
      </c>
      <c r="V28" s="25">
        <f>H28*U28*I28/15</f>
        <v>157600</v>
      </c>
      <c r="W28" s="25">
        <v>251.56</v>
      </c>
      <c r="X28" s="25">
        <v>199515.29</v>
      </c>
      <c r="Y28" s="25">
        <f>F28*60</f>
        <v>0</v>
      </c>
      <c r="Z28" s="25">
        <v>10943.93</v>
      </c>
      <c r="AA28" s="25">
        <v>0</v>
      </c>
      <c r="AB28" s="25">
        <v>1300</v>
      </c>
      <c r="AC28" s="25">
        <f>G28*35</f>
        <v>2275</v>
      </c>
      <c r="AD28" s="25">
        <f>IF(F28="",G28*4.11,F28*4.11)</f>
        <v>267.15000000000003</v>
      </c>
      <c r="AE28" s="25">
        <v>399.03</v>
      </c>
      <c r="AF28" s="25">
        <f>V28+Y28+Z28+AA28+AB28+AC28+AD28</f>
        <v>172386.08</v>
      </c>
      <c r="AG28" s="25">
        <f>IFERROR(IFERROR((H28*W28*J28/15)-AE28,""),"")</f>
        <v>199113.20600000001</v>
      </c>
      <c r="AH28" s="26">
        <f>IFERROR(AG28-AF28,"")</f>
        <v>26727.126000000018</v>
      </c>
      <c r="AI28" s="6">
        <f>IF(F28="",(G28/$F$75)*$AL$28,(F28/$F$75)*$AL$28)</f>
        <v>582.31203007518798</v>
      </c>
      <c r="AJ28" s="6">
        <f>(AH28-AI28)*70%</f>
        <v>18301.369778947381</v>
      </c>
      <c r="AL28" s="214">
        <f>SUM(AL22:AL27)</f>
        <v>7149</v>
      </c>
      <c r="AM28" s="211" t="s">
        <v>682</v>
      </c>
      <c r="AN28" s="190"/>
      <c r="AO28" s="191"/>
    </row>
    <row r="29" spans="1:41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AH28/G28</f>
        <v>411.18655384615414</v>
      </c>
    </row>
    <row r="30" spans="1:4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0.13423080536406018</v>
      </c>
      <c r="AL30" s="95">
        <f>AL17-AL28</f>
        <v>407084.56500000024</v>
      </c>
      <c r="AM30" s="11" t="s">
        <v>471</v>
      </c>
    </row>
    <row r="31" spans="1:4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9">
        <f>AL30*30%</f>
        <v>122125.36950000006</v>
      </c>
      <c r="AM31" s="130" t="s">
        <v>499</v>
      </c>
    </row>
    <row r="32" spans="1:4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8" x14ac:dyDescent="0.35">
      <c r="A33" s="37" t="s">
        <v>1</v>
      </c>
      <c r="B33" s="37" t="s">
        <v>2</v>
      </c>
      <c r="C33" s="37" t="s">
        <v>110</v>
      </c>
      <c r="D33" s="37" t="s">
        <v>66</v>
      </c>
      <c r="E33" s="37"/>
      <c r="F33" s="37" t="s">
        <v>137</v>
      </c>
      <c r="G33" s="37" t="s">
        <v>138</v>
      </c>
      <c r="H33" s="37" t="s">
        <v>4</v>
      </c>
      <c r="I33" s="37" t="s">
        <v>5</v>
      </c>
      <c r="J33" s="37" t="s">
        <v>6</v>
      </c>
      <c r="K33" s="37" t="s">
        <v>7</v>
      </c>
      <c r="L33" s="37" t="s">
        <v>279</v>
      </c>
      <c r="M33" s="37" t="s">
        <v>280</v>
      </c>
      <c r="N33" s="37" t="s">
        <v>281</v>
      </c>
      <c r="O33" s="37" t="s">
        <v>282</v>
      </c>
      <c r="P33" s="37" t="s">
        <v>283</v>
      </c>
      <c r="Q33" s="37" t="s">
        <v>284</v>
      </c>
      <c r="R33" s="37" t="s">
        <v>904</v>
      </c>
      <c r="S33" s="37" t="s">
        <v>285</v>
      </c>
      <c r="T33" s="37" t="s">
        <v>289</v>
      </c>
      <c r="U33" s="37" t="s">
        <v>8</v>
      </c>
      <c r="V33" s="37" t="s">
        <v>9</v>
      </c>
      <c r="W33" s="37" t="s">
        <v>10</v>
      </c>
      <c r="X33" s="37" t="s">
        <v>100</v>
      </c>
      <c r="Y33" s="37" t="s">
        <v>106</v>
      </c>
      <c r="Z33" s="37" t="s">
        <v>12</v>
      </c>
      <c r="AA33" s="37" t="s">
        <v>258</v>
      </c>
      <c r="AB33" s="37" t="s">
        <v>13</v>
      </c>
      <c r="AC33" s="37" t="s">
        <v>74</v>
      </c>
      <c r="AD33" s="37" t="s">
        <v>21</v>
      </c>
      <c r="AE33" s="37" t="s">
        <v>14</v>
      </c>
      <c r="AF33" s="37" t="s">
        <v>15</v>
      </c>
      <c r="AG33" s="37" t="s">
        <v>16</v>
      </c>
      <c r="AH33" s="15" t="s">
        <v>17</v>
      </c>
      <c r="AI33" s="14" t="s">
        <v>679</v>
      </c>
      <c r="AJ33" s="14" t="s">
        <v>678</v>
      </c>
      <c r="AL33" s="37" t="s">
        <v>560</v>
      </c>
    </row>
    <row r="34" spans="1:38" x14ac:dyDescent="0.35">
      <c r="A34" s="38">
        <v>45082</v>
      </c>
      <c r="B34" s="39" t="s">
        <v>554</v>
      </c>
      <c r="C34" s="39" t="s">
        <v>539</v>
      </c>
      <c r="D34" s="45">
        <v>149124</v>
      </c>
      <c r="E34" s="45"/>
      <c r="F34" s="39"/>
      <c r="G34" s="39">
        <v>63</v>
      </c>
      <c r="H34" s="40">
        <v>22650</v>
      </c>
      <c r="I34" s="53">
        <v>0.5</v>
      </c>
      <c r="J34" s="42">
        <f>IFERROR(K34/H34,"")</f>
        <v>0.52055187637969091</v>
      </c>
      <c r="K34" s="40">
        <v>11790.5</v>
      </c>
      <c r="L34" s="39">
        <v>19</v>
      </c>
      <c r="M34" s="39">
        <v>43</v>
      </c>
      <c r="N34" s="39">
        <v>1</v>
      </c>
      <c r="O34" s="39"/>
      <c r="P34" s="39"/>
      <c r="Q34" s="39"/>
      <c r="R34" s="39"/>
      <c r="S34" s="39"/>
      <c r="T34" s="39"/>
      <c r="U34" s="43">
        <v>190</v>
      </c>
      <c r="V34" s="43">
        <f>H34*U34*I34/15</f>
        <v>143450</v>
      </c>
      <c r="W34" s="43">
        <v>253.09</v>
      </c>
      <c r="X34" s="43">
        <v>198935.35</v>
      </c>
      <c r="Y34" s="43">
        <v>0</v>
      </c>
      <c r="Z34" s="43">
        <v>10111.799999999999</v>
      </c>
      <c r="AA34" s="43">
        <v>0</v>
      </c>
      <c r="AB34" s="43">
        <v>1197</v>
      </c>
      <c r="AC34" s="43">
        <f>G34*35</f>
        <v>2205</v>
      </c>
      <c r="AD34" s="43">
        <f>IF(F34="",G34*4.11,F34*4.11)</f>
        <v>258.93</v>
      </c>
      <c r="AE34" s="43">
        <v>397.88</v>
      </c>
      <c r="AF34" s="43">
        <f>V34+Y34+Z34+AA34+AB34+AC34+AD34</f>
        <v>157222.72999999998</v>
      </c>
      <c r="AG34" s="43">
        <f>IFERROR(IFERROR((H34*W34*J34/15)-AE34,""),"")</f>
        <v>198539.29633333333</v>
      </c>
      <c r="AH34" s="26">
        <f>IFERROR(AG34-AF34,"")</f>
        <v>41316.56633333335</v>
      </c>
      <c r="AI34" s="6">
        <f>IF(F34="",(G34/$F$75)*$AL$28,(F34/$F$75)*$AL$28)</f>
        <v>564.3947368421052</v>
      </c>
      <c r="AJ34" s="6">
        <f>(AH34-AI34)*70%</f>
        <v>28526.520117543871</v>
      </c>
    </row>
    <row r="35" spans="1:38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AH34/G34</f>
        <v>655.81851322751345</v>
      </c>
      <c r="AL35" s="57"/>
    </row>
    <row r="36" spans="1:38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0.2081027136510335</v>
      </c>
    </row>
    <row r="37" spans="1:38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8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8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8" x14ac:dyDescent="0.35">
      <c r="A40" s="20">
        <v>45082</v>
      </c>
      <c r="B40" s="21" t="s">
        <v>555</v>
      </c>
      <c r="C40" s="21" t="s">
        <v>556</v>
      </c>
      <c r="D40" s="44">
        <v>148727</v>
      </c>
      <c r="E40" s="44"/>
      <c r="F40" s="21"/>
      <c r="G40" s="21">
        <v>30</v>
      </c>
      <c r="H40" s="22">
        <v>11300</v>
      </c>
      <c r="I40" s="33">
        <v>0.5</v>
      </c>
      <c r="J40" s="24">
        <f>IFERROR(K40/H40,"")</f>
        <v>0.520496936691627</v>
      </c>
      <c r="K40" s="22">
        <v>5881.6153846153848</v>
      </c>
      <c r="L40" s="21">
        <v>9</v>
      </c>
      <c r="M40" s="21">
        <v>15</v>
      </c>
      <c r="N40" s="21">
        <v>5</v>
      </c>
      <c r="O40" s="21"/>
      <c r="P40" s="21">
        <v>1</v>
      </c>
      <c r="Q40" s="21"/>
      <c r="R40" s="21"/>
      <c r="S40" s="21"/>
      <c r="T40" s="21"/>
      <c r="U40" s="25">
        <v>210</v>
      </c>
      <c r="V40" s="25">
        <f>H40*U40*I40/15</f>
        <v>79100</v>
      </c>
      <c r="W40" s="25">
        <v>250.01</v>
      </c>
      <c r="X40" s="25">
        <v>98030.215384615381</v>
      </c>
      <c r="Y40" s="25">
        <v>0</v>
      </c>
      <c r="Z40" s="25">
        <v>3112.48</v>
      </c>
      <c r="AA40" s="25">
        <v>0</v>
      </c>
      <c r="AB40" s="25">
        <v>630</v>
      </c>
      <c r="AC40" s="25">
        <f>G40*35</f>
        <v>1050</v>
      </c>
      <c r="AD40" s="25">
        <f>IF(F40="",G40*4.11,F40*4.11)</f>
        <v>123.30000000000001</v>
      </c>
      <c r="AE40" s="25">
        <v>196.06153846153848</v>
      </c>
      <c r="AF40" s="25">
        <f>V40+Y40+Z40+AA40+AB40+AC40+AD40</f>
        <v>84015.78</v>
      </c>
      <c r="AG40" s="25">
        <f>IFERROR(IFERROR((H40*W40*J40/15)-AE40,""),"")</f>
        <v>97834.782615384625</v>
      </c>
      <c r="AH40" s="26">
        <f>IFERROR(AG40-AF40,"")</f>
        <v>13819.002615384627</v>
      </c>
      <c r="AI40" s="6">
        <f>IF(F40="",(G40/$F$75)*$AL$28,(F40/$F$75)*$AL$28)</f>
        <v>268.75939849624058</v>
      </c>
      <c r="AJ40" s="6">
        <f>(AH40-AI40)*70%</f>
        <v>9485.1702518218699</v>
      </c>
    </row>
    <row r="41" spans="1:38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AH40/G40</f>
        <v>460.63342051282086</v>
      </c>
    </row>
    <row r="42" spans="1:38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0.14124836020447776</v>
      </c>
    </row>
    <row r="43" spans="1:38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8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8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8" x14ac:dyDescent="0.35">
      <c r="A46" s="20">
        <v>45082</v>
      </c>
      <c r="B46" s="21" t="s">
        <v>557</v>
      </c>
      <c r="C46" s="21" t="s">
        <v>556</v>
      </c>
      <c r="D46" s="44">
        <v>148727</v>
      </c>
      <c r="E46" s="44"/>
      <c r="F46" s="21"/>
      <c r="G46" s="21">
        <v>35</v>
      </c>
      <c r="H46" s="22">
        <v>13340</v>
      </c>
      <c r="I46" s="33">
        <v>0.5</v>
      </c>
      <c r="J46" s="24">
        <f>IFERROR(K46/H46,"")</f>
        <v>0.51438415407680782</v>
      </c>
      <c r="K46" s="22">
        <v>6861.8846153846162</v>
      </c>
      <c r="L46" s="21">
        <v>9</v>
      </c>
      <c r="M46" s="21">
        <v>16</v>
      </c>
      <c r="N46" s="21">
        <v>4</v>
      </c>
      <c r="O46" s="21">
        <v>4</v>
      </c>
      <c r="P46" s="21">
        <v>2</v>
      </c>
      <c r="Q46" s="21"/>
      <c r="R46" s="21"/>
      <c r="S46" s="21"/>
      <c r="T46" s="21"/>
      <c r="U46" s="25">
        <v>210</v>
      </c>
      <c r="V46" s="25">
        <f>H46*U46*I46/15</f>
        <v>93380</v>
      </c>
      <c r="W46" s="25">
        <v>250.01</v>
      </c>
      <c r="X46" s="25">
        <v>114368.58461538462</v>
      </c>
      <c r="Y46" s="25">
        <v>0</v>
      </c>
      <c r="Z46" s="25">
        <v>3631.21</v>
      </c>
      <c r="AA46" s="25">
        <v>0</v>
      </c>
      <c r="AB46" s="25">
        <v>735</v>
      </c>
      <c r="AC46" s="25">
        <f>G46*35</f>
        <v>1225</v>
      </c>
      <c r="AD46" s="25">
        <f>IF(F46="",G46*4.11,F46*4.11)</f>
        <v>143.85000000000002</v>
      </c>
      <c r="AE46" s="25">
        <v>228.73846153846156</v>
      </c>
      <c r="AF46" s="25">
        <f>V46+Y46+Z46+AA46+AB46+AC46+AD46</f>
        <v>99115.060000000012</v>
      </c>
      <c r="AG46" s="25">
        <f>IFERROR(IFERROR((H46*W46*J46/15)-AE46,""),"")</f>
        <v>114140.57971794873</v>
      </c>
      <c r="AH46" s="26">
        <f>IFERROR(AG46-AF46,"")</f>
        <v>15025.519717948715</v>
      </c>
      <c r="AI46" s="6">
        <f>IF(F46="",(G46/$F$75)*$AL$28,(F46/$F$75)*$AL$28)</f>
        <v>313.55263157894734</v>
      </c>
      <c r="AJ46" s="6">
        <f>(AH46-AI46)*70%</f>
        <v>10298.376960458838</v>
      </c>
    </row>
    <row r="47" spans="1:38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AH46/G46</f>
        <v>429.3005633699633</v>
      </c>
    </row>
    <row r="48" spans="1:38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0.13164047138255366</v>
      </c>
    </row>
    <row r="49" spans="1:36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6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6" x14ac:dyDescent="0.35">
      <c r="A52" s="20">
        <v>45082</v>
      </c>
      <c r="B52" s="21" t="s">
        <v>557</v>
      </c>
      <c r="C52" s="21" t="s">
        <v>556</v>
      </c>
      <c r="D52" s="44">
        <v>148726</v>
      </c>
      <c r="E52" s="44"/>
      <c r="F52" s="21"/>
      <c r="G52" s="21">
        <v>61</v>
      </c>
      <c r="H52" s="22">
        <v>22420</v>
      </c>
      <c r="I52" s="33">
        <v>0.5</v>
      </c>
      <c r="J52" s="24">
        <f>IFERROR(K52/H52,"")</f>
        <v>0.51712756467439791</v>
      </c>
      <c r="K52" s="22">
        <v>11594</v>
      </c>
      <c r="L52" s="21">
        <v>7</v>
      </c>
      <c r="M52" s="21">
        <v>22</v>
      </c>
      <c r="N52" s="21">
        <v>26</v>
      </c>
      <c r="O52" s="21">
        <v>6</v>
      </c>
      <c r="P52" s="21"/>
      <c r="Q52" s="21"/>
      <c r="R52" s="21"/>
      <c r="S52" s="21"/>
      <c r="T52" s="21"/>
      <c r="U52" s="25">
        <v>210</v>
      </c>
      <c r="V52" s="25">
        <f>H52*U52*I52/15</f>
        <v>156940</v>
      </c>
      <c r="W52" s="25">
        <v>250.66</v>
      </c>
      <c r="X52" s="25">
        <v>173746.36</v>
      </c>
      <c r="Y52" s="25">
        <v>0</v>
      </c>
      <c r="Z52" s="25">
        <v>7103.9</v>
      </c>
      <c r="AA52" s="25">
        <v>0</v>
      </c>
      <c r="AB52" s="25">
        <v>1281</v>
      </c>
      <c r="AC52" s="25">
        <f>G52*35</f>
        <v>2135</v>
      </c>
      <c r="AD52" s="25">
        <f>IF(F52="",G52*4.11,F52*4.11)</f>
        <v>250.71</v>
      </c>
      <c r="AE52" s="25">
        <v>387.49</v>
      </c>
      <c r="AF52" s="25">
        <f>V52+Y52+Z52+AA52+AB52+AC52+AD52</f>
        <v>167710.60999999999</v>
      </c>
      <c r="AG52" s="25">
        <f>IFERROR(IFERROR((H52*W52*J52/15)-AE52,""),"")</f>
        <v>193355.97933333338</v>
      </c>
      <c r="AH52" s="26">
        <f>IFERROR(AG52-AF52,"")</f>
        <v>25645.369333333394</v>
      </c>
      <c r="AI52" s="6">
        <f>IF(F52="",(G52/$F$75)*$AL$28,(F52/$F$75)*$AL$28)</f>
        <v>546.47744360902254</v>
      </c>
      <c r="AJ52" s="6">
        <f>(AH52-AI52)*70%</f>
        <v>17569.224322807058</v>
      </c>
    </row>
    <row r="53" spans="1:36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AH52/G52</f>
        <v>420.41589071038351</v>
      </c>
    </row>
    <row r="54" spans="1:36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0.13263292617976097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6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36" x14ac:dyDescent="0.35">
      <c r="A58" s="20">
        <v>45082</v>
      </c>
      <c r="B58" s="21" t="s">
        <v>558</v>
      </c>
      <c r="C58" s="21" t="s">
        <v>346</v>
      </c>
      <c r="D58" s="44">
        <v>148725</v>
      </c>
      <c r="E58" s="44"/>
      <c r="F58" s="21"/>
      <c r="G58" s="21">
        <v>60</v>
      </c>
      <c r="H58" s="22">
        <v>25920</v>
      </c>
      <c r="I58" s="33">
        <v>0.5</v>
      </c>
      <c r="J58" s="24">
        <f>IFERROR(K58/H58,"")</f>
        <v>0.50362654320987654</v>
      </c>
      <c r="K58" s="22">
        <v>13054</v>
      </c>
      <c r="L58" s="21"/>
      <c r="M58" s="21">
        <v>28</v>
      </c>
      <c r="N58" s="21">
        <v>31</v>
      </c>
      <c r="O58" s="21">
        <v>1</v>
      </c>
      <c r="P58" s="21"/>
      <c r="Q58" s="21"/>
      <c r="R58" s="21"/>
      <c r="S58" s="21"/>
      <c r="T58" s="21"/>
      <c r="U58" s="25">
        <v>205</v>
      </c>
      <c r="V58" s="25">
        <f>H58*U58*I58/15</f>
        <v>177120</v>
      </c>
      <c r="W58" s="25">
        <v>256.68</v>
      </c>
      <c r="X58" s="25">
        <v>223380.21</v>
      </c>
      <c r="Y58" s="25">
        <v>0</v>
      </c>
      <c r="Z58" s="25">
        <v>11722.38</v>
      </c>
      <c r="AA58" s="25">
        <v>0</v>
      </c>
      <c r="AB58" s="25">
        <v>1230</v>
      </c>
      <c r="AC58" s="25">
        <f>G58*35</f>
        <v>2100</v>
      </c>
      <c r="AD58" s="25">
        <f>IF(F58="",G58*4.11,F58*4.11)</f>
        <v>246.60000000000002</v>
      </c>
      <c r="AE58" s="25">
        <v>446.77</v>
      </c>
      <c r="AF58" s="25">
        <f>V58+Y58+Z58+AA58+AB58+AC58+AD58</f>
        <v>192418.98</v>
      </c>
      <c r="AG58" s="25">
        <f>IFERROR(IFERROR((H58*W58*J58/15)-AE58,""),"")</f>
        <v>222933.27800000002</v>
      </c>
      <c r="AH58" s="26">
        <f>IFERROR(AG58-AF58,"")</f>
        <v>30514.29800000001</v>
      </c>
      <c r="AI58" s="6">
        <f>IF(F58="",(G58/$F$75)*$AL$28,(F58/$F$75)*$AL$28)</f>
        <v>537.51879699248116</v>
      </c>
      <c r="AJ58" s="6">
        <f>(AH58-AI58)*70%</f>
        <v>20983.745442105268</v>
      </c>
    </row>
    <row r="59" spans="1:36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AH58/G58</f>
        <v>508.57163333333352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0.13687637069598918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37" t="s">
        <v>1</v>
      </c>
      <c r="B63" s="37" t="s">
        <v>2</v>
      </c>
      <c r="C63" s="37" t="s">
        <v>110</v>
      </c>
      <c r="D63" s="37" t="s">
        <v>66</v>
      </c>
      <c r="E63" s="37"/>
      <c r="F63" s="37" t="s">
        <v>137</v>
      </c>
      <c r="G63" s="37" t="s">
        <v>138</v>
      </c>
      <c r="H63" s="37" t="s">
        <v>4</v>
      </c>
      <c r="I63" s="37" t="s">
        <v>5</v>
      </c>
      <c r="J63" s="37" t="s">
        <v>6</v>
      </c>
      <c r="K63" s="37" t="s">
        <v>7</v>
      </c>
      <c r="L63" s="37" t="s">
        <v>279</v>
      </c>
      <c r="M63" s="37" t="s">
        <v>280</v>
      </c>
      <c r="N63" s="37" t="s">
        <v>281</v>
      </c>
      <c r="O63" s="37" t="s">
        <v>282</v>
      </c>
      <c r="P63" s="37" t="s">
        <v>283</v>
      </c>
      <c r="Q63" s="37" t="s">
        <v>284</v>
      </c>
      <c r="R63" s="37" t="s">
        <v>904</v>
      </c>
      <c r="S63" s="37" t="s">
        <v>285</v>
      </c>
      <c r="T63" s="37" t="s">
        <v>289</v>
      </c>
      <c r="U63" s="37" t="s">
        <v>8</v>
      </c>
      <c r="V63" s="37" t="s">
        <v>9</v>
      </c>
      <c r="W63" s="37" t="s">
        <v>10</v>
      </c>
      <c r="X63" s="37" t="s">
        <v>100</v>
      </c>
      <c r="Y63" s="37" t="s">
        <v>106</v>
      </c>
      <c r="Z63" s="37" t="s">
        <v>12</v>
      </c>
      <c r="AA63" s="37" t="s">
        <v>258</v>
      </c>
      <c r="AB63" s="37" t="s">
        <v>13</v>
      </c>
      <c r="AC63" s="37" t="s">
        <v>74</v>
      </c>
      <c r="AD63" s="37" t="s">
        <v>21</v>
      </c>
      <c r="AE63" s="37" t="s">
        <v>14</v>
      </c>
      <c r="AF63" s="37" t="s">
        <v>15</v>
      </c>
      <c r="AG63" s="37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38">
        <v>45082</v>
      </c>
      <c r="B64" s="39" t="s">
        <v>442</v>
      </c>
      <c r="C64" s="39" t="s">
        <v>174</v>
      </c>
      <c r="D64" s="45">
        <v>149123</v>
      </c>
      <c r="E64" s="45"/>
      <c r="F64" s="39"/>
      <c r="G64" s="39">
        <v>60</v>
      </c>
      <c r="H64" s="40">
        <v>20140</v>
      </c>
      <c r="I64" s="53">
        <v>0.5</v>
      </c>
      <c r="J64" s="42">
        <f>IFERROR(K64/H64,"")</f>
        <v>0.50794438927507446</v>
      </c>
      <c r="K64" s="40">
        <v>10230</v>
      </c>
      <c r="L64" s="39">
        <v>13</v>
      </c>
      <c r="M64" s="39">
        <v>31</v>
      </c>
      <c r="N64" s="39">
        <v>14</v>
      </c>
      <c r="O64" s="39">
        <v>2</v>
      </c>
      <c r="P64" s="39"/>
      <c r="Q64" s="39"/>
      <c r="R64" s="39"/>
      <c r="S64" s="39"/>
      <c r="T64" s="39"/>
      <c r="U64" s="43">
        <v>176.7</v>
      </c>
      <c r="V64" s="43">
        <f>H64*U64*I64/15</f>
        <v>118624.6</v>
      </c>
      <c r="W64" s="43">
        <v>251.16</v>
      </c>
      <c r="X64" s="43">
        <v>171291.44</v>
      </c>
      <c r="Y64" s="43">
        <v>0</v>
      </c>
      <c r="Z64" s="43">
        <v>9934.4</v>
      </c>
      <c r="AA64" s="43">
        <v>0</v>
      </c>
      <c r="AB64" s="43">
        <v>1060.2</v>
      </c>
      <c r="AC64" s="43">
        <f>G64*35</f>
        <v>2100</v>
      </c>
      <c r="AD64" s="43">
        <f>IF(F64="",G64*4.11,F64*4.11)</f>
        <v>246.60000000000002</v>
      </c>
      <c r="AE64" s="43">
        <v>342.58</v>
      </c>
      <c r="AF64" s="43">
        <f>V64+Y64+Z64+AA64+AB64+AC64+AD64</f>
        <v>131965.80000000002</v>
      </c>
      <c r="AG64" s="43">
        <f>IFERROR(IFERROR((H64*W64*J64/15)-AE64,""),"")</f>
        <v>170948.54000000004</v>
      </c>
      <c r="AH64" s="26">
        <f>IFERROR(AG64-AF64,"")</f>
        <v>38982.74000000002</v>
      </c>
      <c r="AI64" s="6">
        <f>IF(F64="",(G64/$F$75)*$AL$28,(F64/$F$75)*$AL$28)</f>
        <v>537.51879699248116</v>
      </c>
      <c r="AJ64" s="6">
        <f>(AH64-AI64)*70%</f>
        <v>26911.654842105276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AH64/G64</f>
        <v>649.71233333333362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0.2280378644941923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ht="1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47"/>
      <c r="AI68" s="47"/>
      <c r="AJ68" s="47"/>
    </row>
    <row r="69" spans="1:36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258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20">
        <v>45086</v>
      </c>
      <c r="B70" s="21" t="s">
        <v>419</v>
      </c>
      <c r="C70" s="21" t="s">
        <v>257</v>
      </c>
      <c r="D70" s="44">
        <v>149113</v>
      </c>
      <c r="E70" s="44"/>
      <c r="F70" s="21">
        <v>100</v>
      </c>
      <c r="G70" s="21"/>
      <c r="H70" s="22">
        <v>56980</v>
      </c>
      <c r="I70" s="33">
        <v>0.52</v>
      </c>
      <c r="J70" s="24">
        <f>IFERROR(K70/H70,"")</f>
        <v>0.53094945594945597</v>
      </c>
      <c r="K70" s="22">
        <v>30253.5</v>
      </c>
      <c r="L70" s="21">
        <v>1</v>
      </c>
      <c r="M70" s="21">
        <v>13</v>
      </c>
      <c r="N70" s="21">
        <v>58</v>
      </c>
      <c r="O70" s="21">
        <v>28</v>
      </c>
      <c r="P70" s="21"/>
      <c r="Q70" s="21"/>
      <c r="R70" s="21"/>
      <c r="S70" s="21"/>
      <c r="T70" s="21"/>
      <c r="U70" s="25">
        <v>205</v>
      </c>
      <c r="V70" s="25">
        <f>H70*U70*I70/15</f>
        <v>404937.86666666664</v>
      </c>
      <c r="W70" s="25">
        <v>252.5</v>
      </c>
      <c r="X70" s="25">
        <v>509271.88</v>
      </c>
      <c r="Y70" s="25">
        <f>F70*60</f>
        <v>6000</v>
      </c>
      <c r="Z70" s="25">
        <v>22824.92</v>
      </c>
      <c r="AA70" s="25">
        <v>0</v>
      </c>
      <c r="AB70" s="25">
        <v>2050</v>
      </c>
      <c r="AC70" s="25">
        <f>F70*38</f>
        <v>3800</v>
      </c>
      <c r="AD70" s="25">
        <f>IF(F70="",G70*4.11,F70*4.11)</f>
        <v>411.00000000000006</v>
      </c>
      <c r="AE70" s="25">
        <v>1018.55</v>
      </c>
      <c r="AF70" s="25">
        <f>V70+Y70+Z70+AA70+AB70+AC70+AD70</f>
        <v>440023.78666666662</v>
      </c>
      <c r="AG70" s="25">
        <f>IFERROR(IFERROR((H70*W70*J70/15)-AE70,""),"")</f>
        <v>508248.7</v>
      </c>
      <c r="AH70" s="26">
        <f>IFERROR(AG70-AF70,"")</f>
        <v>68224.913333333388</v>
      </c>
      <c r="AI70" s="6">
        <f>IF(F70="",(G70/$F$75)*$AL$28,(F70/$F$75)*$AL$28)</f>
        <v>895.86466165413526</v>
      </c>
      <c r="AJ70" s="6">
        <f>(AH70-AI70)*70%</f>
        <v>47130.334070175471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AH70/F70</f>
        <v>682.24913333333393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0.13423529333834675</v>
      </c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47"/>
      <c r="AI73" s="47"/>
      <c r="AJ73" s="47"/>
    </row>
    <row r="74" spans="1:36" ht="15" thickBot="1" x14ac:dyDescent="0.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47"/>
    </row>
    <row r="75" spans="1:36" ht="16" thickBot="1" x14ac:dyDescent="0.4">
      <c r="A75" s="377" t="s">
        <v>543</v>
      </c>
      <c r="B75" s="378"/>
      <c r="C75" s="378"/>
      <c r="D75" s="378"/>
      <c r="E75" s="378"/>
      <c r="F75" s="30">
        <f>SUM(F4:G70)</f>
        <v>798</v>
      </c>
      <c r="G75" s="30"/>
      <c r="H75" s="30"/>
      <c r="I75" s="30"/>
      <c r="J75" s="30"/>
      <c r="K75" s="30"/>
      <c r="L75" s="46"/>
      <c r="M75" s="46"/>
      <c r="N75" s="46"/>
      <c r="O75" s="46"/>
      <c r="P75" s="46"/>
      <c r="Q75" s="46"/>
      <c r="R75" s="46"/>
      <c r="S75" s="46"/>
      <c r="T75" s="46"/>
      <c r="U75" s="30"/>
      <c r="V75" s="31">
        <f>V4+V10+V16+V22+V28+V34+V40+V46+V52+V58+V64+V70</f>
        <v>2602722.8000000003</v>
      </c>
      <c r="W75" s="30"/>
      <c r="X75" s="30"/>
      <c r="Y75" s="31">
        <f t="shared" ref="Y75:AH75" si="0">Y4+Y10+Y16+Y22+Y28+Y34+Y40+Y46+Y52+Y58+Y64+Y70</f>
        <v>12000</v>
      </c>
      <c r="Z75" s="31">
        <f t="shared" si="0"/>
        <v>134462.38</v>
      </c>
      <c r="AA75" s="31">
        <f t="shared" si="0"/>
        <v>0</v>
      </c>
      <c r="AB75" s="31">
        <f t="shared" si="0"/>
        <v>16412.2</v>
      </c>
      <c r="AC75" s="31">
        <f t="shared" si="0"/>
        <v>28830</v>
      </c>
      <c r="AD75" s="31">
        <f t="shared" si="0"/>
        <v>3279.78</v>
      </c>
      <c r="AE75" s="31">
        <f t="shared" si="0"/>
        <v>6436.8300000000008</v>
      </c>
      <c r="AF75" s="31">
        <f t="shared" si="0"/>
        <v>2797707.1599999997</v>
      </c>
      <c r="AG75" s="31">
        <f t="shared" si="0"/>
        <v>3211940.7250000001</v>
      </c>
      <c r="AH75" s="31">
        <f t="shared" si="0"/>
        <v>414233.56500000024</v>
      </c>
      <c r="AI75" s="31">
        <f>AI4+AI10+AI16+AI22+AI28+AI34+AI40+AI46+AI52+AI58+AI64+AI70</f>
        <v>7149</v>
      </c>
      <c r="AJ75" s="31">
        <f>AJ4+AJ10+AJ16+AJ22+AJ28+AJ34+AJ40+AJ46+AJ52+AJ58+AJ64+AJ70</f>
        <v>284959.19550000015</v>
      </c>
    </row>
  </sheetData>
  <mergeCells count="2">
    <mergeCell ref="U2:AC2"/>
    <mergeCell ref="A75:E7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65"/>
  <dimension ref="A1:AN82"/>
  <sheetViews>
    <sheetView zoomScale="85" zoomScaleNormal="85" workbookViewId="0"/>
  </sheetViews>
  <sheetFormatPr defaultRowHeight="14.5" x14ac:dyDescent="0.35"/>
  <cols>
    <col min="1" max="1" width="11.7265625" bestFit="1" customWidth="1"/>
    <col min="2" max="2" width="15.26953125" bestFit="1" customWidth="1"/>
    <col min="3" max="3" width="33.81640625" bestFit="1" customWidth="1"/>
    <col min="4" max="4" width="16.26953125" bestFit="1" customWidth="1"/>
    <col min="5" max="5" width="10.7265625" bestFit="1" customWidth="1"/>
    <col min="6" max="6" width="11.7265625" bestFit="1" customWidth="1"/>
    <col min="7" max="8" width="11" bestFit="1" customWidth="1"/>
    <col min="9" max="9" width="11.26953125" bestFit="1" customWidth="1"/>
    <col min="10" max="10" width="14" bestFit="1" customWidth="1"/>
    <col min="11" max="11" width="17.453125" bestFit="1" customWidth="1"/>
    <col min="12" max="16" width="8.453125" bestFit="1" customWidth="1"/>
    <col min="17" max="18" width="15.1796875" bestFit="1" customWidth="1"/>
    <col min="19" max="19" width="5.26953125" bestFit="1" customWidth="1"/>
    <col min="20" max="20" width="4.54296875" bestFit="1" customWidth="1"/>
    <col min="21" max="22" width="20.7265625" bestFit="1" customWidth="1"/>
    <col min="23" max="23" width="18.453125" bestFit="1" customWidth="1"/>
    <col min="24" max="24" width="19.26953125" bestFit="1" customWidth="1"/>
    <col min="25" max="25" width="17.453125" bestFit="1" customWidth="1"/>
    <col min="26" max="26" width="18.1796875" bestFit="1" customWidth="1"/>
    <col min="27" max="27" width="12.7265625" bestFit="1" customWidth="1"/>
    <col min="28" max="28" width="16.7265625" bestFit="1" customWidth="1"/>
    <col min="29" max="29" width="17.453125" bestFit="1" customWidth="1"/>
    <col min="30" max="30" width="15.81640625" bestFit="1" customWidth="1"/>
    <col min="31" max="31" width="15.453125" bestFit="1" customWidth="1"/>
    <col min="32" max="32" width="20.81640625" bestFit="1" customWidth="1"/>
    <col min="33" max="33" width="20.26953125" bestFit="1" customWidth="1"/>
    <col min="34" max="34" width="18.81640625" bestFit="1" customWidth="1"/>
    <col min="35" max="36" width="19.26953125" customWidth="1"/>
    <col min="37" max="37" width="7.7265625" bestFit="1" customWidth="1"/>
    <col min="38" max="38" width="19.7265625" bestFit="1" customWidth="1"/>
    <col min="39" max="39" width="18.81640625" bestFit="1" customWidth="1"/>
    <col min="40" max="40" width="12.2695312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AF82</f>
        <v>2760178.2024666667</v>
      </c>
      <c r="AM3" s="164">
        <f>AH82-AI82</f>
        <v>339970.83686666703</v>
      </c>
    </row>
    <row r="4" spans="1:40" x14ac:dyDescent="0.35">
      <c r="A4" s="20">
        <v>45087</v>
      </c>
      <c r="B4" s="21" t="s">
        <v>419</v>
      </c>
      <c r="C4" s="21" t="s">
        <v>465</v>
      </c>
      <c r="D4" s="44">
        <v>149112</v>
      </c>
      <c r="E4" s="44"/>
      <c r="F4" s="21">
        <v>100</v>
      </c>
      <c r="G4" s="21"/>
      <c r="H4" s="22">
        <v>60960</v>
      </c>
      <c r="I4" s="33">
        <v>0.54</v>
      </c>
      <c r="J4" s="24">
        <f>IFERROR(K4/H4,"")</f>
        <v>0.53093011811023627</v>
      </c>
      <c r="K4" s="22">
        <v>32365.5</v>
      </c>
      <c r="L4" s="21"/>
      <c r="M4" s="21"/>
      <c r="N4" s="21">
        <v>19</v>
      </c>
      <c r="O4" s="21">
        <v>70</v>
      </c>
      <c r="P4" s="21">
        <v>11</v>
      </c>
      <c r="Q4" s="21"/>
      <c r="R4" s="21"/>
      <c r="S4" s="21"/>
      <c r="T4" s="21"/>
      <c r="U4" s="25">
        <v>212.5</v>
      </c>
      <c r="V4" s="25">
        <f>H4*U4*I4/15</f>
        <v>466344</v>
      </c>
      <c r="W4" s="25">
        <v>241.85</v>
      </c>
      <c r="X4" s="25">
        <v>521833.64</v>
      </c>
      <c r="Y4" s="25">
        <f>F4*60</f>
        <v>6000</v>
      </c>
      <c r="Z4" s="25">
        <f>13348.12+13348.12</f>
        <v>26696.240000000002</v>
      </c>
      <c r="AA4" s="25">
        <v>0</v>
      </c>
      <c r="AB4" s="25">
        <v>2125</v>
      </c>
      <c r="AC4" s="25">
        <f>G4*35+F4*38</f>
        <v>3800</v>
      </c>
      <c r="AD4" s="25">
        <f>F4*4.11</f>
        <v>411.00000000000006</v>
      </c>
      <c r="AE4" s="25">
        <v>1043.67</v>
      </c>
      <c r="AF4" s="25">
        <f>V4+Y4+Z4+AA4+AB4+AC4+AD4</f>
        <v>505376.24</v>
      </c>
      <c r="AG4" s="25">
        <f>IFERROR(IFERROR((H4*W4*J4/15)-AE4,""),"")</f>
        <v>520796.07500000007</v>
      </c>
      <c r="AH4" s="26">
        <f>IFERROR(AG4-AF4,"")</f>
        <v>15419.835000000079</v>
      </c>
      <c r="AI4" s="6">
        <f>IF(F4="",(G4/$F$82)*$AL$28,(F4/$F$82)*$AL$28)</f>
        <v>0</v>
      </c>
      <c r="AJ4" s="6">
        <f>(AH4-AI4)*70%</f>
        <v>10793.884500000055</v>
      </c>
      <c r="AL4" s="166" t="s">
        <v>749</v>
      </c>
      <c r="AM4" s="167">
        <f>AM3/AL3</f>
        <v>0.12316988684384507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154.1983500000008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2.9608201252284933E-2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0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0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M9" s="63"/>
    </row>
    <row r="10" spans="1:40" x14ac:dyDescent="0.35">
      <c r="A10" s="20">
        <v>45088</v>
      </c>
      <c r="B10" s="21" t="s">
        <v>419</v>
      </c>
      <c r="C10" s="21" t="s">
        <v>565</v>
      </c>
      <c r="D10" s="44">
        <v>149108</v>
      </c>
      <c r="E10" s="44"/>
      <c r="F10" s="21"/>
      <c r="G10" s="21">
        <v>41</v>
      </c>
      <c r="H10" s="22">
        <v>17403</v>
      </c>
      <c r="I10" s="33">
        <v>0.5</v>
      </c>
      <c r="J10" s="24">
        <f>IFERROR(K10/H10,"")</f>
        <v>0.47661985776104032</v>
      </c>
      <c r="K10" s="22">
        <v>8294.6153846153848</v>
      </c>
      <c r="L10" s="21">
        <v>7</v>
      </c>
      <c r="M10" s="21">
        <v>14</v>
      </c>
      <c r="N10" s="21">
        <v>7</v>
      </c>
      <c r="O10" s="21">
        <v>7</v>
      </c>
      <c r="P10" s="21">
        <v>6</v>
      </c>
      <c r="Q10" s="21"/>
      <c r="R10" s="21"/>
      <c r="S10" s="21"/>
      <c r="T10" s="21"/>
      <c r="U10" s="25">
        <v>200</v>
      </c>
      <c r="V10" s="25">
        <f>H10*U10*I10/15</f>
        <v>116020</v>
      </c>
      <c r="W10" s="25">
        <v>243.27</v>
      </c>
      <c r="X10" s="25">
        <v>134521.45415384616</v>
      </c>
      <c r="Y10" s="25">
        <f>G10*60</f>
        <v>2460</v>
      </c>
      <c r="Z10" s="25">
        <v>4575.0575384615386</v>
      </c>
      <c r="AA10" s="25">
        <v>0</v>
      </c>
      <c r="AB10" s="25">
        <v>820</v>
      </c>
      <c r="AC10" s="25">
        <f>G10*35+F10*38</f>
        <v>1435</v>
      </c>
      <c r="AD10" s="25">
        <f>IF(F10="",G10*4.11,F10*4.11)</f>
        <v>168.51000000000002</v>
      </c>
      <c r="AE10" s="25">
        <v>269.05461538461537</v>
      </c>
      <c r="AF10" s="25">
        <f>V10+Y10+Z10+AA10+AB10+AC10+AD10</f>
        <v>125478.56753846153</v>
      </c>
      <c r="AG10" s="25">
        <f>IFERROR(IFERROR((H10*W10*J10/15)-AE10,""),"")</f>
        <v>134253.01769230771</v>
      </c>
      <c r="AH10" s="26">
        <f>IFERROR(AG10-AF10,"")</f>
        <v>8774.4501538461773</v>
      </c>
      <c r="AI10" s="6">
        <f>IF(F10="",(G10/$F$82)*$AL$28,(F10/$F$82)*$AL$28)</f>
        <v>0</v>
      </c>
      <c r="AJ10" s="6">
        <f>(AH10-AI10)*70%</f>
        <v>6142.1151076923234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3"/>
      <c r="AA11" s="21"/>
      <c r="AB11" s="21"/>
      <c r="AC11" s="21"/>
      <c r="AD11" s="21"/>
      <c r="AE11" s="21"/>
      <c r="AF11" s="21"/>
      <c r="AG11" s="21"/>
      <c r="AH11" s="26">
        <f>IFERROR(AH10/F10,0)+IFERROR(AH10/G10,0)</f>
        <v>214.01097936210189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7">
        <f>IFERROR(AH10/AG10,"")</f>
        <v>6.5357563685877029E-2</v>
      </c>
    </row>
    <row r="13" spans="1:40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</row>
    <row r="14" spans="1:40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</row>
    <row r="15" spans="1:40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</row>
    <row r="16" spans="1:40" x14ac:dyDescent="0.35">
      <c r="A16" s="20">
        <v>45088</v>
      </c>
      <c r="B16" s="21" t="s">
        <v>419</v>
      </c>
      <c r="C16" s="21" t="s">
        <v>565</v>
      </c>
      <c r="D16" s="44">
        <v>149108</v>
      </c>
      <c r="E16" s="44"/>
      <c r="F16" s="21"/>
      <c r="G16" s="21">
        <v>24</v>
      </c>
      <c r="H16" s="22">
        <v>9120</v>
      </c>
      <c r="I16" s="33">
        <v>0.5</v>
      </c>
      <c r="J16" s="24">
        <f>IFERROR(K16/H16,"")</f>
        <v>0.53238866396761131</v>
      </c>
      <c r="K16" s="22">
        <v>4855.3846153846152</v>
      </c>
      <c r="L16" s="21"/>
      <c r="M16" s="21">
        <v>24</v>
      </c>
      <c r="N16" s="21"/>
      <c r="O16" s="21"/>
      <c r="P16" s="21"/>
      <c r="Q16" s="21"/>
      <c r="R16" s="21"/>
      <c r="S16" s="21"/>
      <c r="T16" s="21"/>
      <c r="U16" s="25">
        <v>190</v>
      </c>
      <c r="V16" s="25">
        <f>H16*U16*I16/15</f>
        <v>57760</v>
      </c>
      <c r="W16" s="25">
        <v>243.27</v>
      </c>
      <c r="X16" s="25">
        <v>78744.265846153838</v>
      </c>
      <c r="Y16" s="25">
        <f>G16*60</f>
        <v>1440</v>
      </c>
      <c r="Z16" s="25">
        <v>2678.0824615384618</v>
      </c>
      <c r="AA16" s="25">
        <v>0</v>
      </c>
      <c r="AB16" s="25">
        <v>456</v>
      </c>
      <c r="AC16" s="25">
        <f>G16*35+F16*38</f>
        <v>840</v>
      </c>
      <c r="AD16" s="25">
        <f>IF(F16="",G16*4.11,F16*4.11)</f>
        <v>98.640000000000015</v>
      </c>
      <c r="AE16" s="25">
        <v>157.49538461538464</v>
      </c>
      <c r="AF16" s="25">
        <f>V16+Y16+Z16+AA16+AB16+AC16+AD16</f>
        <v>63272.722461538462</v>
      </c>
      <c r="AG16" s="25">
        <f>IFERROR(IFERROR((H16*W16*J16/15)-AE16,""),"")</f>
        <v>78587.1323076923</v>
      </c>
      <c r="AH16" s="26">
        <f>IFERROR(AG16-AF16,"")</f>
        <v>15314.409846153838</v>
      </c>
      <c r="AI16" s="6">
        <f>IF(F16="",(G16/$F$82)*$AL$28,(F16/$F$82)*$AL$28)</f>
        <v>0</v>
      </c>
      <c r="AJ16" s="6">
        <f>(AH16-AI16)*70%</f>
        <v>10720.086892307685</v>
      </c>
      <c r="AL16">
        <f>F4+G4+F10+G10+F16+G16+F22+G22+F28+G28+F34+G34+F40+G40+F46+G46+F52+G52+F58+G58+F64+G64+F70+G70+F76+G76</f>
        <v>797</v>
      </c>
      <c r="AM16" s="50" t="s">
        <v>22</v>
      </c>
      <c r="AN16" t="s">
        <v>72</v>
      </c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1"/>
      <c r="AC17" s="21"/>
      <c r="AD17" s="21"/>
      <c r="AE17" s="21"/>
      <c r="AF17" s="21"/>
      <c r="AG17" s="21"/>
      <c r="AH17" s="26">
        <f>IFERROR(AH16/F16,0)+IFERROR(AH16/G16,0)</f>
        <v>638.10041025640987</v>
      </c>
      <c r="AL17" s="11">
        <f>AH4+AH10+AH16+AH22+AH28+AH34+AH40+AH46+AH52+AH58+AH64+AH70+AH76</f>
        <v>339970.83686666703</v>
      </c>
      <c r="AM17" s="11">
        <f>AL17*30%</f>
        <v>101991.25106000011</v>
      </c>
      <c r="AN17" s="2">
        <v>45100</v>
      </c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0.19487172258930774</v>
      </c>
      <c r="AL18" s="11"/>
      <c r="AM18" s="11"/>
    </row>
    <row r="19" spans="1:40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1"/>
    </row>
    <row r="21" spans="1:40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83" t="s">
        <v>187</v>
      </c>
      <c r="AM21" s="211" t="s">
        <v>680</v>
      </c>
      <c r="AN21" s="191"/>
    </row>
    <row r="22" spans="1:40" x14ac:dyDescent="0.35">
      <c r="A22" s="20">
        <v>45088</v>
      </c>
      <c r="B22" s="21" t="s">
        <v>419</v>
      </c>
      <c r="C22" s="21" t="s">
        <v>565</v>
      </c>
      <c r="D22" s="44">
        <v>149109</v>
      </c>
      <c r="E22" s="44"/>
      <c r="F22" s="21"/>
      <c r="G22" s="21">
        <v>55</v>
      </c>
      <c r="H22" s="22">
        <v>30080</v>
      </c>
      <c r="I22" s="33">
        <v>0.5</v>
      </c>
      <c r="J22" s="24">
        <f>IFERROR(K22/H22,"")</f>
        <v>0.51195146276595749</v>
      </c>
      <c r="K22" s="22">
        <v>15399.5</v>
      </c>
      <c r="L22" s="21">
        <v>3</v>
      </c>
      <c r="M22" s="21">
        <v>22</v>
      </c>
      <c r="N22" s="21">
        <v>28</v>
      </c>
      <c r="O22" s="21">
        <v>2</v>
      </c>
      <c r="P22" s="21"/>
      <c r="Q22" s="21"/>
      <c r="R22" s="21"/>
      <c r="S22" s="21"/>
      <c r="T22" s="21"/>
      <c r="U22" s="25">
        <v>195</v>
      </c>
      <c r="V22" s="25">
        <f>H22*U22*I22/15</f>
        <v>195520</v>
      </c>
      <c r="W22" s="25">
        <v>256.19</v>
      </c>
      <c r="X22" s="25">
        <v>263013.63</v>
      </c>
      <c r="Y22" s="25">
        <f>G22*60</f>
        <v>3300</v>
      </c>
      <c r="Z22" s="25">
        <v>6951.02</v>
      </c>
      <c r="AA22" s="25">
        <v>0</v>
      </c>
      <c r="AB22" s="25">
        <v>1072.5</v>
      </c>
      <c r="AC22" s="25">
        <f>G22*35+F22*38</f>
        <v>1925</v>
      </c>
      <c r="AD22" s="25">
        <f>IF(F22="",G22*4.11,F22*4.11)</f>
        <v>226.05</v>
      </c>
      <c r="AE22" s="25">
        <v>526.04</v>
      </c>
      <c r="AF22" s="25">
        <f>V22+Y22+Z22+AA22+AB22+AC22+AD22</f>
        <v>208994.56999999998</v>
      </c>
      <c r="AG22" s="25">
        <f>IFERROR(IFERROR((H22*W22*J22/15)-AE22,""),"")</f>
        <v>262487.15366666671</v>
      </c>
      <c r="AH22" s="26">
        <f>IFERROR(AG22-AF22,"")</f>
        <v>53492.583666666731</v>
      </c>
      <c r="AI22" s="6">
        <f>IF(F22="",(G22/$F$82)*$AL$28,(F22/$F$82)*$AL$28)</f>
        <v>0</v>
      </c>
      <c r="AJ22" s="6">
        <f>(AH22-AI22)*70%</f>
        <v>37444.80856666671</v>
      </c>
      <c r="AL22" s="187">
        <v>0</v>
      </c>
      <c r="AN22" s="174"/>
    </row>
    <row r="23" spans="1:4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IFERROR(AH22/F22,0)+IFERROR(AH22/G22,0)</f>
        <v>972.59243030303151</v>
      </c>
      <c r="AL23" s="178">
        <v>0</v>
      </c>
      <c r="AN23" s="174"/>
    </row>
    <row r="24" spans="1:40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0.20379124433113072</v>
      </c>
      <c r="AL24" s="178">
        <v>0</v>
      </c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  <c r="AL25" s="178">
        <v>0</v>
      </c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  <c r="AL26" s="205">
        <v>0</v>
      </c>
      <c r="AN26" s="174"/>
    </row>
    <row r="27" spans="1:40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  <c r="AL27" s="178"/>
      <c r="AN27" s="174"/>
    </row>
    <row r="28" spans="1:40" x14ac:dyDescent="0.35">
      <c r="A28" s="20">
        <v>45089</v>
      </c>
      <c r="B28" s="21" t="s">
        <v>419</v>
      </c>
      <c r="C28" s="21" t="s">
        <v>566</v>
      </c>
      <c r="D28" s="44">
        <v>149110</v>
      </c>
      <c r="E28" s="44"/>
      <c r="F28" s="21"/>
      <c r="G28" s="21">
        <v>65</v>
      </c>
      <c r="H28" s="22">
        <v>25590</v>
      </c>
      <c r="I28" s="33">
        <v>0.5</v>
      </c>
      <c r="J28" s="24">
        <f>IFERROR(K28/H28,"")</f>
        <v>0.51895271590465031</v>
      </c>
      <c r="K28" s="22">
        <v>13280</v>
      </c>
      <c r="L28" s="21">
        <v>15</v>
      </c>
      <c r="M28" s="21">
        <v>42</v>
      </c>
      <c r="N28" s="21">
        <v>7</v>
      </c>
      <c r="O28" s="21">
        <v>1</v>
      </c>
      <c r="P28" s="21"/>
      <c r="Q28" s="21"/>
      <c r="R28" s="21"/>
      <c r="S28" s="21"/>
      <c r="T28" s="21"/>
      <c r="U28" s="25">
        <v>200</v>
      </c>
      <c r="V28" s="25">
        <f>H28*U28*I28/15</f>
        <v>170600</v>
      </c>
      <c r="W28" s="25">
        <v>251.95</v>
      </c>
      <c r="X28" s="25">
        <v>223061.32</v>
      </c>
      <c r="Y28" s="25">
        <f>G28*60</f>
        <v>3900</v>
      </c>
      <c r="Z28" s="25">
        <v>11332.44</v>
      </c>
      <c r="AA28" s="25">
        <v>0</v>
      </c>
      <c r="AB28" s="25">
        <v>1300</v>
      </c>
      <c r="AC28" s="25">
        <f>G28*35+F28*38</f>
        <v>2275</v>
      </c>
      <c r="AD28" s="25">
        <f>IF(F28="",G28*4.11,F28*4.11)</f>
        <v>267.15000000000003</v>
      </c>
      <c r="AE28" s="25">
        <v>446.12</v>
      </c>
      <c r="AF28" s="25">
        <f>V28+Y28+Z28+AA28+AB28+AC28+AD28</f>
        <v>189674.59</v>
      </c>
      <c r="AG28" s="25">
        <f>IFERROR(IFERROR((H28*W28*J28/15)-AE28,""),"")</f>
        <v>222613.61333333337</v>
      </c>
      <c r="AH28" s="26">
        <f>IFERROR(AG28-AF28,"")</f>
        <v>32939.023333333374</v>
      </c>
      <c r="AI28" s="6">
        <f>IF(F28="",(G28/$F$82)*$AL$28,(F28/$F$82)*$AL$28)</f>
        <v>0</v>
      </c>
      <c r="AJ28" s="6">
        <f>(AH28-AI28)*70%</f>
        <v>23057.316333333361</v>
      </c>
      <c r="AL28" s="214">
        <f>SUM(AL22:AL27)</f>
        <v>0</v>
      </c>
      <c r="AM28" s="211" t="s">
        <v>682</v>
      </c>
      <c r="AN28" s="191"/>
    </row>
    <row r="29" spans="1:40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IFERROR(AH28/F28,0)+IFERROR(AH28/G28,0)</f>
        <v>506.75420512820574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0.14796500016381164</v>
      </c>
      <c r="AL30" s="11">
        <f>AL17-AL28</f>
        <v>339970.83686666703</v>
      </c>
      <c r="AM30" s="11" t="s">
        <v>471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9">
        <f>AL30*30%</f>
        <v>101991.25106000011</v>
      </c>
      <c r="AM31" s="130" t="s">
        <v>499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</row>
    <row r="33" spans="1:38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37" t="s">
        <v>560</v>
      </c>
    </row>
    <row r="34" spans="1:38" x14ac:dyDescent="0.35">
      <c r="A34" s="20">
        <v>45089</v>
      </c>
      <c r="B34" s="21" t="s">
        <v>419</v>
      </c>
      <c r="C34" s="21" t="s">
        <v>319</v>
      </c>
      <c r="D34" s="44">
        <v>149105</v>
      </c>
      <c r="E34" s="44"/>
      <c r="F34" s="21">
        <v>50</v>
      </c>
      <c r="G34" s="21"/>
      <c r="H34" s="22">
        <v>25870</v>
      </c>
      <c r="I34" s="33">
        <v>0.53</v>
      </c>
      <c r="J34" s="24">
        <f>IFERROR(K34/H34,"")</f>
        <v>0.53448009277155006</v>
      </c>
      <c r="K34" s="22">
        <v>13827</v>
      </c>
      <c r="L34" s="21">
        <v>3</v>
      </c>
      <c r="M34" s="21">
        <v>16</v>
      </c>
      <c r="N34" s="21">
        <v>24</v>
      </c>
      <c r="O34" s="21">
        <v>6</v>
      </c>
      <c r="P34" s="21">
        <v>1</v>
      </c>
      <c r="Q34" s="21"/>
      <c r="R34" s="21"/>
      <c r="S34" s="21"/>
      <c r="T34" s="21"/>
      <c r="U34" s="25">
        <v>210</v>
      </c>
      <c r="V34" s="25">
        <f>H34*U34*I34/15</f>
        <v>191955.4</v>
      </c>
      <c r="W34" s="25">
        <v>250.74</v>
      </c>
      <c r="X34" s="25">
        <v>231128.95</v>
      </c>
      <c r="Y34" s="25">
        <f>F34*60</f>
        <v>3000</v>
      </c>
      <c r="Z34" s="25">
        <f>14370.8/2</f>
        <v>7185.4</v>
      </c>
      <c r="AA34" s="25">
        <v>0</v>
      </c>
      <c r="AB34" s="25">
        <f>2100/2</f>
        <v>1050</v>
      </c>
      <c r="AC34" s="25">
        <f>G34*35+F34*38</f>
        <v>1900</v>
      </c>
      <c r="AD34" s="25">
        <f>IF(F34="",G34*4.11,F34*4.11)</f>
        <v>205.50000000000003</v>
      </c>
      <c r="AE34" s="25">
        <v>462.26</v>
      </c>
      <c r="AF34" s="25">
        <f>V34+Y34+Z34+AA34+AB34+AC34+AD34</f>
        <v>205296.3</v>
      </c>
      <c r="AG34" s="25">
        <f>IFERROR(IFERROR((H34*W34*J34/15)-AE34,""),"")</f>
        <v>230669.872</v>
      </c>
      <c r="AH34" s="26">
        <f>IFERROR(AG34-AF34,"")</f>
        <v>25373.572000000015</v>
      </c>
      <c r="AI34" s="6">
        <f>IF(F34="",(G34/$F$82)*$AL$28,(F34/$F$82)*$AL$28)</f>
        <v>0</v>
      </c>
      <c r="AJ34" s="6">
        <f>(AH34-AI34)*70%</f>
        <v>17761.500400000008</v>
      </c>
    </row>
    <row r="35" spans="1:38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507.47144000000031</v>
      </c>
      <c r="AL35" s="6"/>
    </row>
    <row r="36" spans="1:38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0.10999950613403044</v>
      </c>
    </row>
    <row r="37" spans="1:38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8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8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8" x14ac:dyDescent="0.35">
      <c r="A40" s="20">
        <v>45089</v>
      </c>
      <c r="B40" s="21" t="s">
        <v>419</v>
      </c>
      <c r="C40" s="21" t="s">
        <v>174</v>
      </c>
      <c r="D40" s="44">
        <v>149339</v>
      </c>
      <c r="E40" s="44"/>
      <c r="F40" s="21">
        <v>50</v>
      </c>
      <c r="G40" s="21"/>
      <c r="H40" s="22">
        <v>26862.74</v>
      </c>
      <c r="I40" s="33">
        <v>0.53</v>
      </c>
      <c r="J40" s="24">
        <f>IFERROR(K40/H40,"")</f>
        <v>0.55275557935507347</v>
      </c>
      <c r="K40" s="22">
        <v>14848.529411764706</v>
      </c>
      <c r="L40" s="21">
        <v>4</v>
      </c>
      <c r="M40" s="21">
        <v>26</v>
      </c>
      <c r="N40" s="21">
        <v>18</v>
      </c>
      <c r="O40" s="21">
        <v>2</v>
      </c>
      <c r="P40" s="21"/>
      <c r="Q40" s="21"/>
      <c r="R40" s="21"/>
      <c r="S40" s="21"/>
      <c r="T40" s="21"/>
      <c r="U40" s="25">
        <v>210</v>
      </c>
      <c r="V40" s="25">
        <f>H40*U40*I40/15</f>
        <v>199321.53080000001</v>
      </c>
      <c r="W40" s="25">
        <v>254.47</v>
      </c>
      <c r="X40" s="25">
        <v>251903.09803921569</v>
      </c>
      <c r="Y40" s="25">
        <f>F40*60</f>
        <v>3000</v>
      </c>
      <c r="Z40" s="25">
        <v>9507.5882352941171</v>
      </c>
      <c r="AA40" s="25">
        <v>0</v>
      </c>
      <c r="AB40" s="25">
        <v>1050</v>
      </c>
      <c r="AC40" s="25">
        <f>G40*35+F40*38</f>
        <v>1900</v>
      </c>
      <c r="AD40" s="25">
        <f>IF(F40="",G40*4.11,F40*4.11)</f>
        <v>205.50000000000003</v>
      </c>
      <c r="AE40" s="25">
        <v>503.80392156862746</v>
      </c>
      <c r="AF40" s="25">
        <f>V40+Y40+Z40+AA40+AB40+AC40+AD40</f>
        <v>214984.61903529413</v>
      </c>
      <c r="AG40" s="25">
        <f>IFERROR(IFERROR((H40*W40*J40/15)-AE40,""),"")</f>
        <v>251396.5480392157</v>
      </c>
      <c r="AH40" s="26">
        <f>IFERROR(AG40-AF40,"")</f>
        <v>36411.92900392157</v>
      </c>
      <c r="AI40" s="6">
        <f>IF(F40="",(G40/$F$82)*$AL$28,(F40/$F$82)*$AL$28)</f>
        <v>0</v>
      </c>
      <c r="AJ40" s="6">
        <f>(AH40-AI40)*70%</f>
        <v>25488.350302745097</v>
      </c>
    </row>
    <row r="41" spans="1:38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IFERROR(AH40/F40,0)+IFERROR(AH40/G40,0)</f>
        <v>728.23858007843137</v>
      </c>
    </row>
    <row r="42" spans="1:38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0.14483861965456113</v>
      </c>
    </row>
    <row r="43" spans="1:38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8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8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8" x14ac:dyDescent="0.35">
      <c r="A46" s="20">
        <v>45089</v>
      </c>
      <c r="B46" s="21" t="s">
        <v>419</v>
      </c>
      <c r="C46" s="21" t="s">
        <v>174</v>
      </c>
      <c r="D46" s="44">
        <v>149339</v>
      </c>
      <c r="E46" s="44"/>
      <c r="F46" s="21">
        <v>1</v>
      </c>
      <c r="G46" s="21"/>
      <c r="H46" s="22">
        <v>537.25</v>
      </c>
      <c r="I46" s="33">
        <v>0.51</v>
      </c>
      <c r="J46" s="24">
        <f>IFERROR(K46/H46,"")</f>
        <v>0.55276051788793701</v>
      </c>
      <c r="K46" s="22">
        <v>296.97058823529414</v>
      </c>
      <c r="L46" s="21"/>
      <c r="M46" s="21">
        <v>1</v>
      </c>
      <c r="N46" s="21"/>
      <c r="O46" s="21"/>
      <c r="P46" s="21"/>
      <c r="Q46" s="21"/>
      <c r="R46" s="21"/>
      <c r="S46" s="21"/>
      <c r="T46" s="21"/>
      <c r="U46" s="25">
        <v>190</v>
      </c>
      <c r="V46" s="25">
        <f>H46*U46*I46/15</f>
        <v>3470.6350000000002</v>
      </c>
      <c r="W46" s="25">
        <v>254.47</v>
      </c>
      <c r="X46" s="25">
        <v>5038.0619607843137</v>
      </c>
      <c r="Y46" s="25">
        <f>F46*60</f>
        <v>60</v>
      </c>
      <c r="Z46" s="25">
        <v>190.15176470588236</v>
      </c>
      <c r="AA46" s="25">
        <v>0</v>
      </c>
      <c r="AB46" s="25">
        <v>19</v>
      </c>
      <c r="AC46" s="25">
        <f>G46*35+F46*38</f>
        <v>38</v>
      </c>
      <c r="AD46" s="25">
        <f>IF(F46="",G46*4.11,F46*4.11)</f>
        <v>4.1100000000000003</v>
      </c>
      <c r="AE46" s="25">
        <v>10.076078431372549</v>
      </c>
      <c r="AF46" s="25">
        <f>V46+Y46+Z46+AA46+AB46+AC46+AD46</f>
        <v>3781.8967647058826</v>
      </c>
      <c r="AG46" s="25">
        <f>IFERROR(IFERROR((H46*W46*J46/15)-AE46,""),"")</f>
        <v>5027.9309607843152</v>
      </c>
      <c r="AH46" s="26">
        <f>IFERROR(AG46-AF46,"")</f>
        <v>1246.0341960784326</v>
      </c>
      <c r="AI46" s="6">
        <f>IF(F46="",(G46/$F$82)*$AL$28,(F46/$F$82)*$AL$28)</f>
        <v>0</v>
      </c>
      <c r="AJ46" s="6">
        <f>(AH46-AI46)*70%</f>
        <v>872.22393725490281</v>
      </c>
    </row>
    <row r="47" spans="1:38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IFERROR(AH46/F46,0)+IFERROR(AH46/G46,0)</f>
        <v>1246.0341960784326</v>
      </c>
    </row>
    <row r="48" spans="1:38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0.24782245535926406</v>
      </c>
    </row>
    <row r="49" spans="1:3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7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7" x14ac:dyDescent="0.35">
      <c r="A52" s="20">
        <v>45089</v>
      </c>
      <c r="B52" s="21" t="s">
        <v>419</v>
      </c>
      <c r="C52" s="21" t="s">
        <v>567</v>
      </c>
      <c r="D52" s="44">
        <v>149107</v>
      </c>
      <c r="E52" s="44"/>
      <c r="F52" s="21"/>
      <c r="G52" s="21">
        <v>61</v>
      </c>
      <c r="H52" s="22">
        <v>23720</v>
      </c>
      <c r="I52" s="33">
        <v>0.5</v>
      </c>
      <c r="J52" s="24">
        <f>IFERROR(K52/H52,"")</f>
        <v>0.49664839797639121</v>
      </c>
      <c r="K52" s="22">
        <v>11780.5</v>
      </c>
      <c r="L52" s="21">
        <v>5</v>
      </c>
      <c r="M52" s="21">
        <v>25</v>
      </c>
      <c r="N52" s="21">
        <v>20</v>
      </c>
      <c r="O52" s="21">
        <v>9</v>
      </c>
      <c r="P52" s="21">
        <v>2</v>
      </c>
      <c r="Q52" s="21"/>
      <c r="R52" s="21"/>
      <c r="S52" s="21"/>
      <c r="T52" s="21"/>
      <c r="U52" s="25">
        <v>190</v>
      </c>
      <c r="V52" s="25">
        <f>H52*U52*I52/15</f>
        <v>150226.66666666666</v>
      </c>
      <c r="W52" s="25">
        <v>241.19</v>
      </c>
      <c r="X52" s="25">
        <v>189423.71</v>
      </c>
      <c r="Y52" s="25">
        <f>G52*60</f>
        <v>3660</v>
      </c>
      <c r="Z52" s="25">
        <v>7851.86</v>
      </c>
      <c r="AA52" s="25">
        <v>0</v>
      </c>
      <c r="AB52" s="25">
        <v>1159</v>
      </c>
      <c r="AC52" s="25">
        <f>G52*35+F52*38</f>
        <v>2135</v>
      </c>
      <c r="AD52" s="25">
        <f>IF(F52="",G52*4.11,F52*4.11)</f>
        <v>250.71</v>
      </c>
      <c r="AE52" s="25">
        <v>378.85</v>
      </c>
      <c r="AF52" s="25">
        <f>V52+Y52+Z52+AA52+AB52+AC52+AD52</f>
        <v>165283.23666666663</v>
      </c>
      <c r="AG52" s="25">
        <f>IFERROR(IFERROR((H52*W52*J52/15)-AE52,""),"")</f>
        <v>189043.73633333333</v>
      </c>
      <c r="AH52" s="26">
        <f>IFERROR(AG52-AF52,"")</f>
        <v>23760.499666666699</v>
      </c>
      <c r="AI52" s="6">
        <f>IF(F52="",(G52/$F$82)*$AL$28,(F52/$F$82)*$AL$28)</f>
        <v>0</v>
      </c>
      <c r="AJ52" s="6">
        <f>(AH52-AI52)*70%</f>
        <v>16632.349766666688</v>
      </c>
    </row>
    <row r="53" spans="1:3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IFERROR(AH52/F52,0)+IFERROR(AH52/G52,0)</f>
        <v>389.51638797814263</v>
      </c>
    </row>
    <row r="54" spans="1:3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0.12568784413343773</v>
      </c>
    </row>
    <row r="55" spans="1:3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7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37" x14ac:dyDescent="0.35">
      <c r="A58" s="20">
        <v>45089</v>
      </c>
      <c r="B58" s="21" t="s">
        <v>419</v>
      </c>
      <c r="C58" s="21" t="s">
        <v>556</v>
      </c>
      <c r="D58" s="44">
        <v>149106</v>
      </c>
      <c r="E58" s="44"/>
      <c r="F58" s="21"/>
      <c r="G58" s="21">
        <v>60</v>
      </c>
      <c r="H58" s="22">
        <v>22820</v>
      </c>
      <c r="I58" s="33">
        <v>0.5</v>
      </c>
      <c r="J58" s="24">
        <f>IFERROR(K58/H58,"")</f>
        <v>0.50048203330411922</v>
      </c>
      <c r="K58" s="22">
        <v>11421</v>
      </c>
      <c r="L58" s="21">
        <v>3</v>
      </c>
      <c r="M58" s="21">
        <v>5</v>
      </c>
      <c r="N58" s="21">
        <v>39</v>
      </c>
      <c r="O58" s="21">
        <v>13</v>
      </c>
      <c r="P58" s="21"/>
      <c r="Q58" s="21"/>
      <c r="R58" s="21"/>
      <c r="S58" s="21"/>
      <c r="T58" s="21"/>
      <c r="U58" s="25">
        <v>190</v>
      </c>
      <c r="V58" s="25">
        <f>H58*U58*I58/15</f>
        <v>144526.66666666666</v>
      </c>
      <c r="W58" s="25">
        <v>248.89</v>
      </c>
      <c r="X58" s="25">
        <v>189502.07999999999</v>
      </c>
      <c r="Y58" s="25">
        <f>G58*60</f>
        <v>3600</v>
      </c>
      <c r="Z58" s="25">
        <v>6913.9</v>
      </c>
      <c r="AA58" s="25">
        <v>0</v>
      </c>
      <c r="AB58" s="25">
        <v>1140</v>
      </c>
      <c r="AC58" s="25">
        <f>G58*35+F58*38</f>
        <v>2100</v>
      </c>
      <c r="AD58" s="25">
        <f>IF(F58="",G58*4.11,F58*4.11)</f>
        <v>246.60000000000002</v>
      </c>
      <c r="AE58" s="25">
        <v>379</v>
      </c>
      <c r="AF58" s="25">
        <f>V58+Y58+Z58+AA58+AB58+AC58+AD58</f>
        <v>158527.16666666666</v>
      </c>
      <c r="AG58" s="25">
        <f>IFERROR(IFERROR((H58*W58*J58/15)-AE58,""),"")</f>
        <v>189125.84599999999</v>
      </c>
      <c r="AH58" s="26">
        <f>IFERROR(AG58-AF58,"")</f>
        <v>30598.679333333333</v>
      </c>
      <c r="AI58" s="6">
        <f>IF(F58="",(G58/$F$82)*$AL$28,(F58/$F$82)*$AL$28)</f>
        <v>0</v>
      </c>
      <c r="AJ58" s="6">
        <f>(AH58-AI58)*70%</f>
        <v>21419.075533333333</v>
      </c>
    </row>
    <row r="59" spans="1:3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IFERROR(AH58/F58,0)+IFERROR(AH58/G58,0)</f>
        <v>509.97798888888889</v>
      </c>
    </row>
    <row r="60" spans="1:3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0.16179004604866823</v>
      </c>
    </row>
    <row r="61" spans="1:3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7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7" x14ac:dyDescent="0.35">
      <c r="A64" s="20">
        <v>45091</v>
      </c>
      <c r="B64" s="21" t="s">
        <v>419</v>
      </c>
      <c r="C64" s="21" t="s">
        <v>568</v>
      </c>
      <c r="D64" s="44">
        <v>149871</v>
      </c>
      <c r="E64" s="44"/>
      <c r="F64" s="21"/>
      <c r="G64" s="21">
        <v>180</v>
      </c>
      <c r="H64" s="22">
        <v>69110</v>
      </c>
      <c r="I64" s="33">
        <v>0.5</v>
      </c>
      <c r="J64" s="24">
        <f>IFERROR(K64/H64,"")</f>
        <v>0.49719288091448416</v>
      </c>
      <c r="K64" s="22">
        <v>34361</v>
      </c>
      <c r="L64" s="21">
        <v>28</v>
      </c>
      <c r="M64" s="21">
        <v>120</v>
      </c>
      <c r="N64" s="21">
        <v>25</v>
      </c>
      <c r="O64" s="21">
        <v>6</v>
      </c>
      <c r="P64" s="21">
        <v>1</v>
      </c>
      <c r="Q64" s="21"/>
      <c r="R64" s="21"/>
      <c r="S64" s="21"/>
      <c r="T64" s="21"/>
      <c r="U64" s="25">
        <v>200</v>
      </c>
      <c r="V64" s="25">
        <f>H64*U64*I64/15</f>
        <v>460733.33333333331</v>
      </c>
      <c r="W64" s="25">
        <v>247.41</v>
      </c>
      <c r="X64" s="25">
        <v>566751.78</v>
      </c>
      <c r="Y64" s="25">
        <f>G64*60</f>
        <v>10800</v>
      </c>
      <c r="Z64" s="25">
        <f>14063.14+28696.68</f>
        <v>42759.82</v>
      </c>
      <c r="AA64" s="25">
        <v>0</v>
      </c>
      <c r="AB64" s="25">
        <v>3600</v>
      </c>
      <c r="AC64" s="25">
        <f>G64*35+F64*38</f>
        <v>6300</v>
      </c>
      <c r="AD64" s="25">
        <f>IF(F64="",G64*4.11,F64*4.11)</f>
        <v>739.80000000000007</v>
      </c>
      <c r="AE64" s="25">
        <v>1133.49</v>
      </c>
      <c r="AF64" s="25">
        <f>V64+Y64+Z64+AA64+AB64+AC64+AD64</f>
        <v>524932.95333333337</v>
      </c>
      <c r="AG64" s="25">
        <f>IFERROR(IFERROR((H64*W64*J64/15)-AE64,""),"")</f>
        <v>565616.84400000016</v>
      </c>
      <c r="AH64" s="26">
        <f>IFERROR(AG64-AF64,"")</f>
        <v>40683.89066666679</v>
      </c>
      <c r="AI64" s="6">
        <f>IF(F64="",(G64/$F$82)*$AL$28,(F64/$F$82)*$AL$28)</f>
        <v>0</v>
      </c>
      <c r="AJ64" s="6">
        <f>(AH64-AI64)*70%</f>
        <v>28478.72346666675</v>
      </c>
      <c r="AK64" t="s">
        <v>580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226.02161481481551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7.1928357682832331E-2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ht="1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47"/>
      <c r="AI68" s="47"/>
      <c r="AJ68" s="47"/>
    </row>
    <row r="69" spans="1:36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258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20">
        <v>45091</v>
      </c>
      <c r="B70" s="21" t="s">
        <v>419</v>
      </c>
      <c r="C70" s="21" t="s">
        <v>116</v>
      </c>
      <c r="D70" s="44">
        <v>149104</v>
      </c>
      <c r="E70" s="44"/>
      <c r="F70" s="21"/>
      <c r="G70" s="21">
        <v>60</v>
      </c>
      <c r="H70" s="22">
        <v>25620</v>
      </c>
      <c r="I70" s="33">
        <v>0.5</v>
      </c>
      <c r="J70" s="24">
        <f>IFERROR(K70/H70,"")</f>
        <v>0.52943013270882122</v>
      </c>
      <c r="K70" s="22">
        <v>13564</v>
      </c>
      <c r="L70" s="21">
        <v>6</v>
      </c>
      <c r="M70" s="21">
        <v>24</v>
      </c>
      <c r="N70" s="21">
        <v>22</v>
      </c>
      <c r="O70" s="21">
        <v>8</v>
      </c>
      <c r="P70" s="21"/>
      <c r="Q70" s="21"/>
      <c r="R70" s="21"/>
      <c r="S70" s="21"/>
      <c r="T70" s="21"/>
      <c r="U70" s="25">
        <v>200</v>
      </c>
      <c r="V70" s="25">
        <f>H70*U70*I70/15</f>
        <v>170800</v>
      </c>
      <c r="W70" s="25">
        <v>249.58</v>
      </c>
      <c r="X70" s="25">
        <v>225687.94</v>
      </c>
      <c r="Y70" s="25">
        <f>G70*60</f>
        <v>3600</v>
      </c>
      <c r="Z70" s="25">
        <v>11332.44</v>
      </c>
      <c r="AA70" s="25">
        <v>0</v>
      </c>
      <c r="AB70" s="25">
        <v>1200</v>
      </c>
      <c r="AC70" s="25">
        <f>G70*35+F70*38</f>
        <v>2100</v>
      </c>
      <c r="AD70" s="25">
        <f>IF(F70="",G70*4.11,F70*4.11)</f>
        <v>246.60000000000002</v>
      </c>
      <c r="AE70" s="25">
        <v>451.37</v>
      </c>
      <c r="AF70" s="25">
        <f>V70+Y70+Z70+AA70+AB70+AC70+AD70</f>
        <v>189279.04</v>
      </c>
      <c r="AG70" s="25">
        <f>IFERROR(IFERROR((H70*W70*J70/15)-AE70,""),"")</f>
        <v>225235.50466666667</v>
      </c>
      <c r="AH70" s="26">
        <f>IFERROR(AG70-AF70,"")</f>
        <v>35956.464666666667</v>
      </c>
      <c r="AI70" s="6">
        <f>IF(F70="",(G70/$F$82)*$AL$28,(F70/$F$82)*$AL$28)</f>
        <v>0</v>
      </c>
      <c r="AJ70" s="6">
        <f>(AH70-AI70)*70%</f>
        <v>25169.525266666664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IFERROR(AH70/F70,0)+IFERROR(AH70/G70,0)</f>
        <v>599.27441111111114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0.15963941706206491</v>
      </c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47"/>
      <c r="AI73" s="47"/>
      <c r="AJ73" s="47"/>
    </row>
    <row r="74" spans="1:36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47"/>
      <c r="AI74" s="47"/>
      <c r="AJ74" s="47"/>
    </row>
    <row r="75" spans="1:36" x14ac:dyDescent="0.35">
      <c r="A75" s="14" t="s">
        <v>1</v>
      </c>
      <c r="B75" s="14" t="s">
        <v>2</v>
      </c>
      <c r="C75" s="14" t="s">
        <v>110</v>
      </c>
      <c r="D75" s="14" t="s">
        <v>66</v>
      </c>
      <c r="E75" s="14"/>
      <c r="F75" s="14" t="s">
        <v>137</v>
      </c>
      <c r="G75" s="14" t="s">
        <v>138</v>
      </c>
      <c r="H75" s="14" t="s">
        <v>4</v>
      </c>
      <c r="I75" s="14" t="s">
        <v>5</v>
      </c>
      <c r="J75" s="14" t="s">
        <v>6</v>
      </c>
      <c r="K75" s="14" t="s">
        <v>7</v>
      </c>
      <c r="L75" s="14" t="s">
        <v>279</v>
      </c>
      <c r="M75" s="14" t="s">
        <v>280</v>
      </c>
      <c r="N75" s="14" t="s">
        <v>281</v>
      </c>
      <c r="O75" s="14" t="s">
        <v>282</v>
      </c>
      <c r="P75" s="14" t="s">
        <v>283</v>
      </c>
      <c r="Q75" s="14" t="s">
        <v>284</v>
      </c>
      <c r="R75" s="14" t="s">
        <v>904</v>
      </c>
      <c r="S75" s="14" t="s">
        <v>285</v>
      </c>
      <c r="T75" s="14" t="s">
        <v>289</v>
      </c>
      <c r="U75" s="14" t="s">
        <v>8</v>
      </c>
      <c r="V75" s="14" t="s">
        <v>9</v>
      </c>
      <c r="W75" s="14" t="s">
        <v>10</v>
      </c>
      <c r="X75" s="14" t="s">
        <v>100</v>
      </c>
      <c r="Y75" s="14" t="s">
        <v>106</v>
      </c>
      <c r="Z75" s="14" t="s">
        <v>12</v>
      </c>
      <c r="AA75" s="14" t="s">
        <v>258</v>
      </c>
      <c r="AB75" s="14" t="s">
        <v>13</v>
      </c>
      <c r="AC75" s="14" t="s">
        <v>74</v>
      </c>
      <c r="AD75" s="14" t="s">
        <v>21</v>
      </c>
      <c r="AE75" s="14" t="s">
        <v>14</v>
      </c>
      <c r="AF75" s="14" t="s">
        <v>15</v>
      </c>
      <c r="AG75" s="14" t="s">
        <v>16</v>
      </c>
      <c r="AH75" s="15" t="s">
        <v>17</v>
      </c>
      <c r="AI75" s="14" t="s">
        <v>679</v>
      </c>
      <c r="AJ75" s="14" t="s">
        <v>678</v>
      </c>
    </row>
    <row r="76" spans="1:36" x14ac:dyDescent="0.35">
      <c r="A76" s="20">
        <v>45089</v>
      </c>
      <c r="B76" s="21" t="s">
        <v>419</v>
      </c>
      <c r="C76" s="21" t="s">
        <v>319</v>
      </c>
      <c r="D76" s="44">
        <v>149340</v>
      </c>
      <c r="E76" s="44"/>
      <c r="F76" s="21">
        <v>50</v>
      </c>
      <c r="G76" s="21"/>
      <c r="H76" s="22">
        <v>25870</v>
      </c>
      <c r="I76" s="33">
        <v>0.53</v>
      </c>
      <c r="J76" s="24">
        <f>IFERROR(K76/H76,"")</f>
        <v>0.52533822960958643</v>
      </c>
      <c r="K76" s="22">
        <v>13590.5</v>
      </c>
      <c r="L76" s="21">
        <v>1</v>
      </c>
      <c r="M76" s="21">
        <v>20</v>
      </c>
      <c r="N76" s="21">
        <v>19</v>
      </c>
      <c r="O76" s="21">
        <v>8</v>
      </c>
      <c r="P76" s="21">
        <v>1</v>
      </c>
      <c r="Q76" s="21">
        <v>1</v>
      </c>
      <c r="R76" s="21"/>
      <c r="S76" s="21"/>
      <c r="T76" s="21"/>
      <c r="U76" s="25">
        <v>210</v>
      </c>
      <c r="V76" s="25">
        <f>H76*U76*I76/15</f>
        <v>191955.4</v>
      </c>
      <c r="W76" s="25">
        <v>249.16</v>
      </c>
      <c r="X76" s="25">
        <v>225750.39999999999</v>
      </c>
      <c r="Y76" s="25">
        <f>F76*60</f>
        <v>3000</v>
      </c>
      <c r="Z76" s="25">
        <f>14370.8/2</f>
        <v>7185.4</v>
      </c>
      <c r="AA76" s="25">
        <v>0</v>
      </c>
      <c r="AB76" s="25">
        <f>2100/2</f>
        <v>1050</v>
      </c>
      <c r="AC76" s="25">
        <f>G76*35+F76*38</f>
        <v>1900</v>
      </c>
      <c r="AD76" s="25">
        <f>IF(F76="",G76*4.11,F76*4.11)</f>
        <v>205.50000000000003</v>
      </c>
      <c r="AE76" s="25">
        <v>451.5</v>
      </c>
      <c r="AF76" s="25">
        <f>V76+Y76+Z76+AA76+AB76+AC76+AD76</f>
        <v>205296.3</v>
      </c>
      <c r="AG76" s="25">
        <f>IFERROR(IFERROR((H76*W76*J76/15)-AE76,""),"")</f>
        <v>225295.76533333337</v>
      </c>
      <c r="AH76" s="26">
        <f>IFERROR(AG76-AF76,"")</f>
        <v>19999.465333333384</v>
      </c>
      <c r="AI76" s="6">
        <f>IF(F76="",(G76/$F$82)*$AL$28,(F76/$F$82)*$AL$28)</f>
        <v>0</v>
      </c>
      <c r="AJ76" s="6">
        <f>(AH76-AI76)*70%</f>
        <v>13999.625733333369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3"/>
      <c r="AA77" s="21"/>
      <c r="AB77" s="21"/>
      <c r="AC77" s="21"/>
      <c r="AD77" s="21"/>
      <c r="AE77" s="21"/>
      <c r="AF77" s="21"/>
      <c r="AG77" s="21"/>
      <c r="AH77" s="26">
        <f>IFERROR(AH76/F76,0)+IFERROR(AH76/G76,0)</f>
        <v>399.98930666666769</v>
      </c>
    </row>
    <row r="78" spans="1:36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7">
        <f>IFERROR(AH76/AG76,"")</f>
        <v>8.8769823541705012E-2</v>
      </c>
    </row>
    <row r="79" spans="1:36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47"/>
      <c r="AI79" s="47"/>
      <c r="AJ79" s="47"/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47"/>
      <c r="AI80" s="47"/>
      <c r="AJ80" s="47"/>
    </row>
    <row r="81" spans="1:36" ht="15" thickBot="1" x14ac:dyDescent="0.4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47"/>
      <c r="AI81" s="47"/>
      <c r="AJ81" s="47"/>
    </row>
    <row r="82" spans="1:36" ht="16" thickBot="1" x14ac:dyDescent="0.4">
      <c r="A82" s="377" t="s">
        <v>543</v>
      </c>
      <c r="B82" s="378"/>
      <c r="C82" s="378"/>
      <c r="D82" s="378"/>
      <c r="E82" s="378"/>
      <c r="F82" s="30">
        <f>SUM(F4:G76)</f>
        <v>797</v>
      </c>
      <c r="G82" s="30"/>
      <c r="H82" s="30"/>
      <c r="I82" s="30"/>
      <c r="J82" s="30"/>
      <c r="K82" s="30"/>
      <c r="L82" s="46"/>
      <c r="M82" s="46"/>
      <c r="N82" s="46"/>
      <c r="O82" s="46"/>
      <c r="P82" s="46"/>
      <c r="Q82" s="46"/>
      <c r="R82" s="46"/>
      <c r="S82" s="46"/>
      <c r="T82" s="46"/>
      <c r="U82" s="30"/>
      <c r="V82" s="31">
        <f>V4+V10+V16+V22+V28+V34+V40+V46+V52+V58+V64+V70+V76</f>
        <v>2519233.6324666669</v>
      </c>
      <c r="W82" s="30"/>
      <c r="X82" s="30"/>
      <c r="Y82" s="31">
        <f t="shared" ref="Y82:AJ82" si="0">Y4+Y10+Y16+Y22+Y28+Y34+Y40+Y46+Y52+Y58+Y64+Y70+Y76</f>
        <v>47820</v>
      </c>
      <c r="Z82" s="31">
        <f t="shared" si="0"/>
        <v>145159.4</v>
      </c>
      <c r="AA82" s="31">
        <f t="shared" si="0"/>
        <v>0</v>
      </c>
      <c r="AB82" s="31">
        <f t="shared" si="0"/>
        <v>16041.5</v>
      </c>
      <c r="AC82" s="31">
        <f t="shared" si="0"/>
        <v>28648</v>
      </c>
      <c r="AD82" s="31">
        <f t="shared" si="0"/>
        <v>3275.67</v>
      </c>
      <c r="AE82" s="31">
        <f t="shared" si="0"/>
        <v>6212.7300000000005</v>
      </c>
      <c r="AF82" s="31">
        <f t="shared" si="0"/>
        <v>2760178.2024666667</v>
      </c>
      <c r="AG82" s="31">
        <f t="shared" si="0"/>
        <v>3100149.0393333333</v>
      </c>
      <c r="AH82" s="31">
        <f t="shared" si="0"/>
        <v>339970.83686666703</v>
      </c>
      <c r="AI82" s="31">
        <f t="shared" si="0"/>
        <v>0</v>
      </c>
      <c r="AJ82" s="31">
        <f t="shared" si="0"/>
        <v>237979.5858066669</v>
      </c>
    </row>
  </sheetData>
  <mergeCells count="2">
    <mergeCell ref="U2:AC2"/>
    <mergeCell ref="A82:E82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66">
    <tabColor rgb="FF92D050"/>
  </sheetPr>
  <dimension ref="A1:AO115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5" width="12.453125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4.453125" customWidth="1"/>
    <col min="26" max="26" width="13.816406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21.1796875" bestFit="1" customWidth="1"/>
    <col min="39" max="39" width="18" customWidth="1"/>
    <col min="40" max="40" width="13.453125" bestFit="1" customWidth="1"/>
    <col min="41" max="41" width="9.1796875" customWidth="1"/>
  </cols>
  <sheetData>
    <row r="1" spans="1:41" ht="15" thickBot="1" x14ac:dyDescent="0.4"/>
    <row r="2" spans="1:41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AF115</f>
        <v>4090109.0563440872</v>
      </c>
      <c r="AM3" s="164">
        <f>AH115-AI115</f>
        <v>353860.87246591377</v>
      </c>
    </row>
    <row r="4" spans="1:41" x14ac:dyDescent="0.35">
      <c r="A4" s="20">
        <v>45094</v>
      </c>
      <c r="B4" s="21" t="s">
        <v>563</v>
      </c>
      <c r="C4" s="21" t="s">
        <v>384</v>
      </c>
      <c r="D4" s="145">
        <v>149336</v>
      </c>
      <c r="E4" s="44"/>
      <c r="F4" s="21"/>
      <c r="G4" s="21">
        <v>198</v>
      </c>
      <c r="H4" s="22">
        <v>70340</v>
      </c>
      <c r="I4" s="33">
        <v>0.5</v>
      </c>
      <c r="J4" s="24">
        <f>IFERROR(K4/H4,"")</f>
        <v>0.53269121410292863</v>
      </c>
      <c r="K4" s="22">
        <v>37469.5</v>
      </c>
      <c r="L4" s="21">
        <v>152</v>
      </c>
      <c r="M4" s="21">
        <v>45</v>
      </c>
      <c r="N4" s="21">
        <v>1</v>
      </c>
      <c r="O4" s="21"/>
      <c r="P4" s="21"/>
      <c r="Q4" s="21"/>
      <c r="R4" s="21"/>
      <c r="S4" s="21"/>
      <c r="T4" s="21"/>
      <c r="U4" s="25">
        <v>210</v>
      </c>
      <c r="V4" s="25">
        <f>H4*U4*I4/15</f>
        <v>492380</v>
      </c>
      <c r="W4" s="139">
        <v>249.03</v>
      </c>
      <c r="X4" s="25">
        <v>628423.01</v>
      </c>
      <c r="Y4" s="25">
        <f>G4*60</f>
        <v>11880</v>
      </c>
      <c r="Z4" s="25">
        <f>8404.2+16822.8</f>
        <v>25227</v>
      </c>
      <c r="AA4" s="25">
        <v>0</v>
      </c>
      <c r="AB4" s="25">
        <v>4158</v>
      </c>
      <c r="AC4" s="25">
        <f>G4*35+F4*38</f>
        <v>6930</v>
      </c>
      <c r="AD4" s="25">
        <f>IF(F4="",G4*4.11,F4*4.11)</f>
        <v>813.78000000000009</v>
      </c>
      <c r="AE4" s="139">
        <v>1244.2715999999998</v>
      </c>
      <c r="AF4" s="25">
        <f>V4+Y4+Z4+AA4+AB4+AC4+AD4</f>
        <v>541388.78</v>
      </c>
      <c r="AG4" s="25">
        <f>IFERROR(IFERROR((H4*W4*J4/15)-AE4,""),"")</f>
        <v>620824.36739999999</v>
      </c>
      <c r="AH4" s="26">
        <f>IFERROR(AG4-AF4,"")</f>
        <v>79435.58739999996</v>
      </c>
      <c r="AI4" s="6">
        <f>IF(F4="",(G4/$F$115)*$AL$27,(F4/$F$115)*$AL$27)</f>
        <v>297.03594553706506</v>
      </c>
      <c r="AJ4" s="6">
        <f>(AH4-AI4)*70%</f>
        <v>55396.986018124022</v>
      </c>
      <c r="AK4" t="s">
        <v>580</v>
      </c>
      <c r="AL4" s="166" t="s">
        <v>749</v>
      </c>
      <c r="AM4" s="167">
        <f>AM3/AL3</f>
        <v>8.6516243843681173E-2</v>
      </c>
    </row>
    <row r="5" spans="1:41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401.18983535353516</v>
      </c>
    </row>
    <row r="6" spans="1:41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0.12795178728675649</v>
      </c>
      <c r="AO6" s="6"/>
    </row>
    <row r="7" spans="1:41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47"/>
      <c r="AJ7" s="47"/>
      <c r="AM7" s="63"/>
    </row>
    <row r="8" spans="1:41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47"/>
      <c r="AI8" s="47"/>
      <c r="AJ8" s="47"/>
      <c r="AM8" s="63"/>
    </row>
    <row r="9" spans="1:41" x14ac:dyDescent="0.35">
      <c r="A9" s="14" t="s">
        <v>1</v>
      </c>
      <c r="B9" s="14" t="s">
        <v>2</v>
      </c>
      <c r="C9" s="14" t="s">
        <v>110</v>
      </c>
      <c r="D9" s="14" t="s">
        <v>66</v>
      </c>
      <c r="E9" s="14"/>
      <c r="F9" s="14" t="s">
        <v>137</v>
      </c>
      <c r="G9" s="14" t="s">
        <v>138</v>
      </c>
      <c r="H9" s="14" t="s">
        <v>4</v>
      </c>
      <c r="I9" s="14" t="s">
        <v>5</v>
      </c>
      <c r="J9" s="14" t="s">
        <v>6</v>
      </c>
      <c r="K9" s="14" t="s">
        <v>7</v>
      </c>
      <c r="L9" s="14" t="s">
        <v>279</v>
      </c>
      <c r="M9" s="14" t="s">
        <v>280</v>
      </c>
      <c r="N9" s="14" t="s">
        <v>281</v>
      </c>
      <c r="O9" s="14" t="s">
        <v>282</v>
      </c>
      <c r="P9" s="14" t="s">
        <v>283</v>
      </c>
      <c r="Q9" s="14" t="s">
        <v>284</v>
      </c>
      <c r="R9" s="14" t="s">
        <v>904</v>
      </c>
      <c r="S9" s="14" t="s">
        <v>285</v>
      </c>
      <c r="T9" s="14" t="s">
        <v>289</v>
      </c>
      <c r="U9" s="14" t="s">
        <v>8</v>
      </c>
      <c r="V9" s="14" t="s">
        <v>9</v>
      </c>
      <c r="W9" s="14" t="s">
        <v>10</v>
      </c>
      <c r="X9" s="14" t="s">
        <v>100</v>
      </c>
      <c r="Y9" s="14" t="s">
        <v>106</v>
      </c>
      <c r="Z9" s="14" t="s">
        <v>12</v>
      </c>
      <c r="AA9" s="14" t="s">
        <v>258</v>
      </c>
      <c r="AB9" s="14" t="s">
        <v>13</v>
      </c>
      <c r="AC9" s="14" t="s">
        <v>74</v>
      </c>
      <c r="AD9" s="14" t="s">
        <v>21</v>
      </c>
      <c r="AE9" s="14" t="s">
        <v>14</v>
      </c>
      <c r="AF9" s="14" t="s">
        <v>15</v>
      </c>
      <c r="AG9" s="14" t="s">
        <v>16</v>
      </c>
      <c r="AH9" s="15" t="s">
        <v>17</v>
      </c>
      <c r="AI9" s="14" t="s">
        <v>679</v>
      </c>
      <c r="AJ9" s="14" t="s">
        <v>678</v>
      </c>
      <c r="AL9">
        <f>F88+G88+F94+G94+F100+G100+F106+G106</f>
        <v>192</v>
      </c>
      <c r="AM9" s="50" t="s">
        <v>22</v>
      </c>
      <c r="AN9" t="s">
        <v>72</v>
      </c>
    </row>
    <row r="10" spans="1:41" x14ac:dyDescent="0.35">
      <c r="A10" s="20">
        <v>45095</v>
      </c>
      <c r="B10" s="21" t="s">
        <v>563</v>
      </c>
      <c r="C10" s="21" t="s">
        <v>384</v>
      </c>
      <c r="D10" s="145">
        <v>149335</v>
      </c>
      <c r="E10" s="44"/>
      <c r="F10" s="21"/>
      <c r="G10" s="21">
        <v>299</v>
      </c>
      <c r="H10" s="22">
        <v>116510.33333333334</v>
      </c>
      <c r="I10" s="33">
        <v>0.5</v>
      </c>
      <c r="J10" s="24">
        <f>IFERROR(K10/H10,"")</f>
        <v>0.52632241489309961</v>
      </c>
      <c r="K10" s="22">
        <v>61322</v>
      </c>
      <c r="L10" s="21">
        <v>110</v>
      </c>
      <c r="M10" s="21">
        <v>21</v>
      </c>
      <c r="N10" s="21">
        <v>5</v>
      </c>
      <c r="O10" s="21">
        <v>14</v>
      </c>
      <c r="P10" s="21">
        <v>149</v>
      </c>
      <c r="Q10" s="21"/>
      <c r="R10" s="21"/>
      <c r="S10" s="21"/>
      <c r="T10" s="21"/>
      <c r="U10" s="25">
        <v>210</v>
      </c>
      <c r="V10" s="25">
        <f>H10*U10*I10/15</f>
        <v>815572.33333333349</v>
      </c>
      <c r="W10" s="139">
        <v>229.65</v>
      </c>
      <c r="X10" s="25">
        <v>948304.33</v>
      </c>
      <c r="Y10" s="25">
        <f>G10*60</f>
        <v>17940</v>
      </c>
      <c r="Z10" s="25">
        <v>41880.93</v>
      </c>
      <c r="AA10" s="25">
        <v>0</v>
      </c>
      <c r="AB10" s="25">
        <v>6300</v>
      </c>
      <c r="AC10" s="25">
        <f>G10*35+F10*38</f>
        <v>10465</v>
      </c>
      <c r="AD10" s="25">
        <f>IF(F10="",G10*4.11,F10*4.11)</f>
        <v>1228.8900000000001</v>
      </c>
      <c r="AE10" s="139">
        <f>1877.6538</f>
        <v>1877.6538</v>
      </c>
      <c r="AF10" s="25">
        <f>V10+Y10+Z10+AA10+AB10+AC10+AD10</f>
        <v>893387.15333333355</v>
      </c>
      <c r="AG10" s="25">
        <f>IFERROR(IFERROR((H10*W10*J10/15)-AE10,""),"")</f>
        <v>936962.16620000021</v>
      </c>
      <c r="AH10" s="26">
        <f>IFERROR(AG10-AF10,"")</f>
        <v>43575.012866666657</v>
      </c>
      <c r="AI10" s="6">
        <f>IF(F10="",(G10/$F$115)*$AL$27,(F10/$F$115)*$AL$27)</f>
        <v>448.55428139183056</v>
      </c>
      <c r="AJ10" s="6">
        <f>(AH10-AI10)*70%</f>
        <v>30188.521009692377</v>
      </c>
      <c r="AK10" t="s">
        <v>580</v>
      </c>
      <c r="AL10" s="11">
        <f>AH88+AH94+AH100+AH106</f>
        <v>59537.693655914001</v>
      </c>
      <c r="AM10" s="11">
        <f>(AL10*30%+474.68)</f>
        <v>18335.988096774199</v>
      </c>
      <c r="AN10" s="2">
        <v>45110</v>
      </c>
    </row>
    <row r="11" spans="1:41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5"/>
      <c r="W11" s="21"/>
      <c r="X11" s="21"/>
      <c r="Y11" s="21"/>
      <c r="Z11" s="3"/>
      <c r="AA11" s="21"/>
      <c r="AB11" s="21"/>
      <c r="AC11" s="21"/>
      <c r="AD11" s="21"/>
      <c r="AE11" s="21"/>
      <c r="AF11" s="25"/>
      <c r="AG11" s="21"/>
      <c r="AH11" s="26">
        <f>IFERROR(AH10/F10,0)+IFERROR(AH10/G10,0)</f>
        <v>145.73582898550723</v>
      </c>
    </row>
    <row r="12" spans="1:4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5"/>
      <c r="AA12" s="21"/>
      <c r="AB12" s="21"/>
      <c r="AC12" s="21"/>
      <c r="AD12" s="21"/>
      <c r="AE12" s="21"/>
      <c r="AF12" s="21"/>
      <c r="AG12" s="21"/>
      <c r="AH12" s="27">
        <f>IFERROR(AH10/AG10,"")</f>
        <v>4.6506694121270752E-2</v>
      </c>
    </row>
    <row r="13" spans="1:41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47"/>
      <c r="AI13" s="47"/>
      <c r="AJ13" s="47"/>
    </row>
    <row r="14" spans="1:41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47"/>
      <c r="AI14" s="47"/>
      <c r="AJ14" s="47"/>
    </row>
    <row r="15" spans="1:41" x14ac:dyDescent="0.35">
      <c r="A15" s="14" t="s">
        <v>1</v>
      </c>
      <c r="B15" s="14" t="s">
        <v>2</v>
      </c>
      <c r="C15" s="14" t="s">
        <v>110</v>
      </c>
      <c r="D15" s="14" t="s">
        <v>66</v>
      </c>
      <c r="E15" s="14"/>
      <c r="F15" s="14" t="s">
        <v>137</v>
      </c>
      <c r="G15" s="14" t="s">
        <v>138</v>
      </c>
      <c r="H15" s="14" t="s">
        <v>4</v>
      </c>
      <c r="I15" s="14" t="s">
        <v>5</v>
      </c>
      <c r="J15" s="14" t="s">
        <v>6</v>
      </c>
      <c r="K15" s="14" t="s">
        <v>7</v>
      </c>
      <c r="L15" s="14" t="s">
        <v>279</v>
      </c>
      <c r="M15" s="14" t="s">
        <v>280</v>
      </c>
      <c r="N15" s="14" t="s">
        <v>281</v>
      </c>
      <c r="O15" s="14" t="s">
        <v>282</v>
      </c>
      <c r="P15" s="14" t="s">
        <v>283</v>
      </c>
      <c r="Q15" s="14" t="s">
        <v>284</v>
      </c>
      <c r="R15" s="14" t="s">
        <v>904</v>
      </c>
      <c r="S15" s="14" t="s">
        <v>285</v>
      </c>
      <c r="T15" s="14" t="s">
        <v>289</v>
      </c>
      <c r="U15" s="14" t="s">
        <v>8</v>
      </c>
      <c r="V15" s="14" t="s">
        <v>9</v>
      </c>
      <c r="W15" s="14" t="s">
        <v>10</v>
      </c>
      <c r="X15" s="14" t="s">
        <v>100</v>
      </c>
      <c r="Y15" s="14" t="s">
        <v>106</v>
      </c>
      <c r="Z15" s="14" t="s">
        <v>12</v>
      </c>
      <c r="AA15" s="14" t="s">
        <v>258</v>
      </c>
      <c r="AB15" s="14" t="s">
        <v>13</v>
      </c>
      <c r="AC15" s="14" t="s">
        <v>74</v>
      </c>
      <c r="AD15" s="14" t="s">
        <v>21</v>
      </c>
      <c r="AE15" s="14" t="s">
        <v>14</v>
      </c>
      <c r="AF15" s="14" t="s">
        <v>15</v>
      </c>
      <c r="AG15" s="14" t="s">
        <v>16</v>
      </c>
      <c r="AH15" s="15" t="s">
        <v>17</v>
      </c>
      <c r="AI15" s="14" t="s">
        <v>679</v>
      </c>
      <c r="AJ15" s="14" t="s">
        <v>678</v>
      </c>
    </row>
    <row r="16" spans="1:41" x14ac:dyDescent="0.35">
      <c r="A16" s="20">
        <v>45096</v>
      </c>
      <c r="B16" s="21" t="s">
        <v>563</v>
      </c>
      <c r="C16" s="21" t="s">
        <v>565</v>
      </c>
      <c r="D16" s="145">
        <v>150212</v>
      </c>
      <c r="E16" s="44"/>
      <c r="F16" s="21"/>
      <c r="G16" s="21">
        <v>45</v>
      </c>
      <c r="H16" s="22">
        <v>24120</v>
      </c>
      <c r="I16" s="33">
        <v>0.5</v>
      </c>
      <c r="J16" s="24">
        <f>IFERROR(K16/H16,"")</f>
        <v>0.48720978441127694</v>
      </c>
      <c r="K16" s="22">
        <v>11751.5</v>
      </c>
      <c r="L16" s="21">
        <v>20</v>
      </c>
      <c r="M16" s="21">
        <v>25</v>
      </c>
      <c r="N16" s="21"/>
      <c r="O16" s="21"/>
      <c r="P16" s="21"/>
      <c r="Q16" s="21"/>
      <c r="R16" s="21"/>
      <c r="S16" s="21"/>
      <c r="T16" s="21"/>
      <c r="U16" s="25">
        <v>200</v>
      </c>
      <c r="V16" s="25">
        <f>H16*U16*I16/15</f>
        <v>160800</v>
      </c>
      <c r="W16" s="139">
        <v>258.32069999999999</v>
      </c>
      <c r="X16" s="25">
        <v>204422.63</v>
      </c>
      <c r="Y16" s="25">
        <f>G16*60</f>
        <v>2700</v>
      </c>
      <c r="Z16" s="25">
        <v>6562.4236363636364</v>
      </c>
      <c r="AA16" s="25">
        <v>0</v>
      </c>
      <c r="AB16" s="25">
        <v>900</v>
      </c>
      <c r="AC16" s="25">
        <f>G16*35+F16*38</f>
        <v>1575</v>
      </c>
      <c r="AD16" s="25">
        <f>IF(F16="",G16*4.11,F16*4.11)</f>
        <v>184.95000000000002</v>
      </c>
      <c r="AE16" s="139">
        <v>404.74169999999998</v>
      </c>
      <c r="AF16" s="25">
        <f>V16+Y16+Z16+AA16+AB16+AC16+AD16</f>
        <v>172722.37363636366</v>
      </c>
      <c r="AG16" s="25">
        <f>IFERROR(IFERROR((H16*W16*J16/15)-AE16,""),"")</f>
        <v>201972.30536999996</v>
      </c>
      <c r="AH16" s="26">
        <f>IFERROR(AG16-AF16,"")</f>
        <v>29249.931733636302</v>
      </c>
      <c r="AI16" s="6">
        <f>IF(F16="",(G16/$F$115)*$AL$27,(F16/$F$115)*$AL$27)</f>
        <v>67.508169440242057</v>
      </c>
      <c r="AJ16" s="6">
        <f>(AH16-AI16)*70%</f>
        <v>20427.696494937241</v>
      </c>
      <c r="AL16">
        <f>F4+G4+F10+G10+F16+G16+F22+G22+F28+G28+F34+G34+F40+G40+F46+G46+F52+G52+F58+G58+F64+G64+F70+G70+F76+G76+F82+G82</f>
        <v>1127</v>
      </c>
      <c r="AM16" s="50" t="s">
        <v>22</v>
      </c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3"/>
      <c r="AA17" s="21"/>
      <c r="AB17" s="25"/>
      <c r="AC17" s="21"/>
      <c r="AD17" s="21"/>
      <c r="AE17" s="21"/>
      <c r="AF17" s="21"/>
      <c r="AG17" s="21"/>
      <c r="AH17" s="26">
        <f>IFERROR(AH16/F16,0)+IFERROR(AH16/G16,0)</f>
        <v>649.9984829696956</v>
      </c>
      <c r="AL17" s="11">
        <f>AH4+AH10+AH16+AH22+AH28+AH34+AH40+AH46+AH52+AH58+AH64+AH70+AH76+AH82+AH111</f>
        <v>296306.41880999983</v>
      </c>
      <c r="AM17" s="11">
        <f>(AL17*30%)-474.68</f>
        <v>88417.245642999958</v>
      </c>
      <c r="AN17" s="2"/>
    </row>
    <row r="18" spans="1:40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7">
        <f>IFERROR(AH16/AG16,"")</f>
        <v>0.14482149758132609</v>
      </c>
      <c r="AL18" s="11"/>
      <c r="AM18" s="11"/>
    </row>
    <row r="19" spans="1:40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47"/>
      <c r="AI19" s="47"/>
      <c r="AJ19" s="47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47"/>
      <c r="AI20" s="47"/>
      <c r="AJ20" s="47"/>
      <c r="AL20" s="11"/>
    </row>
    <row r="21" spans="1:40" x14ac:dyDescent="0.35">
      <c r="A21" s="14" t="s">
        <v>1</v>
      </c>
      <c r="B21" s="14" t="s">
        <v>2</v>
      </c>
      <c r="C21" s="14" t="s">
        <v>110</v>
      </c>
      <c r="D21" s="14" t="s">
        <v>66</v>
      </c>
      <c r="E21" s="14"/>
      <c r="F21" s="14" t="s">
        <v>137</v>
      </c>
      <c r="G21" s="14" t="s">
        <v>138</v>
      </c>
      <c r="H21" s="14" t="s">
        <v>4</v>
      </c>
      <c r="I21" s="14" t="s">
        <v>5</v>
      </c>
      <c r="J21" s="14" t="s">
        <v>6</v>
      </c>
      <c r="K21" s="14" t="s">
        <v>7</v>
      </c>
      <c r="L21" s="14" t="s">
        <v>279</v>
      </c>
      <c r="M21" s="14" t="s">
        <v>280</v>
      </c>
      <c r="N21" s="14" t="s">
        <v>281</v>
      </c>
      <c r="O21" s="14" t="s">
        <v>282</v>
      </c>
      <c r="P21" s="14" t="s">
        <v>283</v>
      </c>
      <c r="Q21" s="14" t="s">
        <v>284</v>
      </c>
      <c r="R21" s="14" t="s">
        <v>904</v>
      </c>
      <c r="S21" s="14" t="s">
        <v>285</v>
      </c>
      <c r="T21" s="14" t="s">
        <v>289</v>
      </c>
      <c r="U21" s="14" t="s">
        <v>8</v>
      </c>
      <c r="V21" s="14" t="s">
        <v>9</v>
      </c>
      <c r="W21" s="14" t="s">
        <v>10</v>
      </c>
      <c r="X21" s="14" t="s">
        <v>100</v>
      </c>
      <c r="Y21" s="14" t="s">
        <v>106</v>
      </c>
      <c r="Z21" s="14" t="s">
        <v>12</v>
      </c>
      <c r="AA21" s="14" t="s">
        <v>258</v>
      </c>
      <c r="AB21" s="14" t="s">
        <v>13</v>
      </c>
      <c r="AC21" s="14" t="s">
        <v>74</v>
      </c>
      <c r="AD21" s="14" t="s">
        <v>21</v>
      </c>
      <c r="AE21" s="14" t="s">
        <v>14</v>
      </c>
      <c r="AF21" s="14" t="s">
        <v>15</v>
      </c>
      <c r="AG21" s="14" t="s">
        <v>16</v>
      </c>
      <c r="AH21" s="15" t="s">
        <v>17</v>
      </c>
      <c r="AI21" s="14" t="s">
        <v>679</v>
      </c>
      <c r="AJ21" s="14" t="s">
        <v>678</v>
      </c>
      <c r="AL21" s="180" t="s">
        <v>187</v>
      </c>
      <c r="AM21" s="211" t="s">
        <v>680</v>
      </c>
      <c r="AN21" s="191"/>
    </row>
    <row r="22" spans="1:40" x14ac:dyDescent="0.35">
      <c r="A22" s="20">
        <v>45096</v>
      </c>
      <c r="B22" s="21" t="s">
        <v>563</v>
      </c>
      <c r="C22" s="21" t="s">
        <v>465</v>
      </c>
      <c r="D22" s="145">
        <v>150210</v>
      </c>
      <c r="E22" s="44"/>
      <c r="F22" s="21"/>
      <c r="G22" s="21">
        <v>66</v>
      </c>
      <c r="H22" s="22">
        <v>24380</v>
      </c>
      <c r="I22" s="33">
        <v>0.5</v>
      </c>
      <c r="J22" s="144">
        <f>IFERROR(K22/H22,"")</f>
        <v>0.48096800656275635</v>
      </c>
      <c r="K22" s="22">
        <v>11726</v>
      </c>
      <c r="L22" s="21">
        <v>17</v>
      </c>
      <c r="M22" s="21">
        <v>43</v>
      </c>
      <c r="N22" s="21">
        <v>5</v>
      </c>
      <c r="O22" s="21">
        <v>1</v>
      </c>
      <c r="P22" s="21"/>
      <c r="Q22" s="21"/>
      <c r="R22" s="21"/>
      <c r="S22" s="21"/>
      <c r="T22" s="21"/>
      <c r="U22" s="25">
        <v>210</v>
      </c>
      <c r="V22" s="25">
        <f>H22*U22*I22/15</f>
        <v>170660</v>
      </c>
      <c r="W22" s="139">
        <f>253.71*0.99</f>
        <v>251.1729</v>
      </c>
      <c r="X22" s="25">
        <v>198331.41</v>
      </c>
      <c r="Y22" s="25">
        <f>G22*60</f>
        <v>3960</v>
      </c>
      <c r="Z22" s="25">
        <v>13479.66</v>
      </c>
      <c r="AA22" s="25">
        <v>0</v>
      </c>
      <c r="AB22" s="25">
        <v>1386</v>
      </c>
      <c r="AC22" s="25">
        <f>G22*35+F22*38</f>
        <v>2310</v>
      </c>
      <c r="AD22" s="25">
        <f>IF(F22="",G22*4.11,F22*4.11)</f>
        <v>271.26000000000005</v>
      </c>
      <c r="AE22" s="139">
        <v>392.70330000000001</v>
      </c>
      <c r="AF22" s="25">
        <f>V22+Y22+Z22+AA22+AB22+AC22+AD22</f>
        <v>192066.92</v>
      </c>
      <c r="AG22" s="25">
        <f>IFERROR(IFERROR((H22*W22*J22/15)-AE22,""),"")</f>
        <v>195957.52506000001</v>
      </c>
      <c r="AH22" s="26">
        <f>IFERROR(AG22-AF22,"")</f>
        <v>3890.6050600000017</v>
      </c>
      <c r="AI22" s="6">
        <f>IF(F22="",(G22/$F$115)*$AL$27,(F22/$F$115)*$AL$27)</f>
        <v>99.011981845688354</v>
      </c>
      <c r="AJ22" s="6">
        <f>(AH22-AI22)*70%</f>
        <v>2654.1151547080194</v>
      </c>
      <c r="AL22" s="178">
        <f>17500-17500</f>
        <v>0</v>
      </c>
      <c r="AM22" s="6" t="s">
        <v>541</v>
      </c>
      <c r="AN22" s="174"/>
    </row>
    <row r="23" spans="1:4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3"/>
      <c r="AA23" s="21"/>
      <c r="AB23" s="21"/>
      <c r="AC23" s="21"/>
      <c r="AD23" s="21"/>
      <c r="AE23" s="21"/>
      <c r="AF23" s="21"/>
      <c r="AG23" s="21"/>
      <c r="AH23" s="26">
        <f>IFERROR(AH22/F22,0)+IFERROR(AH22/G22,0)</f>
        <v>58.948561515151539</v>
      </c>
      <c r="AL23" s="178">
        <f>64500-64500</f>
        <v>0</v>
      </c>
      <c r="AM23" s="6" t="s">
        <v>564</v>
      </c>
      <c r="AN23" s="174"/>
    </row>
    <row r="24" spans="1:40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7">
        <f>IFERROR(AH22/AG22,"")</f>
        <v>1.9854328425554169E-2</v>
      </c>
      <c r="AL24" s="178">
        <v>1054.73</v>
      </c>
      <c r="AM24" t="s">
        <v>570</v>
      </c>
      <c r="AN24" s="174"/>
    </row>
    <row r="25" spans="1:40" ht="16.5" customHeight="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4"/>
      <c r="AI25" s="47"/>
      <c r="AJ25" s="47"/>
      <c r="AL25" s="178">
        <v>928.51</v>
      </c>
      <c r="AM25" t="s">
        <v>571</v>
      </c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3"/>
      <c r="AA26" s="21"/>
      <c r="AB26" s="21"/>
      <c r="AC26" s="21"/>
      <c r="AD26" s="21"/>
      <c r="AE26" s="21"/>
      <c r="AF26" s="21"/>
      <c r="AG26" s="21"/>
      <c r="AH26" s="24"/>
      <c r="AI26" s="47"/>
      <c r="AJ26" s="47"/>
      <c r="AL26" s="205"/>
      <c r="AN26" s="174"/>
    </row>
    <row r="27" spans="1:40" x14ac:dyDescent="0.35">
      <c r="A27" s="14" t="s">
        <v>1</v>
      </c>
      <c r="B27" s="14" t="s">
        <v>2</v>
      </c>
      <c r="C27" s="14" t="s">
        <v>110</v>
      </c>
      <c r="D27" s="14" t="s">
        <v>66</v>
      </c>
      <c r="E27" s="14"/>
      <c r="F27" s="14" t="s">
        <v>137</v>
      </c>
      <c r="G27" s="14" t="s">
        <v>138</v>
      </c>
      <c r="H27" s="14" t="s">
        <v>4</v>
      </c>
      <c r="I27" s="14" t="s">
        <v>5</v>
      </c>
      <c r="J27" s="14" t="s">
        <v>6</v>
      </c>
      <c r="K27" s="14" t="s">
        <v>7</v>
      </c>
      <c r="L27" s="14" t="s">
        <v>279</v>
      </c>
      <c r="M27" s="14" t="s">
        <v>280</v>
      </c>
      <c r="N27" s="14" t="s">
        <v>281</v>
      </c>
      <c r="O27" s="14" t="s">
        <v>282</v>
      </c>
      <c r="P27" s="14" t="s">
        <v>283</v>
      </c>
      <c r="Q27" s="14" t="s">
        <v>284</v>
      </c>
      <c r="R27" s="14" t="s">
        <v>904</v>
      </c>
      <c r="S27" s="14" t="s">
        <v>285</v>
      </c>
      <c r="T27" s="14" t="s">
        <v>289</v>
      </c>
      <c r="U27" s="14" t="s">
        <v>8</v>
      </c>
      <c r="V27" s="14" t="s">
        <v>9</v>
      </c>
      <c r="W27" s="14" t="s">
        <v>10</v>
      </c>
      <c r="X27" s="14" t="s">
        <v>100</v>
      </c>
      <c r="Y27" s="14" t="s">
        <v>106</v>
      </c>
      <c r="Z27" s="14" t="s">
        <v>12</v>
      </c>
      <c r="AA27" s="14" t="s">
        <v>258</v>
      </c>
      <c r="AB27" s="14" t="s">
        <v>13</v>
      </c>
      <c r="AC27" s="14" t="s">
        <v>74</v>
      </c>
      <c r="AD27" s="14" t="s">
        <v>21</v>
      </c>
      <c r="AE27" s="14" t="s">
        <v>14</v>
      </c>
      <c r="AF27" s="14" t="s">
        <v>15</v>
      </c>
      <c r="AG27" s="14" t="s">
        <v>16</v>
      </c>
      <c r="AH27" s="15" t="s">
        <v>17</v>
      </c>
      <c r="AI27" s="14" t="s">
        <v>679</v>
      </c>
      <c r="AJ27" s="14" t="s">
        <v>678</v>
      </c>
      <c r="AL27" s="214">
        <f>SUM(AL22:AL26)</f>
        <v>1983.24</v>
      </c>
      <c r="AM27" s="189" t="s">
        <v>682</v>
      </c>
      <c r="AN27" s="191"/>
    </row>
    <row r="28" spans="1:40" x14ac:dyDescent="0.35">
      <c r="A28" s="20">
        <v>45096</v>
      </c>
      <c r="B28" s="21" t="s">
        <v>563</v>
      </c>
      <c r="C28" s="21" t="s">
        <v>569</v>
      </c>
      <c r="D28" s="145">
        <v>150211</v>
      </c>
      <c r="E28" s="44"/>
      <c r="F28" s="21"/>
      <c r="G28" s="21">
        <v>20</v>
      </c>
      <c r="H28" s="22">
        <v>8241.3799999999992</v>
      </c>
      <c r="I28" s="33">
        <v>0.5</v>
      </c>
      <c r="J28" s="24">
        <f>IFERROR(K28/H28,"")</f>
        <v>0.47029284767423873</v>
      </c>
      <c r="K28" s="22">
        <v>3875.8620689655172</v>
      </c>
      <c r="L28" s="21"/>
      <c r="M28" s="21">
        <v>3</v>
      </c>
      <c r="N28" s="21">
        <v>10</v>
      </c>
      <c r="O28" s="21">
        <v>7</v>
      </c>
      <c r="P28" s="21"/>
      <c r="Q28" s="21"/>
      <c r="R28" s="21"/>
      <c r="S28" s="21"/>
      <c r="T28" s="21"/>
      <c r="U28" s="25">
        <v>200</v>
      </c>
      <c r="V28" s="25">
        <f>H28*U28*I28/15</f>
        <v>54942.533333333326</v>
      </c>
      <c r="W28" s="139">
        <f>243.09*0.99</f>
        <v>240.6591</v>
      </c>
      <c r="X28" s="25">
        <v>0</v>
      </c>
      <c r="Y28" s="25">
        <f>G28*60</f>
        <v>1200</v>
      </c>
      <c r="Z28" s="25">
        <v>3557.8827586206899</v>
      </c>
      <c r="AA28" s="25">
        <v>0</v>
      </c>
      <c r="AB28" s="25">
        <v>400</v>
      </c>
      <c r="AC28" s="25">
        <f>G28*35+F28*38</f>
        <v>700</v>
      </c>
      <c r="AD28" s="25">
        <f>IF(F28="",G28*4.11,F28*4.11)</f>
        <v>82.2</v>
      </c>
      <c r="AE28" s="139">
        <v>124.36448275862028</v>
      </c>
      <c r="AF28" s="25">
        <f>V28+Y28+Z28+AA28+AB28+AC28+AD28</f>
        <v>60882.616091954013</v>
      </c>
      <c r="AG28" s="25">
        <f>IFERROR(IFERROR((H28*W28*J28/15)-AE28,""),"")</f>
        <v>62059.733999999997</v>
      </c>
      <c r="AH28" s="26">
        <f>IFERROR(AG28-AF28,"")</f>
        <v>1177.1179080459842</v>
      </c>
      <c r="AI28" s="6">
        <f>IF(F28="",(G28/$F$115)*$AL$27,(F28/$F$115)*$AL$27)</f>
        <v>30.003630862329803</v>
      </c>
      <c r="AJ28" s="6">
        <f>(AH28-AI28)*70%</f>
        <v>802.97999402855805</v>
      </c>
      <c r="AK28" t="s">
        <v>580</v>
      </c>
    </row>
    <row r="29" spans="1:40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3"/>
      <c r="AA29" s="21"/>
      <c r="AB29" s="21"/>
      <c r="AC29" s="21"/>
      <c r="AD29" s="21"/>
      <c r="AE29" s="21"/>
      <c r="AF29" s="21"/>
      <c r="AG29" s="21"/>
      <c r="AH29" s="26">
        <f>IFERROR(AH28/F28,0)+IFERROR(AH28/G28,0)</f>
        <v>58.855895402299211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7">
        <f>IFERROR(AH28/AG28,"")</f>
        <v>1.8967498443451018E-2</v>
      </c>
      <c r="AL30" s="11">
        <f>AL17-AL27</f>
        <v>294323.17880999984</v>
      </c>
      <c r="AM30" s="11" t="s">
        <v>471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47"/>
      <c r="AI31" s="47"/>
      <c r="AJ31" s="47"/>
      <c r="AL31" s="59">
        <f>AL30*30%</f>
        <v>88296.953642999943</v>
      </c>
      <c r="AM31" s="130" t="s">
        <v>499</v>
      </c>
      <c r="AN31" t="s">
        <v>72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  <c r="AN32" s="156">
        <v>45135</v>
      </c>
    </row>
    <row r="33" spans="1:38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8" x14ac:dyDescent="0.35">
      <c r="A34" s="20">
        <v>45096</v>
      </c>
      <c r="B34" s="21" t="s">
        <v>563</v>
      </c>
      <c r="C34" s="21" t="s">
        <v>569</v>
      </c>
      <c r="D34" s="145">
        <v>150211</v>
      </c>
      <c r="E34" s="44"/>
      <c r="F34" s="21"/>
      <c r="G34" s="21">
        <v>38</v>
      </c>
      <c r="H34" s="22">
        <v>15658.62</v>
      </c>
      <c r="I34" s="33">
        <v>0.5</v>
      </c>
      <c r="J34" s="24">
        <f>IFERROR(K34/H34,"")</f>
        <v>0.47029290774247556</v>
      </c>
      <c r="K34" s="22">
        <v>7364.1379310344828</v>
      </c>
      <c r="L34" s="21">
        <v>1</v>
      </c>
      <c r="M34" s="21">
        <v>4</v>
      </c>
      <c r="N34" s="21">
        <v>13</v>
      </c>
      <c r="O34" s="21">
        <v>17</v>
      </c>
      <c r="P34" s="21">
        <v>3</v>
      </c>
      <c r="Q34" s="21"/>
      <c r="R34" s="21"/>
      <c r="S34" s="21"/>
      <c r="T34" s="21"/>
      <c r="U34" s="25">
        <v>205</v>
      </c>
      <c r="V34" s="25">
        <f>H34*U34*I34/15</f>
        <v>107000.57</v>
      </c>
      <c r="W34" s="139">
        <f>243.09*0.99</f>
        <v>240.6591</v>
      </c>
      <c r="X34" s="25">
        <v>0</v>
      </c>
      <c r="Y34" s="25">
        <f>G34*60</f>
        <v>2280</v>
      </c>
      <c r="Z34" s="25">
        <v>6759.9772413793107</v>
      </c>
      <c r="AA34" s="25">
        <v>0</v>
      </c>
      <c r="AB34" s="25">
        <v>779</v>
      </c>
      <c r="AC34" s="25">
        <f>G34*35+F34*38</f>
        <v>1330</v>
      </c>
      <c r="AD34" s="25">
        <f>IF(F34="",G34*4.11,F34*4.11)</f>
        <v>156.18</v>
      </c>
      <c r="AE34" s="139">
        <v>236.29251724137973</v>
      </c>
      <c r="AF34" s="25">
        <f>V34+Y34+Z34+AA34+AB34+AC34+AD34</f>
        <v>118305.72724137931</v>
      </c>
      <c r="AG34" s="25">
        <f>IFERROR(IFERROR((H34*W34*J34/15)-AE34,""),"")</f>
        <v>117913.49460000001</v>
      </c>
      <c r="AH34" s="26">
        <f>IFERROR(AG34-AF34,"")</f>
        <v>-392.23264137930528</v>
      </c>
      <c r="AI34" s="6">
        <f>IF(F34="",(G34/$F$115)*$AL$27,(F34/$F$115)*$AL$27)</f>
        <v>57.006898638426627</v>
      </c>
      <c r="AJ34" s="6">
        <f>(AH34-AI34)*70%</f>
        <v>-314.46767801241231</v>
      </c>
      <c r="AK34" t="s">
        <v>580</v>
      </c>
      <c r="AL34" t="s">
        <v>618</v>
      </c>
    </row>
    <row r="35" spans="1:38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-10.321911615244876</v>
      </c>
    </row>
    <row r="36" spans="1:38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-3.3264440402676798E-3</v>
      </c>
    </row>
    <row r="37" spans="1:38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38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47"/>
      <c r="AI38" s="47"/>
      <c r="AJ38" s="47"/>
    </row>
    <row r="39" spans="1:38" x14ac:dyDescent="0.35">
      <c r="A39" s="14" t="s">
        <v>1</v>
      </c>
      <c r="B39" s="14" t="s">
        <v>2</v>
      </c>
      <c r="C39" s="14" t="s">
        <v>110</v>
      </c>
      <c r="D39" s="14" t="s">
        <v>66</v>
      </c>
      <c r="E39" s="14"/>
      <c r="F39" s="14" t="s">
        <v>137</v>
      </c>
      <c r="G39" s="14" t="s">
        <v>138</v>
      </c>
      <c r="H39" s="14" t="s">
        <v>4</v>
      </c>
      <c r="I39" s="14" t="s">
        <v>5</v>
      </c>
      <c r="J39" s="14" t="s">
        <v>6</v>
      </c>
      <c r="K39" s="14" t="s">
        <v>7</v>
      </c>
      <c r="L39" s="14" t="s">
        <v>279</v>
      </c>
      <c r="M39" s="14" t="s">
        <v>280</v>
      </c>
      <c r="N39" s="14" t="s">
        <v>281</v>
      </c>
      <c r="O39" s="14" t="s">
        <v>282</v>
      </c>
      <c r="P39" s="14" t="s">
        <v>283</v>
      </c>
      <c r="Q39" s="14" t="s">
        <v>284</v>
      </c>
      <c r="R39" s="14" t="s">
        <v>904</v>
      </c>
      <c r="S39" s="14" t="s">
        <v>285</v>
      </c>
      <c r="T39" s="14" t="s">
        <v>289</v>
      </c>
      <c r="U39" s="14" t="s">
        <v>8</v>
      </c>
      <c r="V39" s="14" t="s">
        <v>9</v>
      </c>
      <c r="W39" s="14" t="s">
        <v>10</v>
      </c>
      <c r="X39" s="14" t="s">
        <v>100</v>
      </c>
      <c r="Y39" s="14" t="s">
        <v>106</v>
      </c>
      <c r="Z39" s="14" t="s">
        <v>12</v>
      </c>
      <c r="AA39" s="14" t="s">
        <v>258</v>
      </c>
      <c r="AB39" s="14" t="s">
        <v>13</v>
      </c>
      <c r="AC39" s="14" t="s">
        <v>74</v>
      </c>
      <c r="AD39" s="14" t="s">
        <v>21</v>
      </c>
      <c r="AE39" s="14" t="s">
        <v>14</v>
      </c>
      <c r="AF39" s="14" t="s">
        <v>15</v>
      </c>
      <c r="AG39" s="14" t="s">
        <v>16</v>
      </c>
      <c r="AH39" s="15" t="s">
        <v>17</v>
      </c>
      <c r="AI39" s="14" t="s">
        <v>679</v>
      </c>
      <c r="AJ39" s="14" t="s">
        <v>678</v>
      </c>
    </row>
    <row r="40" spans="1:38" x14ac:dyDescent="0.35">
      <c r="A40" s="38">
        <v>45096</v>
      </c>
      <c r="B40" s="39" t="s">
        <v>563</v>
      </c>
      <c r="C40" s="39" t="s">
        <v>566</v>
      </c>
      <c r="D40" s="145">
        <v>150208</v>
      </c>
      <c r="E40" s="45"/>
      <c r="F40" s="39"/>
      <c r="G40" s="39">
        <v>123</v>
      </c>
      <c r="H40" s="40">
        <v>51848.467741935485</v>
      </c>
      <c r="I40" s="53">
        <v>0.5</v>
      </c>
      <c r="J40" s="42">
        <f>IFERROR(K40/H40,"")</f>
        <v>0.5294274102105857</v>
      </c>
      <c r="K40" s="40">
        <v>27450</v>
      </c>
      <c r="L40" s="39">
        <v>19</v>
      </c>
      <c r="M40" s="39">
        <v>57</v>
      </c>
      <c r="N40" s="39">
        <v>26</v>
      </c>
      <c r="O40" s="39">
        <v>15</v>
      </c>
      <c r="P40" s="39">
        <v>6</v>
      </c>
      <c r="Q40" s="39"/>
      <c r="R40" s="39"/>
      <c r="S40" s="39"/>
      <c r="T40" s="39"/>
      <c r="U40" s="43">
        <v>215</v>
      </c>
      <c r="V40" s="43">
        <f>H40*U40*I40/15</f>
        <v>371580.68548387097</v>
      </c>
      <c r="W40" s="139">
        <f>253.51*0.99</f>
        <v>250.97489999999999</v>
      </c>
      <c r="X40" s="43">
        <v>463919.49</v>
      </c>
      <c r="Y40" s="25">
        <f>G40*60</f>
        <v>7380</v>
      </c>
      <c r="Z40" s="43">
        <v>22594.584193548388</v>
      </c>
      <c r="AA40" s="43">
        <v>0</v>
      </c>
      <c r="AB40" s="43">
        <v>2644.5</v>
      </c>
      <c r="AC40" s="43">
        <f>G40*35+F40*38</f>
        <v>4305</v>
      </c>
      <c r="AD40" s="43">
        <f>IF(F40="",G40*4.11,F40*4.11)</f>
        <v>505.53000000000003</v>
      </c>
      <c r="AE40" s="139">
        <v>918.5616</v>
      </c>
      <c r="AF40" s="43">
        <f>V40+Y40+Z40+AA40+AB40+AC40+AD40</f>
        <v>409010.29967741936</v>
      </c>
      <c r="AG40" s="43">
        <f>IFERROR(IFERROR((H40*W40*J40/15)-AE40,""),"")</f>
        <v>458365.50539999997</v>
      </c>
      <c r="AH40" s="26">
        <f>IFERROR(AG40-AF40,"")</f>
        <v>49355.205722580606</v>
      </c>
      <c r="AI40" s="6">
        <f>IF(F40="",(G40/$F$115)*$AL$27,(F40/$F$115)*$AL$27)</f>
        <v>184.52232980332829</v>
      </c>
      <c r="AJ40" s="6">
        <f>(AH40-AI40)*70%</f>
        <v>34419.47837494409</v>
      </c>
    </row>
    <row r="41" spans="1:38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3"/>
      <c r="AA41" s="21"/>
      <c r="AB41" s="21"/>
      <c r="AC41" s="21"/>
      <c r="AD41" s="21"/>
      <c r="AE41" s="21"/>
      <c r="AF41" s="21"/>
      <c r="AG41" s="21"/>
      <c r="AH41" s="26">
        <f>IFERROR(AH40/F40,0)+IFERROR(AH40/G40,0)</f>
        <v>401.26183514293177</v>
      </c>
    </row>
    <row r="42" spans="1:38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7">
        <f>IFERROR(AH40/AG40,"")</f>
        <v>0.10767652700983683</v>
      </c>
    </row>
    <row r="43" spans="1:38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  <c r="AI43" s="47"/>
      <c r="AJ43" s="47"/>
    </row>
    <row r="44" spans="1:38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47"/>
      <c r="AI44" s="47"/>
      <c r="AJ44" s="47"/>
    </row>
    <row r="45" spans="1:38" x14ac:dyDescent="0.35">
      <c r="A45" s="14" t="s">
        <v>1</v>
      </c>
      <c r="B45" s="14" t="s">
        <v>2</v>
      </c>
      <c r="C45" s="14" t="s">
        <v>110</v>
      </c>
      <c r="D45" s="14" t="s">
        <v>66</v>
      </c>
      <c r="E45" s="14"/>
      <c r="F45" s="14" t="s">
        <v>137</v>
      </c>
      <c r="G45" s="14" t="s">
        <v>138</v>
      </c>
      <c r="H45" s="14" t="s">
        <v>4</v>
      </c>
      <c r="I45" s="14" t="s">
        <v>5</v>
      </c>
      <c r="J45" s="14" t="s">
        <v>6</v>
      </c>
      <c r="K45" s="14" t="s">
        <v>7</v>
      </c>
      <c r="L45" s="14" t="s">
        <v>279</v>
      </c>
      <c r="M45" s="14" t="s">
        <v>280</v>
      </c>
      <c r="N45" s="14" t="s">
        <v>281</v>
      </c>
      <c r="O45" s="14" t="s">
        <v>282</v>
      </c>
      <c r="P45" s="14" t="s">
        <v>283</v>
      </c>
      <c r="Q45" s="14" t="s">
        <v>284</v>
      </c>
      <c r="R45" s="14" t="s">
        <v>904</v>
      </c>
      <c r="S45" s="14" t="s">
        <v>285</v>
      </c>
      <c r="T45" s="14" t="s">
        <v>289</v>
      </c>
      <c r="U45" s="14" t="s">
        <v>8</v>
      </c>
      <c r="V45" s="14" t="s">
        <v>9</v>
      </c>
      <c r="W45" s="14" t="s">
        <v>10</v>
      </c>
      <c r="X45" s="14" t="s">
        <v>100</v>
      </c>
      <c r="Y45" s="14" t="s">
        <v>106</v>
      </c>
      <c r="Z45" s="14" t="s">
        <v>12</v>
      </c>
      <c r="AA45" s="14" t="s">
        <v>258</v>
      </c>
      <c r="AB45" s="14" t="s">
        <v>13</v>
      </c>
      <c r="AC45" s="14" t="s">
        <v>74</v>
      </c>
      <c r="AD45" s="14" t="s">
        <v>21</v>
      </c>
      <c r="AE45" s="14" t="s">
        <v>14</v>
      </c>
      <c r="AF45" s="14" t="s">
        <v>15</v>
      </c>
      <c r="AG45" s="14" t="s">
        <v>16</v>
      </c>
      <c r="AH45" s="15" t="s">
        <v>17</v>
      </c>
      <c r="AI45" s="14" t="s">
        <v>679</v>
      </c>
      <c r="AJ45" s="14" t="s">
        <v>678</v>
      </c>
    </row>
    <row r="46" spans="1:38" x14ac:dyDescent="0.35">
      <c r="A46" s="20">
        <v>45097</v>
      </c>
      <c r="B46" s="21" t="s">
        <v>330</v>
      </c>
      <c r="C46" s="21" t="s">
        <v>384</v>
      </c>
      <c r="D46" s="145">
        <v>150213</v>
      </c>
      <c r="E46" s="44"/>
      <c r="F46" s="21"/>
      <c r="G46" s="21">
        <v>100</v>
      </c>
      <c r="H46" s="22">
        <v>46400</v>
      </c>
      <c r="I46" s="33">
        <v>0.5</v>
      </c>
      <c r="J46" s="24">
        <f>IFERROR(K46/H46,"")</f>
        <v>0.52276939655172416</v>
      </c>
      <c r="K46" s="22">
        <v>24256.5</v>
      </c>
      <c r="L46" s="21"/>
      <c r="M46" s="21"/>
      <c r="N46" s="21">
        <v>2</v>
      </c>
      <c r="O46" s="21">
        <v>1</v>
      </c>
      <c r="P46" s="21">
        <v>97</v>
      </c>
      <c r="Q46" s="21"/>
      <c r="R46" s="21"/>
      <c r="S46" s="21"/>
      <c r="T46" s="21"/>
      <c r="U46" s="25">
        <v>210</v>
      </c>
      <c r="V46" s="25">
        <f>H46*U46*I46/15</f>
        <v>324800</v>
      </c>
      <c r="W46" s="139">
        <v>230.59079999999997</v>
      </c>
      <c r="X46" s="25">
        <v>376649.04</v>
      </c>
      <c r="Y46" s="25">
        <f>G46*60</f>
        <v>6000</v>
      </c>
      <c r="Z46" s="25">
        <f>8404.2+8450.68</f>
        <v>16854.88</v>
      </c>
      <c r="AA46" s="25">
        <v>0</v>
      </c>
      <c r="AB46" s="25">
        <v>2100</v>
      </c>
      <c r="AC46" s="25">
        <f>G46*35+F46*38</f>
        <v>3500</v>
      </c>
      <c r="AD46" s="25">
        <f>IF(F46="",G46*4.11,F46*4.11)</f>
        <v>411.00000000000006</v>
      </c>
      <c r="AE46" s="139">
        <v>745.75709999999992</v>
      </c>
      <c r="AF46" s="25">
        <f>V46+Y46+Z46+AA46+AB46+AC46+AD46</f>
        <v>353665.88</v>
      </c>
      <c r="AG46" s="25">
        <f>IFERROR(IFERROR((H46*W46*J46/15)-AE46,""),"")</f>
        <v>372142.62557999999</v>
      </c>
      <c r="AH46" s="26">
        <f>IFERROR(AG46-AF46,"")</f>
        <v>18476.745579999988</v>
      </c>
      <c r="AI46" s="6">
        <f>IF(F46="",(G46/$F$115)*$AL$27,(F46/$F$115)*$AL$27)</f>
        <v>150.01815431164903</v>
      </c>
      <c r="AJ46" s="6">
        <f>(AH46-AI46)*70%</f>
        <v>12828.709197981836</v>
      </c>
      <c r="AK46" t="s">
        <v>580</v>
      </c>
    </row>
    <row r="47" spans="1:38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26">
        <f>IFERROR(AH46/F46,0)+IFERROR(AH46/G46,0)</f>
        <v>184.76745579999988</v>
      </c>
    </row>
    <row r="48" spans="1:38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7">
        <f>IFERROR(AH46/AG46,"")</f>
        <v>4.9649635139761804E-2</v>
      </c>
    </row>
    <row r="49" spans="1:3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47"/>
      <c r="AI49" s="47"/>
      <c r="AJ49" s="47"/>
    </row>
    <row r="50" spans="1:3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47"/>
      <c r="AI50" s="47"/>
      <c r="AJ50" s="47"/>
    </row>
    <row r="51" spans="1:37" x14ac:dyDescent="0.35">
      <c r="A51" s="14" t="s">
        <v>1</v>
      </c>
      <c r="B51" s="14" t="s">
        <v>2</v>
      </c>
      <c r="C51" s="14" t="s">
        <v>110</v>
      </c>
      <c r="D51" s="14" t="s">
        <v>66</v>
      </c>
      <c r="E51" s="14"/>
      <c r="F51" s="14" t="s">
        <v>137</v>
      </c>
      <c r="G51" s="14" t="s">
        <v>138</v>
      </c>
      <c r="H51" s="14" t="s">
        <v>4</v>
      </c>
      <c r="I51" s="14" t="s">
        <v>5</v>
      </c>
      <c r="J51" s="14" t="s">
        <v>6</v>
      </c>
      <c r="K51" s="14" t="s">
        <v>7</v>
      </c>
      <c r="L51" s="14" t="s">
        <v>279</v>
      </c>
      <c r="M51" s="14" t="s">
        <v>280</v>
      </c>
      <c r="N51" s="14" t="s">
        <v>281</v>
      </c>
      <c r="O51" s="14" t="s">
        <v>282</v>
      </c>
      <c r="P51" s="14" t="s">
        <v>283</v>
      </c>
      <c r="Q51" s="14" t="s">
        <v>284</v>
      </c>
      <c r="R51" s="14" t="s">
        <v>904</v>
      </c>
      <c r="S51" s="14" t="s">
        <v>285</v>
      </c>
      <c r="T51" s="14" t="s">
        <v>289</v>
      </c>
      <c r="U51" s="14" t="s">
        <v>8</v>
      </c>
      <c r="V51" s="14" t="s">
        <v>9</v>
      </c>
      <c r="W51" s="14" t="s">
        <v>10</v>
      </c>
      <c r="X51" s="14" t="s">
        <v>100</v>
      </c>
      <c r="Y51" s="14" t="s">
        <v>106</v>
      </c>
      <c r="Z51" s="14" t="s">
        <v>12</v>
      </c>
      <c r="AA51" s="14" t="s">
        <v>258</v>
      </c>
      <c r="AB51" s="14" t="s">
        <v>13</v>
      </c>
      <c r="AC51" s="14" t="s">
        <v>74</v>
      </c>
      <c r="AD51" s="14" t="s">
        <v>21</v>
      </c>
      <c r="AE51" s="14" t="s">
        <v>14</v>
      </c>
      <c r="AF51" s="14" t="s">
        <v>15</v>
      </c>
      <c r="AG51" s="14" t="s">
        <v>16</v>
      </c>
      <c r="AH51" s="15" t="s">
        <v>17</v>
      </c>
      <c r="AI51" s="14" t="s">
        <v>679</v>
      </c>
      <c r="AJ51" s="14" t="s">
        <v>678</v>
      </c>
    </row>
    <row r="52" spans="1:37" x14ac:dyDescent="0.35">
      <c r="A52" s="20">
        <v>45097</v>
      </c>
      <c r="B52" s="21" t="s">
        <v>330</v>
      </c>
      <c r="C52" s="21" t="s">
        <v>124</v>
      </c>
      <c r="D52" s="145">
        <v>149351</v>
      </c>
      <c r="E52" s="44"/>
      <c r="F52" s="21">
        <v>50</v>
      </c>
      <c r="G52" s="21"/>
      <c r="H52" s="22">
        <v>27360</v>
      </c>
      <c r="I52" s="33">
        <v>0.54</v>
      </c>
      <c r="J52" s="24">
        <f>IFERROR(K52/H52,"")</f>
        <v>0.53749999999999998</v>
      </c>
      <c r="K52" s="22">
        <v>14706</v>
      </c>
      <c r="L52" s="21"/>
      <c r="M52" s="21">
        <v>5</v>
      </c>
      <c r="N52" s="21">
        <v>31</v>
      </c>
      <c r="O52" s="21">
        <v>10</v>
      </c>
      <c r="P52" s="21">
        <v>4</v>
      </c>
      <c r="Q52" s="21"/>
      <c r="R52" s="21"/>
      <c r="S52" s="21"/>
      <c r="T52" s="21"/>
      <c r="U52" s="25">
        <v>225</v>
      </c>
      <c r="V52" s="25">
        <f>H52*U52*I52/15</f>
        <v>221616</v>
      </c>
      <c r="W52" s="139">
        <v>253.78650000000002</v>
      </c>
      <c r="X52" s="25">
        <v>251321.34</v>
      </c>
      <c r="Y52" s="25">
        <f>F52*60</f>
        <v>3000</v>
      </c>
      <c r="Z52" s="25">
        <v>9048.7199999999993</v>
      </c>
      <c r="AA52" s="25">
        <v>0</v>
      </c>
      <c r="AB52" s="25">
        <v>1125</v>
      </c>
      <c r="AC52" s="25">
        <f>G52*35+F52*38</f>
        <v>1900</v>
      </c>
      <c r="AD52" s="25">
        <f>IF(F52="",G52*4.11,F52*4.11)</f>
        <v>205.50000000000003</v>
      </c>
      <c r="AE52" s="139">
        <v>497.62349999999998</v>
      </c>
      <c r="AF52" s="25">
        <f>V52+Y52+Z52+AA52+AB52+AC52+AD52</f>
        <v>236895.22</v>
      </c>
      <c r="AG52" s="25">
        <f>IFERROR(IFERROR((H52*W52*J52/15)-AE52,""),"")</f>
        <v>248314.66110000003</v>
      </c>
      <c r="AH52" s="26">
        <f>IFERROR(AG52-AF52,"")</f>
        <v>11419.441100000025</v>
      </c>
      <c r="AI52" s="6">
        <f>IF(F52="",(G52/$F$115)*$AL$27,(F52/$F$115)*$AL$27)</f>
        <v>75.009077155824514</v>
      </c>
      <c r="AJ52" s="6">
        <f>(AH52-AI52)*70%</f>
        <v>7941.1024159909402</v>
      </c>
    </row>
    <row r="53" spans="1:3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3"/>
      <c r="AA53" s="21"/>
      <c r="AB53" s="21"/>
      <c r="AC53" s="21"/>
      <c r="AD53" s="21"/>
      <c r="AE53" s="21"/>
      <c r="AF53" s="21"/>
      <c r="AG53" s="21"/>
      <c r="AH53" s="26">
        <f>IFERROR(AH52/F52,0)+IFERROR(AH52/G52,0)</f>
        <v>228.38882200000052</v>
      </c>
    </row>
    <row r="54" spans="1:3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7">
        <f>IFERROR(AH52/AG52,"")</f>
        <v>4.5987784407950226E-2</v>
      </c>
    </row>
    <row r="55" spans="1:3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47"/>
      <c r="AI55" s="47"/>
      <c r="AJ55" s="47"/>
    </row>
    <row r="56" spans="1:3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47"/>
      <c r="AI56" s="47"/>
      <c r="AJ56" s="47"/>
    </row>
    <row r="57" spans="1:37" x14ac:dyDescent="0.35">
      <c r="A57" s="14" t="s">
        <v>1</v>
      </c>
      <c r="B57" s="14" t="s">
        <v>2</v>
      </c>
      <c r="C57" s="14" t="s">
        <v>110</v>
      </c>
      <c r="D57" s="14" t="s">
        <v>66</v>
      </c>
      <c r="E57" s="14"/>
      <c r="F57" s="14" t="s">
        <v>137</v>
      </c>
      <c r="G57" s="14" t="s">
        <v>138</v>
      </c>
      <c r="H57" s="14" t="s">
        <v>4</v>
      </c>
      <c r="I57" s="14" t="s">
        <v>5</v>
      </c>
      <c r="J57" s="14" t="s">
        <v>6</v>
      </c>
      <c r="K57" s="14" t="s">
        <v>7</v>
      </c>
      <c r="L57" s="14" t="s">
        <v>279</v>
      </c>
      <c r="M57" s="14" t="s">
        <v>280</v>
      </c>
      <c r="N57" s="14" t="s">
        <v>281</v>
      </c>
      <c r="O57" s="14" t="s">
        <v>282</v>
      </c>
      <c r="P57" s="14" t="s">
        <v>283</v>
      </c>
      <c r="Q57" s="14" t="s">
        <v>284</v>
      </c>
      <c r="R57" s="14" t="s">
        <v>904</v>
      </c>
      <c r="S57" s="14" t="s">
        <v>285</v>
      </c>
      <c r="T57" s="14" t="s">
        <v>289</v>
      </c>
      <c r="U57" s="14" t="s">
        <v>8</v>
      </c>
      <c r="V57" s="14" t="s">
        <v>9</v>
      </c>
      <c r="W57" s="14" t="s">
        <v>10</v>
      </c>
      <c r="X57" s="14" t="s">
        <v>100</v>
      </c>
      <c r="Y57" s="14" t="s">
        <v>106</v>
      </c>
      <c r="Z57" s="14" t="s">
        <v>12</v>
      </c>
      <c r="AA57" s="14" t="s">
        <v>258</v>
      </c>
      <c r="AB57" s="14" t="s">
        <v>13</v>
      </c>
      <c r="AC57" s="14" t="s">
        <v>74</v>
      </c>
      <c r="AD57" s="14" t="s">
        <v>21</v>
      </c>
      <c r="AE57" s="14" t="s">
        <v>14</v>
      </c>
      <c r="AF57" s="14" t="s">
        <v>15</v>
      </c>
      <c r="AG57" s="14" t="s">
        <v>16</v>
      </c>
      <c r="AH57" s="15" t="s">
        <v>17</v>
      </c>
      <c r="AI57" s="14" t="s">
        <v>679</v>
      </c>
      <c r="AJ57" s="14" t="s">
        <v>678</v>
      </c>
    </row>
    <row r="58" spans="1:37" x14ac:dyDescent="0.35">
      <c r="A58" s="20">
        <v>45097</v>
      </c>
      <c r="B58" s="21" t="s">
        <v>330</v>
      </c>
      <c r="C58" s="21" t="s">
        <v>572</v>
      </c>
      <c r="D58" s="145">
        <v>150214</v>
      </c>
      <c r="E58" s="44"/>
      <c r="F58" s="21"/>
      <c r="G58" s="21">
        <v>65</v>
      </c>
      <c r="H58" s="22">
        <v>24520</v>
      </c>
      <c r="I58" s="33">
        <v>0.5</v>
      </c>
      <c r="J58" s="24">
        <f>IFERROR(K58/H58,"")</f>
        <v>0.49792006525285482</v>
      </c>
      <c r="K58" s="22">
        <v>12209</v>
      </c>
      <c r="L58" s="21">
        <v>13</v>
      </c>
      <c r="M58" s="21">
        <v>45</v>
      </c>
      <c r="N58" s="21">
        <v>5</v>
      </c>
      <c r="O58" s="21">
        <v>2</v>
      </c>
      <c r="P58" s="21"/>
      <c r="Q58" s="21"/>
      <c r="R58" s="21"/>
      <c r="S58" s="21"/>
      <c r="T58" s="21"/>
      <c r="U58" s="25">
        <v>210</v>
      </c>
      <c r="V58" s="25">
        <f>H58*U58*I58/15</f>
        <v>171640</v>
      </c>
      <c r="W58" s="139">
        <v>254.33099999999999</v>
      </c>
      <c r="X58" s="25">
        <v>209095.13</v>
      </c>
      <c r="Y58" s="25">
        <f>G58*60</f>
        <v>3900</v>
      </c>
      <c r="Z58" s="25">
        <v>6341.26</v>
      </c>
      <c r="AA58" s="25">
        <v>0</v>
      </c>
      <c r="AB58" s="25">
        <v>1365</v>
      </c>
      <c r="AC58" s="25">
        <f>G58*35+F58*38</f>
        <v>2275</v>
      </c>
      <c r="AD58" s="25">
        <f>IF(F58="",G58*4.11,F58*4.11)</f>
        <v>267.15000000000003</v>
      </c>
      <c r="AE58" s="139">
        <v>414.00810000000001</v>
      </c>
      <c r="AF58" s="25">
        <f>V58+Y58+Z58+AA58+AB58+AC58+AD58</f>
        <v>185788.41</v>
      </c>
      <c r="AG58" s="25">
        <f>IFERROR(IFERROR((H58*W58*J58/15)-AE58,""),"")</f>
        <v>206594.4705</v>
      </c>
      <c r="AH58" s="26">
        <f>IFERROR(AG58-AF58,"")</f>
        <v>20806.060499999992</v>
      </c>
      <c r="AI58" s="6">
        <f>IF(F58="",(G58/$F$115)*$AL$27,(F58/$F$115)*$AL$27)</f>
        <v>97.511800302571871</v>
      </c>
      <c r="AJ58" s="6">
        <f>(AH58-AI58)*70%</f>
        <v>14495.984089788193</v>
      </c>
      <c r="AK58" t="s">
        <v>580</v>
      </c>
    </row>
    <row r="59" spans="1:3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3"/>
      <c r="AA59" s="21"/>
      <c r="AB59" s="21"/>
      <c r="AC59" s="21"/>
      <c r="AD59" s="21"/>
      <c r="AE59" s="21"/>
      <c r="AF59" s="21"/>
      <c r="AG59" s="21"/>
      <c r="AH59" s="26">
        <f>IFERROR(AH58/F58,0)+IFERROR(AH58/G58,0)</f>
        <v>320.09323846153836</v>
      </c>
    </row>
    <row r="60" spans="1:3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7">
        <f>IFERROR(AH58/AG58,"")</f>
        <v>0.10070966783208263</v>
      </c>
    </row>
    <row r="61" spans="1:3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47"/>
      <c r="AI61" s="47"/>
      <c r="AJ61" s="47"/>
    </row>
    <row r="62" spans="1:3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7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7" x14ac:dyDescent="0.35">
      <c r="A64" s="20">
        <v>45097</v>
      </c>
      <c r="B64" s="21" t="s">
        <v>330</v>
      </c>
      <c r="C64" s="21" t="s">
        <v>375</v>
      </c>
      <c r="D64" s="145">
        <v>150215</v>
      </c>
      <c r="E64" s="44"/>
      <c r="F64" s="21"/>
      <c r="G64" s="21">
        <v>65</v>
      </c>
      <c r="H64" s="22">
        <v>21930</v>
      </c>
      <c r="I64" s="33">
        <v>0.5</v>
      </c>
      <c r="J64" s="24">
        <f>IFERROR(K64/H64,"")</f>
        <v>0.49815321477428182</v>
      </c>
      <c r="K64" s="22">
        <v>10924.5</v>
      </c>
      <c r="L64" s="21">
        <v>9</v>
      </c>
      <c r="M64" s="21">
        <v>45</v>
      </c>
      <c r="N64" s="21">
        <v>11</v>
      </c>
      <c r="O64" s="21"/>
      <c r="P64" s="21"/>
      <c r="Q64" s="21"/>
      <c r="R64" s="21"/>
      <c r="S64" s="21"/>
      <c r="T64" s="21"/>
      <c r="U64" s="25">
        <v>195</v>
      </c>
      <c r="V64" s="25">
        <f>H64*U64*I64/15</f>
        <v>142545</v>
      </c>
      <c r="W64" s="139">
        <v>250.0146</v>
      </c>
      <c r="X64" s="25">
        <v>183824.74</v>
      </c>
      <c r="Y64" s="25">
        <f>G64*60</f>
        <v>3900</v>
      </c>
      <c r="Z64" s="25">
        <v>8125.32</v>
      </c>
      <c r="AA64" s="25">
        <v>0</v>
      </c>
      <c r="AB64" s="25">
        <v>1365</v>
      </c>
      <c r="AC64" s="25">
        <f>G64*35+F64*38</f>
        <v>2275</v>
      </c>
      <c r="AD64" s="25">
        <f>IF(F64="",G64*4.11,F64*4.11)</f>
        <v>267.15000000000003</v>
      </c>
      <c r="AE64" s="139">
        <v>364.1814</v>
      </c>
      <c r="AF64" s="25">
        <f>V64+Y64+Z64+AA64+AB64+AC64+AD64</f>
        <v>158477.47</v>
      </c>
      <c r="AG64" s="25">
        <f>IFERROR(IFERROR((H64*W64*J64/15)-AE64,""),"")</f>
        <v>181721.45178</v>
      </c>
      <c r="AH64" s="26">
        <f>IFERROR(AG64-AF64,"")</f>
        <v>23243.981780000002</v>
      </c>
      <c r="AI64" s="6">
        <f>IF(F64="",(G64/$F$115)*$AL$27,(F64/$F$115)*$AL$27)</f>
        <v>97.511800302571871</v>
      </c>
      <c r="AJ64" s="6">
        <f>(AH64-AI64)*70%</f>
        <v>16202.5289857882</v>
      </c>
      <c r="AK64" t="s">
        <v>580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357.5997196923077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0.12790994982881929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ht="1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47"/>
      <c r="AI68" s="47"/>
      <c r="AJ68" s="47"/>
    </row>
    <row r="69" spans="1:36" x14ac:dyDescent="0.35">
      <c r="A69" s="14" t="s">
        <v>1</v>
      </c>
      <c r="B69" s="14" t="s">
        <v>2</v>
      </c>
      <c r="C69" s="14" t="s">
        <v>110</v>
      </c>
      <c r="D69" s="14" t="s">
        <v>66</v>
      </c>
      <c r="E69" s="14"/>
      <c r="F69" s="14" t="s">
        <v>137</v>
      </c>
      <c r="G69" s="14" t="s">
        <v>138</v>
      </c>
      <c r="H69" s="14" t="s">
        <v>4</v>
      </c>
      <c r="I69" s="14" t="s">
        <v>5</v>
      </c>
      <c r="J69" s="14" t="s">
        <v>6</v>
      </c>
      <c r="K69" s="14" t="s">
        <v>7</v>
      </c>
      <c r="L69" s="14" t="s">
        <v>279</v>
      </c>
      <c r="M69" s="14" t="s">
        <v>280</v>
      </c>
      <c r="N69" s="14" t="s">
        <v>281</v>
      </c>
      <c r="O69" s="14" t="s">
        <v>282</v>
      </c>
      <c r="P69" s="14" t="s">
        <v>283</v>
      </c>
      <c r="Q69" s="14" t="s">
        <v>284</v>
      </c>
      <c r="R69" s="14" t="s">
        <v>904</v>
      </c>
      <c r="S69" s="14" t="s">
        <v>285</v>
      </c>
      <c r="T69" s="14" t="s">
        <v>289</v>
      </c>
      <c r="U69" s="14" t="s">
        <v>8</v>
      </c>
      <c r="V69" s="14" t="s">
        <v>9</v>
      </c>
      <c r="W69" s="14" t="s">
        <v>10</v>
      </c>
      <c r="X69" s="14" t="s">
        <v>100</v>
      </c>
      <c r="Y69" s="14" t="s">
        <v>106</v>
      </c>
      <c r="Z69" s="14" t="s">
        <v>12</v>
      </c>
      <c r="AA69" s="14" t="s">
        <v>258</v>
      </c>
      <c r="AB69" s="14" t="s">
        <v>13</v>
      </c>
      <c r="AC69" s="14" t="s">
        <v>74</v>
      </c>
      <c r="AD69" s="14" t="s">
        <v>21</v>
      </c>
      <c r="AE69" s="14" t="s">
        <v>14</v>
      </c>
      <c r="AF69" s="14" t="s">
        <v>15</v>
      </c>
      <c r="AG69" s="14" t="s">
        <v>16</v>
      </c>
      <c r="AH69" s="15" t="s">
        <v>17</v>
      </c>
      <c r="AI69" s="14" t="s">
        <v>679</v>
      </c>
      <c r="AJ69" s="14" t="s">
        <v>678</v>
      </c>
    </row>
    <row r="70" spans="1:36" x14ac:dyDescent="0.35">
      <c r="A70" s="20">
        <v>45096</v>
      </c>
      <c r="B70" s="21" t="s">
        <v>330</v>
      </c>
      <c r="C70" s="21" t="s">
        <v>573</v>
      </c>
      <c r="D70" s="145">
        <v>149329</v>
      </c>
      <c r="E70" s="44"/>
      <c r="F70" s="21">
        <v>50</v>
      </c>
      <c r="G70" s="21"/>
      <c r="H70" s="22">
        <v>26612</v>
      </c>
      <c r="I70" s="33">
        <v>0.53</v>
      </c>
      <c r="J70" s="24">
        <f>IFERROR(K70/H70,"")</f>
        <v>0.50984518262437994</v>
      </c>
      <c r="K70" s="22">
        <v>13568</v>
      </c>
      <c r="L70" s="21">
        <v>18</v>
      </c>
      <c r="M70" s="21">
        <v>24</v>
      </c>
      <c r="N70" s="21">
        <v>5</v>
      </c>
      <c r="O70" s="21">
        <v>3</v>
      </c>
      <c r="P70" s="21"/>
      <c r="Q70" s="21"/>
      <c r="R70" s="21"/>
      <c r="S70" s="21"/>
      <c r="T70" s="21"/>
      <c r="U70" s="25">
        <v>220</v>
      </c>
      <c r="V70" s="25">
        <f>H70*U70*I70/15</f>
        <v>206863.94666666668</v>
      </c>
      <c r="W70" s="139">
        <f>258.89*0.99</f>
        <v>256.30109999999996</v>
      </c>
      <c r="X70" s="25">
        <v>234175.53</v>
      </c>
      <c r="Y70" s="25">
        <f>F70*60</f>
        <v>3000</v>
      </c>
      <c r="Z70" s="25">
        <v>8490.94</v>
      </c>
      <c r="AA70" s="25">
        <v>0</v>
      </c>
      <c r="AB70" s="25">
        <v>1100</v>
      </c>
      <c r="AC70" s="25">
        <f>G70*35+F70*38</f>
        <v>1900</v>
      </c>
      <c r="AD70" s="25">
        <f>IF(F70="",G70*4.11,F70*4.11)</f>
        <v>205.50000000000003</v>
      </c>
      <c r="AE70" s="139">
        <v>463.66650000000004</v>
      </c>
      <c r="AF70" s="25">
        <f>V70+Y70+Z70+AA70+AB70+AC70+AD70</f>
        <v>221560.38666666669</v>
      </c>
      <c r="AG70" s="25">
        <f>IFERROR(IFERROR((H70*W70*J70/15)-AE70,""),"")</f>
        <v>231369.22181999998</v>
      </c>
      <c r="AH70" s="26">
        <f>IFERROR(AG70-AF70,"")</f>
        <v>9808.8351533332898</v>
      </c>
      <c r="AI70" s="6">
        <f>IF(F70="",(G70/$F$115)*$AL$27,(F70/$F$115)*$AL$27)</f>
        <v>75.009077155824514</v>
      </c>
      <c r="AJ70" s="6">
        <f>(AH70-AI70)*70%</f>
        <v>6813.6782533242258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3"/>
      <c r="AA71" s="21"/>
      <c r="AB71" s="21"/>
      <c r="AC71" s="21"/>
      <c r="AD71" s="21"/>
      <c r="AE71" s="21"/>
      <c r="AF71" s="21"/>
      <c r="AG71" s="21"/>
      <c r="AH71" s="26">
        <f>IFERROR(AH70/F70,0)+IFERROR(AH70/G70,0)</f>
        <v>196.17670306666579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7">
        <f>IFERROR(AH70/AG70,"")</f>
        <v>4.2394727683202141E-2</v>
      </c>
    </row>
    <row r="73" spans="1:36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47"/>
      <c r="AI73" s="47"/>
      <c r="AJ73" s="47"/>
    </row>
    <row r="74" spans="1:36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47"/>
      <c r="AI74" s="47"/>
      <c r="AJ74" s="47"/>
    </row>
    <row r="75" spans="1:36" x14ac:dyDescent="0.35">
      <c r="A75" s="14" t="s">
        <v>1</v>
      </c>
      <c r="B75" s="14" t="s">
        <v>2</v>
      </c>
      <c r="C75" s="14" t="s">
        <v>110</v>
      </c>
      <c r="D75" s="14" t="s">
        <v>66</v>
      </c>
      <c r="E75" s="14"/>
      <c r="F75" s="14" t="s">
        <v>137</v>
      </c>
      <c r="G75" s="14" t="s">
        <v>138</v>
      </c>
      <c r="H75" s="14" t="s">
        <v>4</v>
      </c>
      <c r="I75" s="14" t="s">
        <v>5</v>
      </c>
      <c r="J75" s="14" t="s">
        <v>6</v>
      </c>
      <c r="K75" s="14" t="s">
        <v>7</v>
      </c>
      <c r="L75" s="14" t="s">
        <v>279</v>
      </c>
      <c r="M75" s="14" t="s">
        <v>280</v>
      </c>
      <c r="N75" s="14" t="s">
        <v>281</v>
      </c>
      <c r="O75" s="14" t="s">
        <v>282</v>
      </c>
      <c r="P75" s="14" t="s">
        <v>283</v>
      </c>
      <c r="Q75" s="14" t="s">
        <v>284</v>
      </c>
      <c r="R75" s="14" t="s">
        <v>904</v>
      </c>
      <c r="S75" s="14" t="s">
        <v>285</v>
      </c>
      <c r="T75" s="14" t="s">
        <v>289</v>
      </c>
      <c r="U75" s="14" t="s">
        <v>8</v>
      </c>
      <c r="V75" s="14" t="s">
        <v>9</v>
      </c>
      <c r="W75" s="14" t="s">
        <v>10</v>
      </c>
      <c r="X75" s="14" t="s">
        <v>100</v>
      </c>
      <c r="Y75" s="14" t="s">
        <v>106</v>
      </c>
      <c r="Z75" s="14" t="s">
        <v>12</v>
      </c>
      <c r="AA75" s="14" t="s">
        <v>258</v>
      </c>
      <c r="AB75" s="14" t="s">
        <v>13</v>
      </c>
      <c r="AC75" s="14" t="s">
        <v>74</v>
      </c>
      <c r="AD75" s="14" t="s">
        <v>21</v>
      </c>
      <c r="AE75" s="14" t="s">
        <v>14</v>
      </c>
      <c r="AF75" s="14" t="s">
        <v>15</v>
      </c>
      <c r="AG75" s="14" t="s">
        <v>16</v>
      </c>
      <c r="AH75" s="15" t="s">
        <v>17</v>
      </c>
      <c r="AI75" s="14" t="s">
        <v>679</v>
      </c>
      <c r="AJ75" s="14" t="s">
        <v>678</v>
      </c>
    </row>
    <row r="76" spans="1:36" x14ac:dyDescent="0.35">
      <c r="A76" s="38">
        <v>45096</v>
      </c>
      <c r="B76" s="39" t="s">
        <v>563</v>
      </c>
      <c r="C76" s="39" t="s">
        <v>566</v>
      </c>
      <c r="D76" s="45"/>
      <c r="E76" s="45"/>
      <c r="F76" s="39"/>
      <c r="G76" s="39">
        <v>1</v>
      </c>
      <c r="H76" s="40">
        <v>421.53225806451616</v>
      </c>
      <c r="I76" s="53">
        <v>0.5</v>
      </c>
      <c r="J76" s="42">
        <f>IFERROR(K76/H76,"")</f>
        <v>0.61264587717620045</v>
      </c>
      <c r="K76" s="40">
        <v>258.25</v>
      </c>
      <c r="L76" s="39"/>
      <c r="M76" s="39">
        <v>1</v>
      </c>
      <c r="N76" s="39"/>
      <c r="O76" s="39"/>
      <c r="P76" s="39"/>
      <c r="Q76" s="39"/>
      <c r="R76" s="39"/>
      <c r="S76" s="39"/>
      <c r="T76" s="39"/>
      <c r="U76" s="43">
        <v>215</v>
      </c>
      <c r="V76" s="43">
        <f>H76*U76*I76/15</f>
        <v>3020.9811827956992</v>
      </c>
      <c r="W76" s="43">
        <v>240</v>
      </c>
      <c r="X76" s="43">
        <v>4132</v>
      </c>
      <c r="Y76" s="25">
        <f>G76*60</f>
        <v>60</v>
      </c>
      <c r="Z76" s="43">
        <v>183.6958064516129</v>
      </c>
      <c r="AA76" s="43">
        <v>0</v>
      </c>
      <c r="AB76" s="43">
        <v>21.5</v>
      </c>
      <c r="AC76" s="43">
        <f>G76*35+F76*38</f>
        <v>35</v>
      </c>
      <c r="AD76" s="43">
        <f>IF(F76="",G76*4.11,F76*4.11)</f>
        <v>4.1100000000000003</v>
      </c>
      <c r="AE76" s="43"/>
      <c r="AF76" s="43">
        <f>V76+Y76+Z76+AA76+AB76+AC76+AD76</f>
        <v>3325.2869892473122</v>
      </c>
      <c r="AG76" s="43">
        <f>IFERROR(IFERROR((H76*W76*J76/15)-AE76,""),"")</f>
        <v>4132</v>
      </c>
      <c r="AH76" s="26">
        <f>IFERROR(AG76-AF76,"")</f>
        <v>806.71301075268775</v>
      </c>
      <c r="AI76" s="6">
        <f>IF(F76="",(G76/$F$115)*$AL$27,(F76/$F$115)*$AL$27)</f>
        <v>1.5001815431164902</v>
      </c>
      <c r="AJ76" s="6">
        <f>(AH76-AI76)*70%</f>
        <v>563.64898044669985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5"/>
      <c r="X77" s="21"/>
      <c r="Y77" s="21"/>
      <c r="Z77" s="3"/>
      <c r="AA77" s="21"/>
      <c r="AB77" s="25"/>
      <c r="AC77" s="21"/>
      <c r="AD77" s="21"/>
      <c r="AE77" s="25"/>
      <c r="AF77" s="25"/>
      <c r="AG77" s="25"/>
      <c r="AH77" s="26">
        <f>IFERROR(AH76/F76,0)+IFERROR(AH76/G76,0)</f>
        <v>806.71301075268775</v>
      </c>
    </row>
    <row r="78" spans="1:36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5"/>
      <c r="AF78" s="21"/>
      <c r="AG78" s="21"/>
      <c r="AH78" s="27">
        <f>IFERROR(AH76/AG76,"")</f>
        <v>0.19523548178913064</v>
      </c>
    </row>
    <row r="79" spans="1:36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47"/>
      <c r="AI79" s="47"/>
      <c r="AJ79" s="47"/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47"/>
      <c r="AI80" s="47"/>
      <c r="AJ80" s="47"/>
    </row>
    <row r="81" spans="1:39" x14ac:dyDescent="0.35">
      <c r="A81" s="14" t="s">
        <v>1</v>
      </c>
      <c r="B81" s="14" t="s">
        <v>2</v>
      </c>
      <c r="C81" s="14" t="s">
        <v>110</v>
      </c>
      <c r="D81" s="14" t="s">
        <v>66</v>
      </c>
      <c r="E81" s="14"/>
      <c r="F81" s="14" t="s">
        <v>137</v>
      </c>
      <c r="G81" s="14" t="s">
        <v>138</v>
      </c>
      <c r="H81" s="14" t="s">
        <v>4</v>
      </c>
      <c r="I81" s="14" t="s">
        <v>5</v>
      </c>
      <c r="J81" s="14" t="s">
        <v>6</v>
      </c>
      <c r="K81" s="14" t="s">
        <v>7</v>
      </c>
      <c r="L81" s="14" t="s">
        <v>279</v>
      </c>
      <c r="M81" s="14" t="s">
        <v>280</v>
      </c>
      <c r="N81" s="14" t="s">
        <v>281</v>
      </c>
      <c r="O81" s="14" t="s">
        <v>282</v>
      </c>
      <c r="P81" s="14" t="s">
        <v>283</v>
      </c>
      <c r="Q81" s="14" t="s">
        <v>284</v>
      </c>
      <c r="R81" s="14" t="s">
        <v>904</v>
      </c>
      <c r="S81" s="14" t="s">
        <v>285</v>
      </c>
      <c r="T81" s="14" t="s">
        <v>289</v>
      </c>
      <c r="U81" s="14" t="s">
        <v>8</v>
      </c>
      <c r="V81" s="14" t="s">
        <v>9</v>
      </c>
      <c r="W81" s="14" t="s">
        <v>10</v>
      </c>
      <c r="X81" s="14" t="s">
        <v>100</v>
      </c>
      <c r="Y81" s="14" t="s">
        <v>106</v>
      </c>
      <c r="Z81" s="14" t="s">
        <v>12</v>
      </c>
      <c r="AA81" s="14" t="s">
        <v>258</v>
      </c>
      <c r="AB81" s="14" t="s">
        <v>13</v>
      </c>
      <c r="AC81" s="14" t="s">
        <v>74</v>
      </c>
      <c r="AD81" s="14" t="s">
        <v>21</v>
      </c>
      <c r="AE81" s="14" t="s">
        <v>14</v>
      </c>
      <c r="AF81" s="14" t="s">
        <v>15</v>
      </c>
      <c r="AG81" s="14" t="s">
        <v>16</v>
      </c>
      <c r="AH81" s="15" t="s">
        <v>17</v>
      </c>
      <c r="AI81" s="14" t="s">
        <v>679</v>
      </c>
      <c r="AJ81" s="14" t="s">
        <v>678</v>
      </c>
    </row>
    <row r="82" spans="1:39" x14ac:dyDescent="0.35">
      <c r="A82" s="20">
        <v>45096</v>
      </c>
      <c r="B82" s="21" t="s">
        <v>563</v>
      </c>
      <c r="C82" s="21" t="s">
        <v>565</v>
      </c>
      <c r="D82" s="44">
        <v>150666</v>
      </c>
      <c r="E82" s="44"/>
      <c r="F82" s="21"/>
      <c r="G82" s="21">
        <v>7</v>
      </c>
      <c r="H82" s="22">
        <v>3752</v>
      </c>
      <c r="I82" s="33">
        <v>0.5</v>
      </c>
      <c r="J82" s="24">
        <f>IFERROR(K82/H82,"")</f>
        <v>0.4740138592750533</v>
      </c>
      <c r="K82" s="22">
        <v>1778.5</v>
      </c>
      <c r="L82" s="21">
        <v>1</v>
      </c>
      <c r="M82" s="21">
        <v>1</v>
      </c>
      <c r="N82" s="21">
        <v>4</v>
      </c>
      <c r="O82" s="21">
        <v>1</v>
      </c>
      <c r="P82" s="21"/>
      <c r="Q82" s="21"/>
      <c r="R82" s="21"/>
      <c r="S82" s="21"/>
      <c r="T82" s="21"/>
      <c r="U82" s="25">
        <v>200</v>
      </c>
      <c r="V82" s="25">
        <f>H82*U82*I82/15</f>
        <v>25013.333333333332</v>
      </c>
      <c r="W82" s="25">
        <v>265.7</v>
      </c>
      <c r="X82" s="25">
        <v>31502.92</v>
      </c>
      <c r="Y82" s="25">
        <f>G82*60</f>
        <v>420</v>
      </c>
      <c r="Z82" s="25">
        <v>1020.8214545454546</v>
      </c>
      <c r="AA82" s="25">
        <v>0</v>
      </c>
      <c r="AB82" s="25">
        <v>140</v>
      </c>
      <c r="AC82" s="25">
        <f>G82*35+F82*38</f>
        <v>245</v>
      </c>
      <c r="AD82" s="25">
        <f>IF(F82="",G82*4.11,F82*4.11)</f>
        <v>28.770000000000003</v>
      </c>
      <c r="AE82" s="25">
        <v>63</v>
      </c>
      <c r="AF82" s="25">
        <f>V82+Y82+Z82+AA82+AB82+AC82+AD82</f>
        <v>26867.924787878786</v>
      </c>
      <c r="AG82" s="25">
        <f>IFERROR(IFERROR((H82*W82*J82/15)-AE82,""),"")</f>
        <v>31440.16333333333</v>
      </c>
      <c r="AH82" s="26">
        <f>IFERROR(AG82-AF82,"")</f>
        <v>4572.2385454545438</v>
      </c>
      <c r="AI82" s="6">
        <f>IF(F82="",(G82/$F$115)*$AL$27,(F82/$F$115)*$AL$27)</f>
        <v>10.50127080181543</v>
      </c>
      <c r="AJ82" s="6">
        <f>(AH82-AI82)*70%</f>
        <v>3193.2160922569096</v>
      </c>
      <c r="AM82" s="1"/>
    </row>
    <row r="83" spans="1:39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6">
        <f>IFERROR(AH82/F82,0)+IFERROR(AH82/G82,0)</f>
        <v>653.17693506493481</v>
      </c>
    </row>
    <row r="84" spans="1:39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7">
        <f>IFERROR(AH82/AG82,"")</f>
        <v>0.1454266791485459</v>
      </c>
    </row>
    <row r="85" spans="1:39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47"/>
      <c r="AI85" s="47"/>
      <c r="AJ85" s="47"/>
    </row>
    <row r="86" spans="1:39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47"/>
      <c r="AI86" s="47"/>
      <c r="AJ86" s="47"/>
    </row>
    <row r="87" spans="1:39" x14ac:dyDescent="0.35">
      <c r="A87" s="14" t="s">
        <v>1</v>
      </c>
      <c r="B87" s="14" t="s">
        <v>2</v>
      </c>
      <c r="C87" s="14" t="s">
        <v>110</v>
      </c>
      <c r="D87" s="14" t="s">
        <v>66</v>
      </c>
      <c r="E87" s="14"/>
      <c r="F87" s="14" t="s">
        <v>137</v>
      </c>
      <c r="G87" s="14" t="s">
        <v>138</v>
      </c>
      <c r="H87" s="14" t="s">
        <v>4</v>
      </c>
      <c r="I87" s="14" t="s">
        <v>5</v>
      </c>
      <c r="J87" s="14" t="s">
        <v>6</v>
      </c>
      <c r="K87" s="14" t="s">
        <v>7</v>
      </c>
      <c r="L87" s="14" t="s">
        <v>279</v>
      </c>
      <c r="M87" s="14" t="s">
        <v>280</v>
      </c>
      <c r="N87" s="14" t="s">
        <v>281</v>
      </c>
      <c r="O87" s="14" t="s">
        <v>282</v>
      </c>
      <c r="P87" s="14" t="s">
        <v>283</v>
      </c>
      <c r="Q87" s="14" t="s">
        <v>284</v>
      </c>
      <c r="R87" s="14" t="s">
        <v>904</v>
      </c>
      <c r="S87" s="14" t="s">
        <v>285</v>
      </c>
      <c r="T87" s="14" t="s">
        <v>289</v>
      </c>
      <c r="U87" s="14" t="s">
        <v>8</v>
      </c>
      <c r="V87" s="14" t="s">
        <v>9</v>
      </c>
      <c r="W87" s="14" t="s">
        <v>10</v>
      </c>
      <c r="X87" s="14" t="s">
        <v>100</v>
      </c>
      <c r="Y87" s="14" t="s">
        <v>106</v>
      </c>
      <c r="Z87" s="14" t="s">
        <v>12</v>
      </c>
      <c r="AA87" s="14" t="s">
        <v>258</v>
      </c>
      <c r="AB87" s="14" t="s">
        <v>13</v>
      </c>
      <c r="AC87" s="14" t="s">
        <v>74</v>
      </c>
      <c r="AD87" s="14" t="s">
        <v>21</v>
      </c>
      <c r="AE87" s="14" t="s">
        <v>14</v>
      </c>
      <c r="AF87" s="14" t="s">
        <v>15</v>
      </c>
      <c r="AG87" s="14" t="s">
        <v>16</v>
      </c>
      <c r="AH87" s="15" t="s">
        <v>17</v>
      </c>
      <c r="AI87" s="14" t="s">
        <v>679</v>
      </c>
      <c r="AJ87" s="14" t="s">
        <v>678</v>
      </c>
    </row>
    <row r="88" spans="1:39" x14ac:dyDescent="0.35">
      <c r="A88" s="20">
        <v>45100</v>
      </c>
      <c r="B88" s="21" t="s">
        <v>563</v>
      </c>
      <c r="C88" s="21" t="s">
        <v>574</v>
      </c>
      <c r="D88" s="146">
        <v>150349</v>
      </c>
      <c r="E88" s="44"/>
      <c r="F88" s="21"/>
      <c r="G88" s="21">
        <v>50</v>
      </c>
      <c r="H88" s="22">
        <v>17180</v>
      </c>
      <c r="I88" s="33">
        <v>0.5</v>
      </c>
      <c r="J88" s="24">
        <f>IFERROR(K88/H88,"")</f>
        <v>0.50759979721356419</v>
      </c>
      <c r="K88" s="22">
        <v>8720.5645161290322</v>
      </c>
      <c r="L88" s="21">
        <v>1</v>
      </c>
      <c r="M88" s="21">
        <v>30</v>
      </c>
      <c r="N88" s="21">
        <v>16</v>
      </c>
      <c r="O88" s="21">
        <v>3</v>
      </c>
      <c r="P88" s="21"/>
      <c r="Q88" s="21"/>
      <c r="R88" s="21"/>
      <c r="S88" s="21"/>
      <c r="T88" s="21"/>
      <c r="U88" s="25">
        <v>200</v>
      </c>
      <c r="V88" s="25">
        <f>H88*U88*I88/15</f>
        <v>114533.33333333333</v>
      </c>
      <c r="W88" s="25">
        <v>255.46</v>
      </c>
      <c r="X88" s="25">
        <v>148518.31451612903</v>
      </c>
      <c r="Y88" s="25">
        <f>G88*60</f>
        <v>3000</v>
      </c>
      <c r="Z88" s="25">
        <v>8175.06</v>
      </c>
      <c r="AA88" s="25">
        <v>0</v>
      </c>
      <c r="AB88" s="25">
        <v>1000</v>
      </c>
      <c r="AC88" s="25">
        <f>G88*35+F88*38</f>
        <v>1750</v>
      </c>
      <c r="AD88" s="25">
        <f>IF(F88="",G88*4.11,F88*4.11)</f>
        <v>205.50000000000003</v>
      </c>
      <c r="AE88" s="25">
        <v>297.04032258064512</v>
      </c>
      <c r="AF88" s="25">
        <f>V88+Y88+Z88+AA88+AB88+AC88+AD88</f>
        <v>128663.89333333333</v>
      </c>
      <c r="AG88" s="25">
        <f>IFERROR(IFERROR((H88*W88*J88/15)-AE88,""),"")</f>
        <v>148219.98709677419</v>
      </c>
      <c r="AH88" s="26">
        <f>IFERROR(AG88-AF88,"")</f>
        <v>19556.093763440862</v>
      </c>
      <c r="AI88" s="6">
        <f>IF(F88="",(G88/$F$115)*$AL$27,(F88/$F$115)*$AL$27)</f>
        <v>75.009077155824514</v>
      </c>
      <c r="AJ88" s="6">
        <f>(AH88-AI88)*70%</f>
        <v>13636.759280399525</v>
      </c>
    </row>
    <row r="89" spans="1:39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6">
        <f>IFERROR(AH88/F88,0)+IFERROR(AH88/G88,0)</f>
        <v>391.12187526881723</v>
      </c>
    </row>
    <row r="90" spans="1:39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7">
        <f>IFERROR(AH88/AG88,"")</f>
        <v>0.13193965366271762</v>
      </c>
    </row>
    <row r="91" spans="1:39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47"/>
      <c r="AI91" s="47"/>
      <c r="AJ91" s="47"/>
    </row>
    <row r="92" spans="1:39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9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/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9" x14ac:dyDescent="0.35">
      <c r="A94" s="20">
        <v>45100</v>
      </c>
      <c r="B94" s="21" t="s">
        <v>563</v>
      </c>
      <c r="C94" s="21" t="s">
        <v>409</v>
      </c>
      <c r="D94" s="146">
        <v>150348</v>
      </c>
      <c r="E94" s="44"/>
      <c r="F94" s="21"/>
      <c r="G94" s="21">
        <v>65</v>
      </c>
      <c r="H94" s="22">
        <v>22500</v>
      </c>
      <c r="I94" s="33">
        <v>0.5</v>
      </c>
      <c r="J94" s="24">
        <f>IFERROR(K94/H94,"")</f>
        <v>0.49631111111111109</v>
      </c>
      <c r="K94" s="22">
        <v>11167</v>
      </c>
      <c r="L94" s="21">
        <v>12</v>
      </c>
      <c r="M94" s="21">
        <v>36</v>
      </c>
      <c r="N94" s="21">
        <v>15</v>
      </c>
      <c r="O94" s="21">
        <v>1</v>
      </c>
      <c r="P94" s="21">
        <v>1</v>
      </c>
      <c r="Q94" s="21"/>
      <c r="R94" s="21"/>
      <c r="S94" s="21"/>
      <c r="T94" s="21"/>
      <c r="U94" s="25">
        <v>210</v>
      </c>
      <c r="V94" s="25">
        <f>H94*U94*I94/15</f>
        <v>157500</v>
      </c>
      <c r="W94" s="25">
        <v>254.92</v>
      </c>
      <c r="X94" s="25">
        <v>189781</v>
      </c>
      <c r="Y94" s="25">
        <f>G94*60</f>
        <v>3900</v>
      </c>
      <c r="Z94" s="25">
        <v>9181.35</v>
      </c>
      <c r="AA94" s="25">
        <v>0</v>
      </c>
      <c r="AB94" s="25">
        <v>1365</v>
      </c>
      <c r="AC94" s="25">
        <f>G94*35+F94*38</f>
        <v>2275</v>
      </c>
      <c r="AD94" s="25">
        <f>IF(F94="",G94*4.11,F94*4.11)</f>
        <v>267.15000000000003</v>
      </c>
      <c r="AE94" s="25">
        <v>379.57</v>
      </c>
      <c r="AF94" s="25">
        <f>V94+Y94+Z94+AA94+AB94+AC94+AD94</f>
        <v>174488.5</v>
      </c>
      <c r="AG94" s="25">
        <f>IFERROR(IFERROR((H94*W94*J94/15)-AE94,""),"")</f>
        <v>189399.87266666663</v>
      </c>
      <c r="AH94" s="26">
        <f>IFERROR(AG94-AF94,"")</f>
        <v>14911.372666666633</v>
      </c>
      <c r="AI94" s="6">
        <f>IF(F94="",(G94/$F$115)*$AL$27,(F94/$F$115)*$AL$27)</f>
        <v>97.511800302571871</v>
      </c>
      <c r="AJ94" s="6">
        <f>(AH94-AI94)*70%</f>
        <v>10369.702606454843</v>
      </c>
      <c r="AK94" t="s">
        <v>580</v>
      </c>
    </row>
    <row r="95" spans="1:39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229.40573333333282</v>
      </c>
    </row>
    <row r="96" spans="1:39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7.8729581264871437E-2</v>
      </c>
    </row>
    <row r="97" spans="1:39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47"/>
      <c r="AJ97" s="47"/>
    </row>
    <row r="98" spans="1:39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47"/>
      <c r="AI98" s="47"/>
      <c r="AJ98" s="47"/>
    </row>
    <row r="99" spans="1:39" x14ac:dyDescent="0.35">
      <c r="A99" s="14" t="s">
        <v>1</v>
      </c>
      <c r="B99" s="14" t="s">
        <v>2</v>
      </c>
      <c r="C99" s="14" t="s">
        <v>110</v>
      </c>
      <c r="D99" s="14" t="s">
        <v>66</v>
      </c>
      <c r="E99" s="14"/>
      <c r="F99" s="14" t="s">
        <v>137</v>
      </c>
      <c r="G99" s="14" t="s">
        <v>138</v>
      </c>
      <c r="H99" s="14" t="s">
        <v>4</v>
      </c>
      <c r="I99" s="14" t="s">
        <v>5</v>
      </c>
      <c r="J99" s="14" t="s">
        <v>6</v>
      </c>
      <c r="K99" s="14" t="s">
        <v>7</v>
      </c>
      <c r="L99" s="14" t="s">
        <v>279</v>
      </c>
      <c r="M99" s="14" t="s">
        <v>280</v>
      </c>
      <c r="N99" s="14" t="s">
        <v>281</v>
      </c>
      <c r="O99" s="14" t="s">
        <v>282</v>
      </c>
      <c r="P99" s="14" t="s">
        <v>283</v>
      </c>
      <c r="Q99" s="14" t="s">
        <v>284</v>
      </c>
      <c r="R99" s="14" t="s">
        <v>904</v>
      </c>
      <c r="S99" s="14" t="s">
        <v>285</v>
      </c>
      <c r="T99" s="14" t="s">
        <v>289</v>
      </c>
      <c r="U99" s="14" t="s">
        <v>8</v>
      </c>
      <c r="V99" s="14" t="s">
        <v>9</v>
      </c>
      <c r="W99" s="14" t="s">
        <v>10</v>
      </c>
      <c r="X99" s="14" t="s">
        <v>100</v>
      </c>
      <c r="Y99" s="14" t="s">
        <v>106</v>
      </c>
      <c r="Z99" s="14" t="s">
        <v>12</v>
      </c>
      <c r="AA99" s="14" t="s">
        <v>258</v>
      </c>
      <c r="AB99" s="14" t="s">
        <v>13</v>
      </c>
      <c r="AC99" s="14" t="s">
        <v>74</v>
      </c>
      <c r="AD99" s="14" t="s">
        <v>21</v>
      </c>
      <c r="AE99" s="14" t="s">
        <v>14</v>
      </c>
      <c r="AF99" s="14" t="s">
        <v>15</v>
      </c>
      <c r="AG99" s="14" t="s">
        <v>16</v>
      </c>
      <c r="AH99" s="15" t="s">
        <v>17</v>
      </c>
      <c r="AI99" s="14" t="s">
        <v>679</v>
      </c>
      <c r="AJ99" s="14" t="s">
        <v>678</v>
      </c>
    </row>
    <row r="100" spans="1:39" x14ac:dyDescent="0.35">
      <c r="A100" s="20">
        <v>45100</v>
      </c>
      <c r="B100" s="21" t="s">
        <v>563</v>
      </c>
      <c r="C100" s="21" t="s">
        <v>575</v>
      </c>
      <c r="D100" s="146">
        <v>150347</v>
      </c>
      <c r="E100" s="44"/>
      <c r="F100" s="21"/>
      <c r="G100" s="21">
        <v>65</v>
      </c>
      <c r="H100" s="22">
        <v>22980</v>
      </c>
      <c r="I100" s="33">
        <v>0.5</v>
      </c>
      <c r="J100" s="24">
        <f>IFERROR(K100/H100,"")</f>
        <v>0.4865100087032202</v>
      </c>
      <c r="K100" s="22">
        <v>11180</v>
      </c>
      <c r="L100" s="21">
        <v>6</v>
      </c>
      <c r="M100" s="21">
        <v>53</v>
      </c>
      <c r="N100" s="21">
        <v>5</v>
      </c>
      <c r="O100" s="21">
        <v>1</v>
      </c>
      <c r="P100" s="21"/>
      <c r="Q100" s="21"/>
      <c r="R100" s="21"/>
      <c r="S100" s="21"/>
      <c r="T100" s="21"/>
      <c r="U100" s="25">
        <v>195.3</v>
      </c>
      <c r="V100" s="25">
        <f>H100*U100*I100/15</f>
        <v>149599.79999999999</v>
      </c>
      <c r="W100" s="25">
        <v>256.23</v>
      </c>
      <c r="X100" s="25">
        <v>190975.47</v>
      </c>
      <c r="Y100" s="25">
        <f>G100*60</f>
        <v>3900</v>
      </c>
      <c r="Z100" s="25">
        <v>9682.4</v>
      </c>
      <c r="AA100" s="25">
        <v>0</v>
      </c>
      <c r="AB100" s="25">
        <v>1269.45</v>
      </c>
      <c r="AC100" s="25">
        <f>G100*35+F100*38</f>
        <v>2275</v>
      </c>
      <c r="AD100" s="25">
        <f>IF(F100="",G100*4.11,F100*4.11)</f>
        <v>267.15000000000003</v>
      </c>
      <c r="AE100" s="25">
        <v>381.94</v>
      </c>
      <c r="AF100" s="25">
        <f>V100+Y100+Z100+AA100+AB100+AC100+AD100</f>
        <v>166993.79999999999</v>
      </c>
      <c r="AG100" s="25">
        <f>IFERROR(IFERROR((H100*W100*J100/15)-AE100,""),"")</f>
        <v>190594.82000000004</v>
      </c>
      <c r="AH100" s="26">
        <f>IFERROR(AG100-AF100,"")</f>
        <v>23601.020000000048</v>
      </c>
      <c r="AI100" s="6">
        <f>IF(F100="",(G100/$F$115)*$AL$27,(F100/$F$115)*$AL$27)</f>
        <v>97.511800302571871</v>
      </c>
      <c r="AJ100" s="6">
        <f>(AH100-AI100)*70%</f>
        <v>16452.455739788234</v>
      </c>
      <c r="AK100" t="s">
        <v>580</v>
      </c>
    </row>
    <row r="101" spans="1:39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3"/>
      <c r="AA101" s="21"/>
      <c r="AB101" s="21"/>
      <c r="AC101" s="21"/>
      <c r="AD101" s="21"/>
      <c r="AE101" s="21"/>
      <c r="AF101" s="21"/>
      <c r="AG101" s="21"/>
      <c r="AH101" s="26">
        <f>IFERROR(AH100/F100,0)+IFERROR(AH100/G100,0)</f>
        <v>363.09261538461612</v>
      </c>
    </row>
    <row r="102" spans="1:39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7">
        <f>IFERROR(AH100/AG100,"")</f>
        <v>0.1238282341566263</v>
      </c>
    </row>
    <row r="103" spans="1:39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47"/>
      <c r="AI103" s="47"/>
      <c r="AJ103" s="47"/>
    </row>
    <row r="104" spans="1:39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47"/>
      <c r="AI104" s="47"/>
      <c r="AJ104" s="47"/>
    </row>
    <row r="105" spans="1:39" x14ac:dyDescent="0.35">
      <c r="A105" s="14" t="s">
        <v>1</v>
      </c>
      <c r="B105" s="14" t="s">
        <v>2</v>
      </c>
      <c r="C105" s="14" t="s">
        <v>110</v>
      </c>
      <c r="D105" s="14" t="s">
        <v>66</v>
      </c>
      <c r="E105" s="14"/>
      <c r="F105" s="14" t="s">
        <v>137</v>
      </c>
      <c r="G105" s="14" t="s">
        <v>138</v>
      </c>
      <c r="H105" s="14" t="s">
        <v>4</v>
      </c>
      <c r="I105" s="14" t="s">
        <v>5</v>
      </c>
      <c r="J105" s="14" t="s">
        <v>6</v>
      </c>
      <c r="K105" s="14" t="s">
        <v>7</v>
      </c>
      <c r="L105" s="14" t="s">
        <v>279</v>
      </c>
      <c r="M105" s="14" t="s">
        <v>280</v>
      </c>
      <c r="N105" s="14" t="s">
        <v>281</v>
      </c>
      <c r="O105" s="14" t="s">
        <v>282</v>
      </c>
      <c r="P105" s="14" t="s">
        <v>283</v>
      </c>
      <c r="Q105" s="14" t="s">
        <v>284</v>
      </c>
      <c r="R105" s="14" t="s">
        <v>904</v>
      </c>
      <c r="S105" s="14" t="s">
        <v>285</v>
      </c>
      <c r="T105" s="14" t="s">
        <v>289</v>
      </c>
      <c r="U105" s="14" t="s">
        <v>8</v>
      </c>
      <c r="V105" s="14" t="s">
        <v>9</v>
      </c>
      <c r="W105" s="14" t="s">
        <v>10</v>
      </c>
      <c r="X105" s="14" t="s">
        <v>100</v>
      </c>
      <c r="Y105" s="14" t="s">
        <v>106</v>
      </c>
      <c r="Z105" s="14" t="s">
        <v>12</v>
      </c>
      <c r="AA105" s="14" t="s">
        <v>258</v>
      </c>
      <c r="AB105" s="14" t="s">
        <v>13</v>
      </c>
      <c r="AC105" s="14" t="s">
        <v>74</v>
      </c>
      <c r="AD105" s="14" t="s">
        <v>21</v>
      </c>
      <c r="AE105" s="14" t="s">
        <v>14</v>
      </c>
      <c r="AF105" s="14" t="s">
        <v>15</v>
      </c>
      <c r="AG105" s="14" t="s">
        <v>16</v>
      </c>
      <c r="AH105" s="15" t="s">
        <v>17</v>
      </c>
      <c r="AI105" s="14" t="s">
        <v>679</v>
      </c>
      <c r="AJ105" s="14" t="s">
        <v>678</v>
      </c>
    </row>
    <row r="106" spans="1:39" x14ac:dyDescent="0.35">
      <c r="A106" s="20">
        <v>45100</v>
      </c>
      <c r="B106" s="21" t="s">
        <v>563</v>
      </c>
      <c r="C106" s="21" t="s">
        <v>224</v>
      </c>
      <c r="D106" s="146">
        <v>150349</v>
      </c>
      <c r="E106" s="44"/>
      <c r="F106" s="21"/>
      <c r="G106" s="21">
        <v>12</v>
      </c>
      <c r="H106" s="22">
        <v>4440</v>
      </c>
      <c r="I106" s="33">
        <v>0.5</v>
      </c>
      <c r="J106" s="24">
        <f>IFERROR(K106/H106,"")</f>
        <v>0.47138186573670449</v>
      </c>
      <c r="K106" s="22">
        <v>2092.9354838709678</v>
      </c>
      <c r="L106" s="21"/>
      <c r="M106" s="21">
        <v>12</v>
      </c>
      <c r="N106" s="21"/>
      <c r="O106" s="21"/>
      <c r="P106" s="21"/>
      <c r="Q106" s="21"/>
      <c r="R106" s="21"/>
      <c r="S106" s="21"/>
      <c r="T106" s="21"/>
      <c r="U106" s="25">
        <v>210</v>
      </c>
      <c r="V106" s="25">
        <f>H106*U106*I106/15</f>
        <v>31080</v>
      </c>
      <c r="W106" s="25">
        <v>255.46</v>
      </c>
      <c r="X106" s="25">
        <v>35644.395483870961</v>
      </c>
      <c r="Y106" s="25">
        <f>G106*60</f>
        <v>720</v>
      </c>
      <c r="Z106" s="25">
        <v>1582.269677419355</v>
      </c>
      <c r="AA106" s="25">
        <v>0</v>
      </c>
      <c r="AB106" s="25">
        <v>252</v>
      </c>
      <c r="AC106" s="25">
        <f>G106*35+F106*38</f>
        <v>420</v>
      </c>
      <c r="AD106" s="25">
        <f>IF(F106="",G106*4.11,F106*4.11)</f>
        <v>49.320000000000007</v>
      </c>
      <c r="AE106" s="25">
        <v>71.289677419354831</v>
      </c>
      <c r="AF106" s="25">
        <f>V106+Y106+Z106+AA106+AB106+AC106+AD106</f>
        <v>34103.589677419353</v>
      </c>
      <c r="AG106" s="25">
        <f>IFERROR(IFERROR((H106*W106*J106/15)-AE106,""),"")</f>
        <v>35572.796903225812</v>
      </c>
      <c r="AH106" s="26">
        <f>IFERROR(AG106-AF106,"")</f>
        <v>1469.2072258064582</v>
      </c>
      <c r="AI106" s="6">
        <f>IF(F106="",(G106/$F$115)*$AL$27,(F106/$F$115)*$AL$27)</f>
        <v>18.002178517397883</v>
      </c>
      <c r="AJ106" s="6">
        <f>(AH106-AI106)*70%</f>
        <v>1015.8435331023421</v>
      </c>
    </row>
    <row r="107" spans="1:39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3"/>
      <c r="AA107" s="21"/>
      <c r="AB107" s="21"/>
      <c r="AC107" s="21"/>
      <c r="AD107" s="21"/>
      <c r="AE107" s="21"/>
      <c r="AF107" s="21"/>
      <c r="AG107" s="21"/>
      <c r="AH107" s="26">
        <f>IFERROR(AH106/F106,0)+IFERROR(AH106/G106,0)</f>
        <v>122.43393548387151</v>
      </c>
    </row>
    <row r="108" spans="1:39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7">
        <f>IFERROR(AH106/AG106,"")</f>
        <v>4.130142563159625E-2</v>
      </c>
    </row>
    <row r="109" spans="1:39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47"/>
      <c r="AI109" s="47"/>
      <c r="AJ109" s="47"/>
    </row>
    <row r="110" spans="1:39" x14ac:dyDescent="0.35">
      <c r="A110" s="14" t="s">
        <v>1</v>
      </c>
      <c r="B110" s="14" t="s">
        <v>2</v>
      </c>
      <c r="C110" s="14" t="s">
        <v>110</v>
      </c>
      <c r="D110" s="14" t="s">
        <v>66</v>
      </c>
      <c r="E110" s="14"/>
      <c r="F110" s="14" t="s">
        <v>137</v>
      </c>
      <c r="G110" s="14" t="s">
        <v>138</v>
      </c>
      <c r="H110" s="14" t="s">
        <v>4</v>
      </c>
      <c r="I110" s="14" t="s">
        <v>5</v>
      </c>
      <c r="J110" s="14" t="s">
        <v>6</v>
      </c>
      <c r="K110" s="14" t="s">
        <v>7</v>
      </c>
      <c r="L110" s="14" t="s">
        <v>279</v>
      </c>
      <c r="M110" s="14" t="s">
        <v>280</v>
      </c>
      <c r="N110" s="14" t="s">
        <v>281</v>
      </c>
      <c r="O110" s="14" t="s">
        <v>282</v>
      </c>
      <c r="P110" s="14" t="s">
        <v>283</v>
      </c>
      <c r="Q110" s="14" t="s">
        <v>284</v>
      </c>
      <c r="R110" s="14" t="s">
        <v>904</v>
      </c>
      <c r="S110" s="14" t="s">
        <v>285</v>
      </c>
      <c r="T110" s="14" t="s">
        <v>289</v>
      </c>
      <c r="U110" s="14" t="s">
        <v>8</v>
      </c>
      <c r="V110" s="14" t="s">
        <v>9</v>
      </c>
      <c r="W110" s="14" t="s">
        <v>10</v>
      </c>
      <c r="X110" s="14" t="s">
        <v>100</v>
      </c>
      <c r="Y110" s="14" t="s">
        <v>106</v>
      </c>
      <c r="Z110" s="14" t="s">
        <v>12</v>
      </c>
      <c r="AA110" s="14" t="s">
        <v>258</v>
      </c>
      <c r="AB110" s="14" t="s">
        <v>13</v>
      </c>
      <c r="AC110" s="14" t="s">
        <v>74</v>
      </c>
      <c r="AD110" s="14" t="s">
        <v>21</v>
      </c>
      <c r="AE110" s="14" t="s">
        <v>14</v>
      </c>
      <c r="AF110" s="14" t="s">
        <v>15</v>
      </c>
      <c r="AG110" s="14" t="s">
        <v>16</v>
      </c>
      <c r="AH110" s="15" t="s">
        <v>17</v>
      </c>
      <c r="AI110" s="14" t="s">
        <v>679</v>
      </c>
      <c r="AJ110" s="14" t="s">
        <v>678</v>
      </c>
    </row>
    <row r="111" spans="1:39" x14ac:dyDescent="0.35">
      <c r="A111" s="20">
        <v>45096</v>
      </c>
      <c r="B111" s="21" t="s">
        <v>563</v>
      </c>
      <c r="C111" s="21" t="s">
        <v>565</v>
      </c>
      <c r="D111" s="44"/>
      <c r="E111" s="44"/>
      <c r="F111" s="21"/>
      <c r="G111" s="21">
        <v>3</v>
      </c>
      <c r="H111" s="22">
        <v>1608</v>
      </c>
      <c r="I111" s="33">
        <v>0.5</v>
      </c>
      <c r="J111" s="24">
        <f>IFERROR(K111/H111,"")</f>
        <v>0.48180970149253732</v>
      </c>
      <c r="K111" s="22">
        <v>774.75</v>
      </c>
      <c r="L111" s="21"/>
      <c r="M111" s="21"/>
      <c r="N111" s="21">
        <v>3</v>
      </c>
      <c r="O111" s="21"/>
      <c r="P111" s="21"/>
      <c r="Q111" s="21"/>
      <c r="R111" s="21"/>
      <c r="S111" s="21"/>
      <c r="T111" s="21"/>
      <c r="U111" s="25">
        <v>200</v>
      </c>
      <c r="V111" s="25">
        <f>H111*U111*I111/15</f>
        <v>10720</v>
      </c>
      <c r="W111" s="25">
        <v>240</v>
      </c>
      <c r="X111" s="25">
        <f>(K111/15)*240</f>
        <v>12396</v>
      </c>
      <c r="Y111" s="25">
        <f>G111*60</f>
        <v>180</v>
      </c>
      <c r="Z111" s="25">
        <v>437.49490909090912</v>
      </c>
      <c r="AA111" s="25">
        <v>0</v>
      </c>
      <c r="AB111" s="25">
        <v>60</v>
      </c>
      <c r="AC111" s="25">
        <f>G111*35+F111*38</f>
        <v>105</v>
      </c>
      <c r="AD111" s="25">
        <f>IF(F111="",G111*4.11,F111*4.11)</f>
        <v>12.330000000000002</v>
      </c>
      <c r="AE111" s="25">
        <v>0</v>
      </c>
      <c r="AF111" s="25">
        <f>V111+Y111+Z111+AA111+AB111+AC111+AD111</f>
        <v>11514.824909090908</v>
      </c>
      <c r="AG111" s="25">
        <f>IFERROR(IFERROR((H111*W111*J111/15)-AE111,""),"")</f>
        <v>12396</v>
      </c>
      <c r="AH111" s="26">
        <f>IFERROR(AG111-AF111,"")</f>
        <v>881.17509090909152</v>
      </c>
      <c r="AI111" s="6">
        <f>IF(F111="",(G111/$F$115)*$AL$27,(F111/$F$115)*$AL$27)</f>
        <v>4.5005446293494709</v>
      </c>
      <c r="AJ111" s="6">
        <f>(AH111-AI111)*70%</f>
        <v>613.67218239581939</v>
      </c>
      <c r="AM111" s="1"/>
    </row>
    <row r="112" spans="1:39" x14ac:dyDescent="0.35">
      <c r="A112" s="20"/>
      <c r="B112" s="21"/>
      <c r="C112" s="21"/>
      <c r="D112" s="44"/>
      <c r="E112" s="44"/>
      <c r="F112" s="21"/>
      <c r="G112" s="21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6">
        <f>IFERROR(AH111/F111,0)+IFERROR(AH111/G111,0)</f>
        <v>293.72503030303051</v>
      </c>
      <c r="AM112" s="1"/>
    </row>
    <row r="113" spans="1:39" x14ac:dyDescent="0.35">
      <c r="A113" s="20"/>
      <c r="B113" s="21"/>
      <c r="C113" s="21"/>
      <c r="D113" s="44"/>
      <c r="E113" s="44"/>
      <c r="F113" s="21"/>
      <c r="G113" s="21"/>
      <c r="H113" s="22"/>
      <c r="I113" s="33"/>
      <c r="J113" s="24"/>
      <c r="K113" s="22"/>
      <c r="L113" s="21"/>
      <c r="M113" s="21"/>
      <c r="N113" s="21"/>
      <c r="O113" s="21"/>
      <c r="P113" s="21"/>
      <c r="Q113" s="21"/>
      <c r="R113" s="21"/>
      <c r="S113" s="21"/>
      <c r="T113" s="21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7">
        <f>IFERROR(AH111/AG111,"")</f>
        <v>7.108543811786798E-2</v>
      </c>
      <c r="AM113" s="1"/>
    </row>
    <row r="114" spans="1:39" ht="15" thickBot="1" x14ac:dyDescent="0.4">
      <c r="A114" s="20"/>
      <c r="B114" s="21"/>
      <c r="C114" s="21"/>
      <c r="D114" s="44"/>
      <c r="E114" s="44"/>
      <c r="F114" s="21"/>
      <c r="G114" s="21"/>
      <c r="H114" s="22"/>
      <c r="I114" s="33"/>
      <c r="J114" s="24"/>
      <c r="K114" s="22"/>
      <c r="L114" s="21"/>
      <c r="M114" s="21"/>
      <c r="N114" s="21"/>
      <c r="O114" s="21"/>
      <c r="P114" s="21"/>
      <c r="Q114" s="21"/>
      <c r="R114" s="21"/>
      <c r="S114" s="21"/>
      <c r="T114" s="21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47"/>
      <c r="AJ114" s="47"/>
      <c r="AM114" s="1"/>
    </row>
    <row r="115" spans="1:39" ht="16" thickBot="1" x14ac:dyDescent="0.4">
      <c r="A115" s="377" t="s">
        <v>562</v>
      </c>
      <c r="B115" s="378"/>
      <c r="C115" s="378"/>
      <c r="D115" s="378"/>
      <c r="E115" s="378"/>
      <c r="F115" s="30">
        <f>SUM(F4:G111)</f>
        <v>1322</v>
      </c>
      <c r="G115" s="30"/>
      <c r="H115" s="30"/>
      <c r="I115" s="30"/>
      <c r="J115" s="30"/>
      <c r="K115" s="30"/>
      <c r="L115" s="46"/>
      <c r="M115" s="46"/>
      <c r="N115" s="46"/>
      <c r="O115" s="46"/>
      <c r="P115" s="46"/>
      <c r="Q115" s="46"/>
      <c r="R115" s="46"/>
      <c r="S115" s="46"/>
      <c r="T115" s="46"/>
      <c r="U115" s="30"/>
      <c r="V115" s="31">
        <f>V4+V10+V16+V22+V28+V34+V40+V46+V52+V58+V64+V70+V76+V82+V88+V94+V100+V106+V111</f>
        <v>3731868.5166666666</v>
      </c>
      <c r="W115" s="30"/>
      <c r="X115" s="30"/>
      <c r="Y115" s="31">
        <f t="shared" ref="Y115:AJ115" si="0">Y4+Y10+Y16+Y22+Y28+Y34+Y40+Y46+Y52+Y58+Y64+Y70+Y76+Y82+Y88+Y94+Y100+Y106+Y111</f>
        <v>79320</v>
      </c>
      <c r="Z115" s="31">
        <f t="shared" si="0"/>
        <v>199186.66967741938</v>
      </c>
      <c r="AA115" s="31">
        <f t="shared" si="0"/>
        <v>0</v>
      </c>
      <c r="AB115" s="31">
        <f t="shared" si="0"/>
        <v>27730.45</v>
      </c>
      <c r="AC115" s="31">
        <f t="shared" si="0"/>
        <v>46570</v>
      </c>
      <c r="AD115" s="31">
        <f t="shared" si="0"/>
        <v>5433.4199999999983</v>
      </c>
      <c r="AE115" s="31">
        <f t="shared" si="0"/>
        <v>8876.6656000000003</v>
      </c>
      <c r="AF115" s="31">
        <f t="shared" si="0"/>
        <v>4090109.0563440872</v>
      </c>
      <c r="AG115" s="31">
        <f t="shared" si="0"/>
        <v>4445953.1688100006</v>
      </c>
      <c r="AH115" s="31">
        <f t="shared" si="0"/>
        <v>355844.11246591376</v>
      </c>
      <c r="AI115" s="31">
        <f t="shared" si="0"/>
        <v>1983.24</v>
      </c>
      <c r="AJ115" s="31">
        <f t="shared" si="0"/>
        <v>247702.61072613971</v>
      </c>
    </row>
  </sheetData>
  <mergeCells count="2">
    <mergeCell ref="U2:AC2"/>
    <mergeCell ref="A115:E11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7">
    <tabColor rgb="FF92D050"/>
  </sheetPr>
  <dimension ref="A1:AN85"/>
  <sheetViews>
    <sheetView zoomScale="85" zoomScaleNormal="85" workbookViewId="0"/>
  </sheetViews>
  <sheetFormatPr defaultRowHeight="14.5" x14ac:dyDescent="0.35"/>
  <cols>
    <col min="1" max="1" width="10.81640625" bestFit="1" customWidth="1"/>
    <col min="2" max="2" width="12" bestFit="1" customWidth="1"/>
    <col min="3" max="3" width="30.26953125" bestFit="1" customWidth="1"/>
    <col min="4" max="4" width="12.1796875" bestFit="1" customWidth="1"/>
    <col min="5" max="5" width="7.81640625" bestFit="1" customWidth="1"/>
    <col min="6" max="6" width="9" bestFit="1" customWidth="1"/>
    <col min="7" max="7" width="8.1796875" bestFit="1" customWidth="1"/>
    <col min="8" max="8" width="9.26953125" bestFit="1" customWidth="1"/>
    <col min="9" max="9" width="8.26953125" bestFit="1" customWidth="1"/>
    <col min="10" max="10" width="10.54296875" bestFit="1" customWidth="1"/>
    <col min="11" max="11" width="12.81640625" bestFit="1" customWidth="1"/>
    <col min="12" max="16" width="6.453125" bestFit="1" customWidth="1"/>
    <col min="17" max="18" width="11.54296875" bestFit="1" customWidth="1"/>
    <col min="19" max="19" width="4" bestFit="1" customWidth="1"/>
    <col min="20" max="20" width="3.1796875" bestFit="1" customWidth="1"/>
    <col min="21" max="21" width="15.54296875" bestFit="1" customWidth="1"/>
    <col min="22" max="22" width="17" bestFit="1" customWidth="1"/>
    <col min="23" max="23" width="13.81640625" bestFit="1" customWidth="1"/>
    <col min="24" max="24" width="15" bestFit="1" customWidth="1"/>
    <col min="25" max="25" width="13.81640625" bestFit="1" customWidth="1"/>
    <col min="26" max="26" width="15.1796875" bestFit="1" customWidth="1"/>
    <col min="27" max="27" width="8.7265625" bestFit="1" customWidth="1"/>
    <col min="28" max="29" width="13.81640625" bestFit="1" customWidth="1"/>
    <col min="30" max="31" width="12.54296875" bestFit="1" customWidth="1"/>
    <col min="32" max="33" width="17" bestFit="1" customWidth="1"/>
    <col min="34" max="34" width="15.1796875" bestFit="1" customWidth="1"/>
    <col min="35" max="36" width="14.453125" customWidth="1"/>
    <col min="37" max="37" width="7.7265625" bestFit="1" customWidth="1"/>
    <col min="38" max="38" width="18.54296875" customWidth="1"/>
    <col min="39" max="39" width="24.54296875" bestFit="1" customWidth="1"/>
    <col min="40" max="40" width="10.8164062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ht="20.5" customHeight="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AF64</f>
        <v>3947696.3700000006</v>
      </c>
      <c r="AM3" s="164">
        <f>AH64-AI64</f>
        <v>454615.04244999954</v>
      </c>
    </row>
    <row r="4" spans="1:40" x14ac:dyDescent="0.35">
      <c r="A4" s="20">
        <v>45101</v>
      </c>
      <c r="B4" s="21" t="s">
        <v>563</v>
      </c>
      <c r="C4" s="21" t="s">
        <v>174</v>
      </c>
      <c r="D4" s="44">
        <v>150346</v>
      </c>
      <c r="E4" s="44"/>
      <c r="F4" s="21">
        <v>50</v>
      </c>
      <c r="G4" s="21"/>
      <c r="H4" s="22">
        <v>26680</v>
      </c>
      <c r="I4" s="33">
        <v>0.53</v>
      </c>
      <c r="J4" s="24">
        <f>IFERROR(K4/H4,"")</f>
        <v>0.56525487256371809</v>
      </c>
      <c r="K4" s="22">
        <v>15081</v>
      </c>
      <c r="L4" s="21">
        <v>1</v>
      </c>
      <c r="M4" s="21">
        <v>29</v>
      </c>
      <c r="N4" s="21">
        <v>19</v>
      </c>
      <c r="O4" s="21">
        <v>1</v>
      </c>
      <c r="P4" s="21"/>
      <c r="Q4" s="21"/>
      <c r="R4" s="21"/>
      <c r="S4" s="21"/>
      <c r="T4" s="21"/>
      <c r="U4" s="25">
        <v>225</v>
      </c>
      <c r="V4" s="25">
        <f>H4*U4*I4/15</f>
        <v>212106</v>
      </c>
      <c r="W4" s="25">
        <v>262.72000000000003</v>
      </c>
      <c r="X4" s="25">
        <v>264136.02</v>
      </c>
      <c r="Y4" s="25">
        <f>G4*60+F4*60</f>
        <v>3000</v>
      </c>
      <c r="Z4" s="25">
        <v>9667.14</v>
      </c>
      <c r="AA4" s="25">
        <v>0</v>
      </c>
      <c r="AB4" s="25">
        <v>1125</v>
      </c>
      <c r="AC4" s="25">
        <f>G4*35+F4*38</f>
        <v>1900</v>
      </c>
      <c r="AD4" s="25">
        <f>IF(F4="",G4*4.11,F4*4.11)</f>
        <v>205.50000000000003</v>
      </c>
      <c r="AE4" s="25">
        <v>528.27</v>
      </c>
      <c r="AF4" s="25">
        <f>V4+Y4+Z4+AA4+AB4+AC4+AD4</f>
        <v>228003.64</v>
      </c>
      <c r="AG4" s="25">
        <f>IFERROR(IFERROR((H4*W4*J4/15)-AE4,""),"")</f>
        <v>263610.41799999995</v>
      </c>
      <c r="AH4" s="26">
        <f>IFERROR(AG4-AF4,"")</f>
        <v>35606.777999999933</v>
      </c>
      <c r="AI4" s="6">
        <f>IF(F4="",(G4/$F$64)*$AL$23,(F4/$F$64)*$AL$23)</f>
        <v>0</v>
      </c>
      <c r="AJ4" s="6">
        <f>(AH4-AI4)*70%</f>
        <v>24924.744599999951</v>
      </c>
      <c r="AL4" s="166" t="s">
        <v>749</v>
      </c>
      <c r="AM4" s="167">
        <f>AM3/AL3</f>
        <v>0.1151595765836468</v>
      </c>
    </row>
    <row r="5" spans="1:40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712.13555999999869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0.1350734856010127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/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L8">
        <f>F4+G4</f>
        <v>50</v>
      </c>
      <c r="AM8" s="50" t="s">
        <v>22</v>
      </c>
      <c r="AN8" t="s">
        <v>72</v>
      </c>
    </row>
    <row r="9" spans="1:40" x14ac:dyDescent="0.35">
      <c r="A9" s="20">
        <v>45103</v>
      </c>
      <c r="B9" s="21" t="s">
        <v>563</v>
      </c>
      <c r="C9" s="21" t="s">
        <v>573</v>
      </c>
      <c r="D9" s="146">
        <v>150350</v>
      </c>
      <c r="E9" s="44"/>
      <c r="F9" s="21">
        <v>100</v>
      </c>
      <c r="G9" s="21"/>
      <c r="H9" s="22">
        <v>57860</v>
      </c>
      <c r="I9" s="33">
        <v>0.55000000000000004</v>
      </c>
      <c r="J9" s="24">
        <f>IFERROR(K9/H9,"")</f>
        <v>0.57061009332872448</v>
      </c>
      <c r="K9" s="22">
        <v>33015.5</v>
      </c>
      <c r="L9" s="21">
        <v>82</v>
      </c>
      <c r="M9" s="21">
        <v>18</v>
      </c>
      <c r="N9" s="21"/>
      <c r="O9" s="21"/>
      <c r="P9" s="21"/>
      <c r="Q9" s="21"/>
      <c r="R9" s="21"/>
      <c r="S9" s="21"/>
      <c r="T9" s="21"/>
      <c r="U9" s="25">
        <v>230</v>
      </c>
      <c r="V9" s="25">
        <f>H9*U9*I9/15</f>
        <v>487952.66666666674</v>
      </c>
      <c r="W9" s="139">
        <f>269.86*0.99</f>
        <v>267.16140000000001</v>
      </c>
      <c r="X9" s="25">
        <v>593979.07999999996</v>
      </c>
      <c r="Y9" s="25">
        <f>G9*60+F9*60</f>
        <v>6000</v>
      </c>
      <c r="Z9" s="25">
        <v>17325.080000000002</v>
      </c>
      <c r="AA9" s="25">
        <v>0</v>
      </c>
      <c r="AB9" s="25">
        <v>2300</v>
      </c>
      <c r="AC9" s="25">
        <f>G9*35+F9*38</f>
        <v>3800</v>
      </c>
      <c r="AD9" s="25">
        <f>IF(F9="",G9*4.11,F9*4.11)</f>
        <v>411.00000000000006</v>
      </c>
      <c r="AE9" s="139">
        <f>1187.96*0.99</f>
        <v>1176.0804000000001</v>
      </c>
      <c r="AF9" s="25">
        <f>V9+Y9+Z9+AA9+AB9+AC9+AD9</f>
        <v>517788.74666666676</v>
      </c>
      <c r="AG9" s="25">
        <f>IFERROR(IFERROR((H9*W9*J9/15)-AE9,""),"")</f>
        <v>586855.06637999997</v>
      </c>
      <c r="AH9" s="26">
        <f>IFERROR(AG9-AF9,"")</f>
        <v>69066.319713333214</v>
      </c>
      <c r="AI9" s="6">
        <f>IF(F9="",(G9/$F$64)*$AL$23,(F9/$F$64)*$AL$23)</f>
        <v>0</v>
      </c>
      <c r="AJ9" s="6">
        <f>(AH9-AI9)*70%</f>
        <v>48346.42379933325</v>
      </c>
      <c r="AL9" s="11">
        <f>AH4</f>
        <v>35606.777999999933</v>
      </c>
      <c r="AM9" s="11">
        <f>AL9*30%</f>
        <v>10682.03339999998</v>
      </c>
      <c r="AN9" s="2">
        <v>45114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1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690.66319713333212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0.11768888720577465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/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45103</v>
      </c>
      <c r="B14" s="21" t="s">
        <v>563</v>
      </c>
      <c r="C14" s="21" t="s">
        <v>224</v>
      </c>
      <c r="D14" s="146">
        <v>150352</v>
      </c>
      <c r="E14" s="44"/>
      <c r="F14" s="21"/>
      <c r="G14" s="21">
        <v>60</v>
      </c>
      <c r="H14" s="22">
        <v>22560</v>
      </c>
      <c r="I14" s="33">
        <v>0.5</v>
      </c>
      <c r="J14" s="24">
        <f>IFERROR(K14/H14,"")</f>
        <v>0.50310283687943258</v>
      </c>
      <c r="K14" s="22">
        <v>11350</v>
      </c>
      <c r="L14" s="21">
        <v>8</v>
      </c>
      <c r="M14" s="21">
        <v>44</v>
      </c>
      <c r="N14" s="21">
        <v>7</v>
      </c>
      <c r="O14" s="21"/>
      <c r="P14" s="21">
        <v>1</v>
      </c>
      <c r="Q14" s="21"/>
      <c r="R14" s="21"/>
      <c r="S14" s="21"/>
      <c r="T14" s="21"/>
      <c r="U14" s="25">
        <v>210</v>
      </c>
      <c r="V14" s="25">
        <f>H14*U14*I14/15</f>
        <v>157920</v>
      </c>
      <c r="W14" s="139">
        <f>264.03*0.99</f>
        <v>261.38969999999995</v>
      </c>
      <c r="X14" s="25">
        <v>199781.53</v>
      </c>
      <c r="Y14" s="25">
        <f>G14*60</f>
        <v>3600</v>
      </c>
      <c r="Z14" s="25">
        <v>6883.12</v>
      </c>
      <c r="AA14" s="25">
        <v>0</v>
      </c>
      <c r="AB14" s="25">
        <v>1260</v>
      </c>
      <c r="AC14" s="25">
        <f>G14*35+F14*38</f>
        <v>2100</v>
      </c>
      <c r="AD14" s="25">
        <f>IF(F14="",G14*4.11,F14*4.11)</f>
        <v>246.60000000000002</v>
      </c>
      <c r="AE14" s="139">
        <f>399.56*0.99</f>
        <v>395.56439999999998</v>
      </c>
      <c r="AF14" s="25">
        <f>V14+Y14+Z14+AA14+AB14+AC14+AD14</f>
        <v>172009.72</v>
      </c>
      <c r="AG14" s="25">
        <f>IFERROR(IFERROR((H14*W14*J14/15)-AE14,""),"")</f>
        <v>197389.30859999996</v>
      </c>
      <c r="AH14" s="26">
        <f>IFERROR(AG14-AF14,"")</f>
        <v>25379.588599999959</v>
      </c>
      <c r="AI14" s="6">
        <f>IF(F14="",(G14/$F$64)*$AL$23,(F14/$F$64)*$AL$23)</f>
        <v>0</v>
      </c>
      <c r="AJ14" s="6">
        <f>(AH14-AI14)*70%</f>
        <v>17765.71201999997</v>
      </c>
      <c r="AL14">
        <f>F9+G9+F14+G14+F19+G19+F24+G24+F29+G29+F34+G34+F39+G39+F44+G44+F49+G49+F54+G54+F59+G59</f>
        <v>1039</v>
      </c>
      <c r="AM14" s="50" t="s">
        <v>22</v>
      </c>
      <c r="AN14" t="s">
        <v>72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422.99314333333263</v>
      </c>
      <c r="AL15" s="11">
        <f>AH14+AH9+AH19+AH24+AH29+AH34+AH39+AH44+AH49+AH54+AH59</f>
        <v>419008.26444999961</v>
      </c>
      <c r="AM15" s="11">
        <f>AL15*30%</f>
        <v>125702.47933499988</v>
      </c>
      <c r="AN15" s="2">
        <v>45141</v>
      </c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0.1285763083117662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/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211" t="s">
        <v>680</v>
      </c>
      <c r="AN18" s="191"/>
    </row>
    <row r="19" spans="1:40" x14ac:dyDescent="0.35">
      <c r="A19" s="20">
        <v>45103</v>
      </c>
      <c r="B19" s="21" t="s">
        <v>563</v>
      </c>
      <c r="C19" s="21" t="s">
        <v>577</v>
      </c>
      <c r="D19" s="146">
        <v>150351</v>
      </c>
      <c r="E19" s="44"/>
      <c r="F19" s="21"/>
      <c r="G19" s="21">
        <v>62</v>
      </c>
      <c r="H19" s="22">
        <v>21840</v>
      </c>
      <c r="I19" s="33">
        <v>0.5</v>
      </c>
      <c r="J19" s="24">
        <f>IFERROR(K19/H19,"")</f>
        <v>0.49498626373626375</v>
      </c>
      <c r="K19" s="22">
        <v>10810.5</v>
      </c>
      <c r="L19" s="21">
        <v>9</v>
      </c>
      <c r="M19" s="21">
        <v>29</v>
      </c>
      <c r="N19" s="21">
        <v>22</v>
      </c>
      <c r="O19" s="21">
        <v>2</v>
      </c>
      <c r="P19" s="21"/>
      <c r="Q19" s="21"/>
      <c r="R19" s="21"/>
      <c r="S19" s="21"/>
      <c r="T19" s="21"/>
      <c r="U19" s="25">
        <v>210</v>
      </c>
      <c r="V19" s="25">
        <f>H19*U19*I19/15</f>
        <v>152880</v>
      </c>
      <c r="W19" s="139">
        <f>262.7*0.99</f>
        <v>260.07299999999998</v>
      </c>
      <c r="X19" s="25">
        <v>189330.26</v>
      </c>
      <c r="Y19" s="25">
        <f>G19*60</f>
        <v>3720</v>
      </c>
      <c r="Z19" s="25">
        <v>8019.06</v>
      </c>
      <c r="AA19" s="25">
        <v>0</v>
      </c>
      <c r="AB19" s="25">
        <v>1302</v>
      </c>
      <c r="AC19" s="25">
        <f>G19*35+F19*38</f>
        <v>2170</v>
      </c>
      <c r="AD19" s="25">
        <f>IF(F19="",G19*4.11,F19*4.11)</f>
        <v>254.82000000000002</v>
      </c>
      <c r="AE19" s="139">
        <f>378.67*0.99</f>
        <v>374.88330000000002</v>
      </c>
      <c r="AF19" s="25">
        <f>V19+Y19+Z19+AA19+AB19+AC19+AD19</f>
        <v>168345.88</v>
      </c>
      <c r="AG19" s="25">
        <f>IFERROR(IFERROR((H19*W19*J19/15)-AE19,""),"")</f>
        <v>187059.72779999999</v>
      </c>
      <c r="AH19" s="26">
        <f>IFERROR(AG19-AF19,"")</f>
        <v>18713.847799999989</v>
      </c>
      <c r="AI19" s="6">
        <f>IF(F19="",(G19/$F$64)*$AL$23,(F19/$F$64)*$AL$23)</f>
        <v>0</v>
      </c>
      <c r="AJ19" s="6">
        <f>(AH19-AI19)*70%</f>
        <v>13099.693459999991</v>
      </c>
      <c r="AL19" s="216">
        <v>0</v>
      </c>
      <c r="AM19" s="218"/>
      <c r="AN19" s="173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301.83625483870952</v>
      </c>
      <c r="AL20" s="215">
        <v>0</v>
      </c>
      <c r="AM20" s="185"/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0.10004209896000923</v>
      </c>
      <c r="AI21" s="6"/>
      <c r="AJ21" s="6"/>
      <c r="AL21" s="215">
        <v>0</v>
      </c>
      <c r="AM21" s="219"/>
      <c r="AN21" s="174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3"/>
      <c r="AA22" s="21"/>
      <c r="AB22" s="21"/>
      <c r="AC22" s="21"/>
      <c r="AD22" s="21"/>
      <c r="AE22" s="21"/>
      <c r="AF22" s="21"/>
      <c r="AG22" s="21"/>
      <c r="AH22" s="24"/>
      <c r="AL22" s="215"/>
      <c r="AM22" s="219"/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/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88">
        <f>SUM(AL19:AL22)</f>
        <v>0</v>
      </c>
      <c r="AM23" s="189" t="s">
        <v>682</v>
      </c>
      <c r="AN23" s="191"/>
    </row>
    <row r="24" spans="1:40" x14ac:dyDescent="0.35">
      <c r="A24" s="20">
        <v>45104</v>
      </c>
      <c r="B24" s="21" t="s">
        <v>563</v>
      </c>
      <c r="C24" s="21" t="s">
        <v>578</v>
      </c>
      <c r="D24" s="146">
        <v>150354</v>
      </c>
      <c r="E24" s="44"/>
      <c r="F24" s="21"/>
      <c r="G24" s="21">
        <v>65</v>
      </c>
      <c r="H24" s="22">
        <v>31115</v>
      </c>
      <c r="I24" s="33">
        <v>0.5</v>
      </c>
      <c r="J24" s="24">
        <f>IFERROR(K24/H24,"")</f>
        <v>0.4851636233884713</v>
      </c>
      <c r="K24" s="22">
        <v>15095.866141732284</v>
      </c>
      <c r="L24" s="21">
        <v>11</v>
      </c>
      <c r="M24" s="21">
        <v>12</v>
      </c>
      <c r="N24" s="21">
        <v>23</v>
      </c>
      <c r="O24" s="21">
        <v>19</v>
      </c>
      <c r="P24" s="21"/>
      <c r="Q24" s="21"/>
      <c r="R24" s="21"/>
      <c r="S24" s="21"/>
      <c r="T24" s="21"/>
      <c r="U24" s="25">
        <v>210</v>
      </c>
      <c r="V24" s="25">
        <f>H24*U24*I24/15</f>
        <v>217805</v>
      </c>
      <c r="W24" s="139">
        <f>262.47*0.99</f>
        <v>259.84530000000001</v>
      </c>
      <c r="X24" s="25">
        <v>264148.33582677168</v>
      </c>
      <c r="Y24" s="25">
        <f>G24*60</f>
        <v>3900</v>
      </c>
      <c r="Z24" s="25">
        <v>15569.6</v>
      </c>
      <c r="AA24" s="25">
        <v>0</v>
      </c>
      <c r="AB24" s="25">
        <v>1365</v>
      </c>
      <c r="AC24" s="25">
        <f>G24*35+F24*38</f>
        <v>2275</v>
      </c>
      <c r="AD24" s="25">
        <f>IF(F24="",G24*4.11,F24*4.11)</f>
        <v>267.15000000000003</v>
      </c>
      <c r="AE24" s="139">
        <f>528.30157480315*0.99</f>
        <v>523.01855905511843</v>
      </c>
      <c r="AF24" s="25">
        <f>V24+Y24+Z24+AA24+AB24+AC24+AD24</f>
        <v>241181.75</v>
      </c>
      <c r="AG24" s="25">
        <f>IFERROR(IFERROR((H24*W24*J24/15)-AE24,""),"")</f>
        <v>260982.97253149608</v>
      </c>
      <c r="AH24" s="26">
        <f>IFERROR(AG24-AF24,"")</f>
        <v>19801.222531496082</v>
      </c>
      <c r="AI24" s="6">
        <f>IF(F24="",(G24/$F$64)*$AL$23,(F24/$F$64)*$AL$23)</f>
        <v>0</v>
      </c>
      <c r="AJ24" s="6">
        <f>(AH24-AI24)*70%</f>
        <v>13860.855772047256</v>
      </c>
      <c r="AK24" t="s">
        <v>580</v>
      </c>
      <c r="AL24" s="57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304.6341927922474</v>
      </c>
      <c r="AI25" s="6"/>
      <c r="AJ25" s="6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7.5871702814276201E-2</v>
      </c>
      <c r="AL26" s="11">
        <f>AL15-AL23</f>
        <v>419008.26444999961</v>
      </c>
      <c r="AM26" s="11" t="s">
        <v>471</v>
      </c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59">
        <f>AL26*30%</f>
        <v>125702.47933499988</v>
      </c>
      <c r="AM27" s="130" t="s">
        <v>499</v>
      </c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/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</row>
    <row r="29" spans="1:40" x14ac:dyDescent="0.35">
      <c r="A29" s="20">
        <v>45104</v>
      </c>
      <c r="B29" s="21" t="s">
        <v>563</v>
      </c>
      <c r="C29" s="21" t="s">
        <v>465</v>
      </c>
      <c r="D29" s="146">
        <v>150353</v>
      </c>
      <c r="E29" s="44"/>
      <c r="F29" s="21">
        <v>150</v>
      </c>
      <c r="G29" s="21"/>
      <c r="H29" s="22">
        <v>86300</v>
      </c>
      <c r="I29" s="33">
        <v>0.53</v>
      </c>
      <c r="J29" s="24">
        <f>IFERROR(K29/H29,"")</f>
        <v>0.53042873696407877</v>
      </c>
      <c r="K29" s="22">
        <v>45776</v>
      </c>
      <c r="L29" s="21"/>
      <c r="M29" s="21">
        <v>62</v>
      </c>
      <c r="N29" s="21">
        <v>70</v>
      </c>
      <c r="O29" s="21">
        <v>18</v>
      </c>
      <c r="P29" s="21"/>
      <c r="Q29" s="21"/>
      <c r="R29" s="21"/>
      <c r="S29" s="21"/>
      <c r="T29" s="21"/>
      <c r="U29" s="25">
        <v>225</v>
      </c>
      <c r="V29" s="25">
        <f>H29*U29*I29/15</f>
        <v>686085</v>
      </c>
      <c r="W29" s="139">
        <f>267.33*0.99</f>
        <v>264.6567</v>
      </c>
      <c r="X29" s="25">
        <v>815803.19</v>
      </c>
      <c r="Y29" s="25">
        <f>G29*60+F29*60</f>
        <v>9000</v>
      </c>
      <c r="Z29" s="25">
        <f>26417.36+14456</f>
        <v>40873.360000000001</v>
      </c>
      <c r="AA29" s="25">
        <v>0</v>
      </c>
      <c r="AB29" s="25">
        <v>3375</v>
      </c>
      <c r="AC29" s="25">
        <f>G29*35+F29*38</f>
        <v>5700</v>
      </c>
      <c r="AD29" s="25">
        <f>IF(F29="",G29*4.11,F29*4.11)</f>
        <v>616.5</v>
      </c>
      <c r="AE29" s="139">
        <f>1631.6*0.99</f>
        <v>1615.2839999999999</v>
      </c>
      <c r="AF29" s="25">
        <f>V29+Y29+Z29+AA29+AB29+AC29+AD29</f>
        <v>745649.86</v>
      </c>
      <c r="AG29" s="25">
        <f>IFERROR(IFERROR((H29*W29*J29/15)-AE29,""),"")</f>
        <v>806046.38928</v>
      </c>
      <c r="AH29" s="26">
        <f>IFERROR(AG29-AF29,"")</f>
        <v>60396.529280000017</v>
      </c>
      <c r="AI29" s="6">
        <f>IF(F29="",(G29/$F$64)*$AL$23,(F29/$F$64)*$AL$23)</f>
        <v>0</v>
      </c>
      <c r="AJ29" s="6">
        <f>(AH29-AI29)*70%</f>
        <v>42277.570496000008</v>
      </c>
      <c r="AL29" t="s">
        <v>584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402.64352853333344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7.4929346602432084E-2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6" x14ac:dyDescent="0.35">
      <c r="A34" s="20">
        <v>45104</v>
      </c>
      <c r="B34" s="21" t="s">
        <v>563</v>
      </c>
      <c r="C34" s="21" t="s">
        <v>465</v>
      </c>
      <c r="D34" s="146">
        <v>150354</v>
      </c>
      <c r="E34" s="44"/>
      <c r="F34" s="21"/>
      <c r="G34" s="21">
        <v>62</v>
      </c>
      <c r="H34" s="22">
        <v>26680</v>
      </c>
      <c r="I34" s="33">
        <v>0.5</v>
      </c>
      <c r="J34" s="24">
        <f>IFERROR(K34/H34,"")</f>
        <v>0.53969767084961451</v>
      </c>
      <c r="K34" s="22">
        <v>14399.133858267716</v>
      </c>
      <c r="L34" s="21">
        <v>10</v>
      </c>
      <c r="M34" s="21">
        <v>11</v>
      </c>
      <c r="N34" s="21">
        <v>32</v>
      </c>
      <c r="O34" s="21">
        <v>6</v>
      </c>
      <c r="P34" s="21">
        <v>3</v>
      </c>
      <c r="Q34" s="21"/>
      <c r="R34" s="21"/>
      <c r="S34" s="21"/>
      <c r="T34" s="21"/>
      <c r="U34" s="25">
        <v>216</v>
      </c>
      <c r="V34" s="25">
        <f>H34*U34*I34/15</f>
        <v>192096</v>
      </c>
      <c r="W34" s="139">
        <f>262.47*0.99</f>
        <v>259.84530000000001</v>
      </c>
      <c r="X34" s="25">
        <v>251956.87417322837</v>
      </c>
      <c r="Y34" s="25">
        <f>G34*60</f>
        <v>3720</v>
      </c>
      <c r="Z34" s="25">
        <v>12999.52</v>
      </c>
      <c r="AA34" s="25">
        <v>0</v>
      </c>
      <c r="AB34" s="25">
        <v>1339.2</v>
      </c>
      <c r="AC34" s="25">
        <f>G34*35+F34*38</f>
        <v>2170</v>
      </c>
      <c r="AD34" s="25">
        <f>IF(F34="",G34*4.11,F34*4.11)</f>
        <v>254.82000000000002</v>
      </c>
      <c r="AE34" s="139">
        <f>503.91842519685*0.99</f>
        <v>498.87924094488153</v>
      </c>
      <c r="AF34" s="25">
        <f>V34+Y34+Z34+AA34+AB34+AC34+AD34</f>
        <v>212579.54</v>
      </c>
      <c r="AG34" s="25">
        <f>IFERROR(IFERROR((H34*W34*J34/15)-AE34,""),"")</f>
        <v>248937.60456850391</v>
      </c>
      <c r="AH34" s="26">
        <f>IFERROR(AG34-AF34,"")</f>
        <v>36358.064568503905</v>
      </c>
      <c r="AI34" s="6">
        <f>IF(F34="",(G34/$F$64)*$AL$23,(F34/$F$64)*$AL$23)</f>
        <v>0</v>
      </c>
      <c r="AJ34" s="6">
        <f>(AH34-AI34)*70%</f>
        <v>25450.645197952734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586.42039626619203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0.14605292210281035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6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/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36" x14ac:dyDescent="0.35">
      <c r="A39" s="20">
        <v>45105</v>
      </c>
      <c r="B39" s="21" t="s">
        <v>563</v>
      </c>
      <c r="C39" s="21" t="s">
        <v>579</v>
      </c>
      <c r="D39" s="146">
        <v>150356</v>
      </c>
      <c r="E39" s="44"/>
      <c r="F39" s="21"/>
      <c r="G39" s="21">
        <v>180</v>
      </c>
      <c r="H39" s="22">
        <v>77414</v>
      </c>
      <c r="I39" s="33">
        <v>0.5</v>
      </c>
      <c r="J39" s="24">
        <f>IFERROR(K39/H39,"")</f>
        <v>0.4667450331981296</v>
      </c>
      <c r="K39" s="22">
        <v>36132.600000000006</v>
      </c>
      <c r="L39" s="21">
        <v>74</v>
      </c>
      <c r="M39" s="21">
        <v>70</v>
      </c>
      <c r="N39" s="21">
        <v>25</v>
      </c>
      <c r="O39" s="21">
        <v>9</v>
      </c>
      <c r="P39" s="21">
        <v>2</v>
      </c>
      <c r="Q39" s="21"/>
      <c r="R39" s="21"/>
      <c r="S39" s="21"/>
      <c r="T39" s="21"/>
      <c r="U39" s="25">
        <v>210</v>
      </c>
      <c r="V39" s="25">
        <f>H39*U39*I39/15</f>
        <v>541898</v>
      </c>
      <c r="W39" s="139">
        <f>265.78*0.99</f>
        <v>263.12219999999996</v>
      </c>
      <c r="X39" s="25">
        <v>640215.14399999997</v>
      </c>
      <c r="Y39" s="25">
        <f>G39*60</f>
        <v>10800</v>
      </c>
      <c r="Z39" s="25">
        <v>35238.620000000003</v>
      </c>
      <c r="AA39" s="25">
        <v>0</v>
      </c>
      <c r="AB39" s="25">
        <v>3780</v>
      </c>
      <c r="AC39" s="25">
        <f>G39*35+F39*38</f>
        <v>6300</v>
      </c>
      <c r="AD39" s="25">
        <f>IF(F39="",G39*4.11,F39*4.11)</f>
        <v>739.80000000000007</v>
      </c>
      <c r="AE39" s="139">
        <f>1280.43*0.99</f>
        <v>1267.6257000000001</v>
      </c>
      <c r="AF39" s="25">
        <f>V39+Y39+Z39+AA39+AB39+AC39+AD39</f>
        <v>598756.42000000004</v>
      </c>
      <c r="AG39" s="25">
        <f>IFERROR(IFERROR((H39*W39*J39/15)-AE39,""),"")</f>
        <v>632551.65454799996</v>
      </c>
      <c r="AH39" s="26">
        <f>IFERROR(AG39-AF39,"")</f>
        <v>33795.23454799992</v>
      </c>
      <c r="AI39" s="6">
        <f>IF(F39="",(G39/$F$64)*$AL$23,(F39/$F$64)*$AL$23)</f>
        <v>0</v>
      </c>
      <c r="AJ39" s="6">
        <f>(AH39-AI39)*70%</f>
        <v>23656.664183599943</v>
      </c>
    </row>
    <row r="40" spans="1:36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187.751303044444</v>
      </c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5.3426837642451278E-2</v>
      </c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</row>
    <row r="43" spans="1:36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/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36" x14ac:dyDescent="0.35">
      <c r="A44" s="20">
        <v>45105</v>
      </c>
      <c r="B44" s="21" t="s">
        <v>563</v>
      </c>
      <c r="C44" s="21" t="s">
        <v>579</v>
      </c>
      <c r="D44" s="146">
        <v>150356</v>
      </c>
      <c r="E44" s="44"/>
      <c r="F44" s="21"/>
      <c r="G44" s="21">
        <v>120</v>
      </c>
      <c r="H44" s="22">
        <v>45036</v>
      </c>
      <c r="I44" s="33">
        <v>0.5</v>
      </c>
      <c r="J44" s="24">
        <f>IFERROR(K44/H44,"")</f>
        <v>0.53486988187228002</v>
      </c>
      <c r="K44" s="22">
        <v>24088.400000000001</v>
      </c>
      <c r="L44" s="21">
        <v>53</v>
      </c>
      <c r="M44" s="21">
        <v>49</v>
      </c>
      <c r="N44" s="21">
        <v>18</v>
      </c>
      <c r="O44" s="21"/>
      <c r="P44" s="21"/>
      <c r="Q44" s="21"/>
      <c r="R44" s="21"/>
      <c r="S44" s="21"/>
      <c r="T44" s="21"/>
      <c r="U44" s="25">
        <v>210</v>
      </c>
      <c r="V44" s="25">
        <f>H44*U44*I44/15</f>
        <v>315252</v>
      </c>
      <c r="W44" s="139">
        <f>265.78*0.99</f>
        <v>263.12219999999996</v>
      </c>
      <c r="X44" s="25">
        <v>426810.09599999996</v>
      </c>
      <c r="Y44" s="25">
        <f>G44*60</f>
        <v>7200</v>
      </c>
      <c r="Z44" s="25">
        <v>26239.040000000001</v>
      </c>
      <c r="AA44" s="25">
        <v>0</v>
      </c>
      <c r="AB44" s="25">
        <v>2520</v>
      </c>
      <c r="AC44" s="25">
        <f>G44*35+F44*38</f>
        <v>4200</v>
      </c>
      <c r="AD44" s="25">
        <f>IF(F44="",G44*4.11,F44*4.11)</f>
        <v>493.20000000000005</v>
      </c>
      <c r="AE44" s="139">
        <f>853.62*0.99</f>
        <v>845.0838</v>
      </c>
      <c r="AF44" s="25">
        <f>V44+Y44+Z44+AA44+AB44+AC44+AD44</f>
        <v>355904.24</v>
      </c>
      <c r="AG44" s="25">
        <f>IFERROR(IFERROR((H44*W44*J44/15)-AE44,""),"")</f>
        <v>421701.10303199996</v>
      </c>
      <c r="AH44" s="26">
        <f>IFERROR(AG44-AF44,"")</f>
        <v>65796.863031999965</v>
      </c>
      <c r="AI44" s="6">
        <f>IF(F44="",(G44/$F$64)*$AL$23,(F44/$F$64)*$AL$23)</f>
        <v>0</v>
      </c>
      <c r="AJ44" s="6">
        <f>(AH44-AI44)*70%</f>
        <v>46057.804122399975</v>
      </c>
    </row>
    <row r="45" spans="1:36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548.307191933333</v>
      </c>
    </row>
    <row r="46" spans="1:36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0.15602724906082852</v>
      </c>
      <c r="AI46" s="6"/>
      <c r="AJ46" s="6"/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36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/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8" x14ac:dyDescent="0.35">
      <c r="A49" s="20">
        <v>45107</v>
      </c>
      <c r="B49" s="21" t="s">
        <v>563</v>
      </c>
      <c r="C49" s="21" t="s">
        <v>581</v>
      </c>
      <c r="D49" s="146">
        <v>150603</v>
      </c>
      <c r="E49" s="44"/>
      <c r="F49" s="21"/>
      <c r="G49" s="21">
        <v>56</v>
      </c>
      <c r="H49" s="22">
        <v>22141</v>
      </c>
      <c r="I49" s="33">
        <v>0.5</v>
      </c>
      <c r="J49" s="24">
        <f>IFERROR(K49/H49,"")</f>
        <v>0.50085813648886679</v>
      </c>
      <c r="K49" s="22">
        <v>11089.5</v>
      </c>
      <c r="L49" s="21">
        <v>6</v>
      </c>
      <c r="M49" s="21">
        <v>15</v>
      </c>
      <c r="N49" s="21">
        <v>19</v>
      </c>
      <c r="O49" s="21">
        <v>12</v>
      </c>
      <c r="P49" s="21">
        <v>4</v>
      </c>
      <c r="Q49" s="21"/>
      <c r="R49" s="21"/>
      <c r="S49" s="21"/>
      <c r="T49" s="21"/>
      <c r="U49" s="25">
        <v>200</v>
      </c>
      <c r="V49" s="25">
        <f>H49*U49*I49/15</f>
        <v>147606.66666666666</v>
      </c>
      <c r="W49" s="139">
        <f>257.49*0.99</f>
        <v>254.9151</v>
      </c>
      <c r="X49" s="25">
        <v>190362.44</v>
      </c>
      <c r="Y49" s="25">
        <f>G49*60</f>
        <v>3360</v>
      </c>
      <c r="Z49" s="25">
        <v>10736</v>
      </c>
      <c r="AA49" s="25">
        <v>0</v>
      </c>
      <c r="AB49" s="25">
        <v>1120</v>
      </c>
      <c r="AC49" s="25">
        <f>G49*35+F49*38</f>
        <v>1960</v>
      </c>
      <c r="AD49" s="25">
        <f>IF(F49="",G49*4.11,F49*4.11)</f>
        <v>230.16000000000003</v>
      </c>
      <c r="AE49" s="139">
        <f>380.73*0.99</f>
        <v>376.92270000000002</v>
      </c>
      <c r="AF49" s="25">
        <f>V49+Y49+Z49+AA49+AB49+AC49+AD49</f>
        <v>165012.82666666666</v>
      </c>
      <c r="AG49" s="25">
        <f>IFERROR(IFERROR((H49*W49*J49/15)-AE49,""),"")</f>
        <v>188081.81073</v>
      </c>
      <c r="AH49" s="26">
        <f>IFERROR(AG49-AF49,"")</f>
        <v>23068.984063333337</v>
      </c>
      <c r="AI49" s="6">
        <f>IF(F49="",(G49/$F$64)*$AL$23,(F49/$F$64)*$AL$23)</f>
        <v>0</v>
      </c>
      <c r="AJ49" s="6">
        <f>(AH49-AI49)*70%</f>
        <v>16148.288844333334</v>
      </c>
      <c r="AK49" t="s">
        <v>580</v>
      </c>
    </row>
    <row r="50" spans="1:38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411.94614398809529</v>
      </c>
      <c r="AI50" s="6"/>
      <c r="AJ50" s="6"/>
    </row>
    <row r="51" spans="1:38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0.12265398750573447</v>
      </c>
    </row>
    <row r="52" spans="1:38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47"/>
      <c r="AJ52" s="47"/>
    </row>
    <row r="53" spans="1:38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/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8" x14ac:dyDescent="0.35">
      <c r="A54" s="20">
        <v>45107</v>
      </c>
      <c r="B54" s="21" t="s">
        <v>563</v>
      </c>
      <c r="C54" s="21" t="s">
        <v>566</v>
      </c>
      <c r="D54" s="146">
        <v>150602</v>
      </c>
      <c r="E54" s="44"/>
      <c r="F54" s="21"/>
      <c r="G54" s="21">
        <v>63</v>
      </c>
      <c r="H54" s="22">
        <v>24970</v>
      </c>
      <c r="I54" s="33">
        <v>0.5</v>
      </c>
      <c r="J54" s="24">
        <f>IFERROR(K54/H54,"")</f>
        <v>0.50756908289947933</v>
      </c>
      <c r="K54" s="22">
        <v>12674</v>
      </c>
      <c r="L54" s="21">
        <v>7</v>
      </c>
      <c r="M54" s="21">
        <v>16</v>
      </c>
      <c r="N54" s="21">
        <v>25</v>
      </c>
      <c r="O54" s="21">
        <v>12</v>
      </c>
      <c r="P54" s="21">
        <v>3</v>
      </c>
      <c r="Q54" s="21"/>
      <c r="R54" s="21"/>
      <c r="S54" s="21"/>
      <c r="T54" s="21"/>
      <c r="U54" s="25">
        <v>215</v>
      </c>
      <c r="V54" s="25">
        <f>H54*U54*I54/15</f>
        <v>178951.66666666666</v>
      </c>
      <c r="W54" s="139">
        <f>259.48*0.99</f>
        <v>256.8852</v>
      </c>
      <c r="X54" s="25">
        <v>219240.76</v>
      </c>
      <c r="Y54" s="25">
        <f>G54*60</f>
        <v>3780</v>
      </c>
      <c r="Z54" s="25">
        <v>11128.7</v>
      </c>
      <c r="AA54" s="25">
        <v>0</v>
      </c>
      <c r="AB54" s="25">
        <v>1354.5</v>
      </c>
      <c r="AC54" s="25">
        <f>G54*35+F54*38</f>
        <v>2205</v>
      </c>
      <c r="AD54" s="25">
        <f>IF(F54="",G54*4.11,F54*4.11)</f>
        <v>258.93</v>
      </c>
      <c r="AE54" s="139">
        <f>438.49*0.99</f>
        <v>434.10509999999999</v>
      </c>
      <c r="AF54" s="25">
        <f>V54+Y54+Z54+AA54+AB54+AC54+AD54</f>
        <v>197678.79666666666</v>
      </c>
      <c r="AG54" s="25">
        <f>IFERROR(IFERROR((H54*W54*J54/15)-AE54,""),"")</f>
        <v>216616.76321999999</v>
      </c>
      <c r="AH54" s="26">
        <f>IFERROR(AG54-AF54,"")</f>
        <v>18937.966553333332</v>
      </c>
      <c r="AI54" s="6">
        <f>IF(F54="",(G54/$F$64)*$AL$23,(F54/$F$64)*$AL$23)</f>
        <v>0</v>
      </c>
      <c r="AJ54" s="6">
        <f>(AH54-AI54)*70%</f>
        <v>13256.576587333331</v>
      </c>
    </row>
    <row r="55" spans="1:38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300.60264370370368</v>
      </c>
    </row>
    <row r="56" spans="1:38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8.7426135779249833E-2</v>
      </c>
    </row>
    <row r="57" spans="1:38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8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/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8" x14ac:dyDescent="0.35">
      <c r="A59" s="20">
        <v>45107</v>
      </c>
      <c r="B59" s="21" t="s">
        <v>563</v>
      </c>
      <c r="C59" s="21" t="s">
        <v>582</v>
      </c>
      <c r="D59" s="146">
        <v>150604</v>
      </c>
      <c r="E59" s="44"/>
      <c r="F59" s="21"/>
      <c r="G59" s="21">
        <v>121</v>
      </c>
      <c r="H59" s="22">
        <v>44930</v>
      </c>
      <c r="I59" s="33">
        <v>0.5</v>
      </c>
      <c r="J59" s="24">
        <f>IFERROR(K59/H59,"")</f>
        <v>0.50264856443356332</v>
      </c>
      <c r="K59" s="22">
        <v>22584</v>
      </c>
      <c r="L59" s="21">
        <v>45</v>
      </c>
      <c r="M59" s="21">
        <v>64</v>
      </c>
      <c r="N59" s="21">
        <v>11</v>
      </c>
      <c r="O59" s="21">
        <v>1</v>
      </c>
      <c r="P59" s="21"/>
      <c r="Q59" s="21"/>
      <c r="R59" s="21"/>
      <c r="S59" s="21"/>
      <c r="T59" s="21"/>
      <c r="U59" s="25">
        <v>210</v>
      </c>
      <c r="V59" s="25">
        <f>H59*U59*I59/15</f>
        <v>314510</v>
      </c>
      <c r="W59" s="139">
        <f>263.84*0.99</f>
        <v>261.20159999999998</v>
      </c>
      <c r="X59" s="25">
        <v>397231.66</v>
      </c>
      <c r="Y59" s="25">
        <f>G59*60</f>
        <v>7260</v>
      </c>
      <c r="Z59" s="25">
        <v>15741.64</v>
      </c>
      <c r="AA59" s="25">
        <v>0</v>
      </c>
      <c r="AB59" s="25">
        <v>2541</v>
      </c>
      <c r="AC59" s="25">
        <f>G59*35+F59*38</f>
        <v>4235</v>
      </c>
      <c r="AD59" s="25">
        <f>IF(F59="",G59*4.11,F59*4.11)</f>
        <v>497.31000000000006</v>
      </c>
      <c r="AE59" s="139">
        <f>794.48*0.99</f>
        <v>786.53520000000003</v>
      </c>
      <c r="AF59" s="25">
        <f>V59+Y59+Z59+AA59+AB59+AC59+AD59</f>
        <v>344784.95</v>
      </c>
      <c r="AG59" s="25">
        <f>IFERROR(IFERROR((H59*W59*J59/15)-AE59,""),"")</f>
        <v>392478.59375999996</v>
      </c>
      <c r="AH59" s="26">
        <f>IFERROR(AG59-AF59,"")</f>
        <v>47693.643759999948</v>
      </c>
      <c r="AI59" s="6">
        <f>IF(F59="",(G59/$F$64)*$AL$23,(F59/$F$64)*$AL$23)</f>
        <v>0</v>
      </c>
      <c r="AJ59" s="6">
        <f>(AH59-AI59)*70%</f>
        <v>33385.550631999962</v>
      </c>
    </row>
    <row r="60" spans="1:38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394.16234512396653</v>
      </c>
    </row>
    <row r="61" spans="1:38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0.12151909561000042</v>
      </c>
    </row>
    <row r="62" spans="1:38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8" ht="15" thickBot="1" x14ac:dyDescent="0.4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47"/>
    </row>
    <row r="64" spans="1:38" ht="16" thickBot="1" x14ac:dyDescent="0.4">
      <c r="A64" s="377" t="s">
        <v>576</v>
      </c>
      <c r="B64" s="378"/>
      <c r="C64" s="378"/>
      <c r="D64" s="378"/>
      <c r="E64" s="378"/>
      <c r="F64" s="30">
        <f>SUM(F4:G59)</f>
        <v>1089</v>
      </c>
      <c r="G64" s="30"/>
      <c r="H64" s="30"/>
      <c r="I64" s="30"/>
      <c r="J64" s="30"/>
      <c r="K64" s="30"/>
      <c r="L64" s="46"/>
      <c r="M64" s="46"/>
      <c r="N64" s="46"/>
      <c r="O64" s="46"/>
      <c r="P64" s="46"/>
      <c r="Q64" s="46"/>
      <c r="R64" s="46"/>
      <c r="S64" s="46"/>
      <c r="T64" s="46"/>
      <c r="U64" s="30"/>
      <c r="V64" s="31">
        <f>V4+V9+V14+V19+V24+V29+V34+V39+V44+V49+V54+V59</f>
        <v>3605063</v>
      </c>
      <c r="W64" s="30"/>
      <c r="X64" s="30"/>
      <c r="Y64" s="31">
        <f t="shared" ref="Y64:AJ64" si="0">Y4+Y9+Y14+Y19+Y24+Y29+Y34+Y39+Y44+Y49+Y54+Y59</f>
        <v>65340</v>
      </c>
      <c r="Z64" s="31">
        <f t="shared" si="0"/>
        <v>210420.88</v>
      </c>
      <c r="AA64" s="31">
        <f t="shared" si="0"/>
        <v>0</v>
      </c>
      <c r="AB64" s="31">
        <f t="shared" si="0"/>
        <v>23381.7</v>
      </c>
      <c r="AC64" s="31">
        <f t="shared" si="0"/>
        <v>39015</v>
      </c>
      <c r="AD64" s="31">
        <f t="shared" si="0"/>
        <v>4475.79</v>
      </c>
      <c r="AE64" s="31">
        <f t="shared" si="0"/>
        <v>8822.2523999999994</v>
      </c>
      <c r="AF64" s="31">
        <f t="shared" si="0"/>
        <v>3947696.3700000006</v>
      </c>
      <c r="AG64" s="31">
        <f t="shared" si="0"/>
        <v>4402311.4124499997</v>
      </c>
      <c r="AH64" s="31">
        <f t="shared" si="0"/>
        <v>454615.04244999954</v>
      </c>
      <c r="AI64" s="31">
        <f t="shared" si="0"/>
        <v>0</v>
      </c>
      <c r="AJ64" s="31">
        <f t="shared" si="0"/>
        <v>318230.52971499972</v>
      </c>
      <c r="AL64" s="6"/>
    </row>
    <row r="69" spans="35:36" x14ac:dyDescent="0.35">
      <c r="AI69" s="6"/>
      <c r="AJ69" s="6"/>
    </row>
    <row r="71" spans="35:36" x14ac:dyDescent="0.35">
      <c r="AI71" s="6"/>
      <c r="AJ71" s="6"/>
    </row>
    <row r="74" spans="35:36" x14ac:dyDescent="0.35">
      <c r="AI74" s="6"/>
      <c r="AJ74" s="6"/>
    </row>
    <row r="75" spans="35:36" x14ac:dyDescent="0.35">
      <c r="AI75" s="6"/>
      <c r="AJ75" s="6"/>
    </row>
    <row r="77" spans="35:36" x14ac:dyDescent="0.35">
      <c r="AI77" s="47"/>
      <c r="AJ77" s="47"/>
    </row>
    <row r="79" spans="35:36" x14ac:dyDescent="0.35">
      <c r="AI79" s="6"/>
      <c r="AJ79" s="6"/>
    </row>
    <row r="81" spans="35:36" x14ac:dyDescent="0.35">
      <c r="AI81" s="6"/>
      <c r="AJ81" s="6"/>
    </row>
    <row r="84" spans="35:36" x14ac:dyDescent="0.35">
      <c r="AI84" s="6"/>
      <c r="AJ84" s="6"/>
    </row>
    <row r="85" spans="35:36" x14ac:dyDescent="0.35">
      <c r="AI85" s="6"/>
      <c r="AJ85" s="6"/>
    </row>
  </sheetData>
  <mergeCells count="2">
    <mergeCell ref="U2:AC2"/>
    <mergeCell ref="A64:E6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68">
    <tabColor rgb="FF92D050"/>
  </sheetPr>
  <dimension ref="A1:AN99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5" width="12.453125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9.1796875" bestFit="1" customWidth="1"/>
    <col min="39" max="39" width="18.7265625" customWidth="1"/>
    <col min="40" max="40" width="13.179687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AF99</f>
        <v>3465389.7899999996</v>
      </c>
      <c r="AM3" s="164">
        <f>AH99-AI99</f>
        <v>380786.05732333334</v>
      </c>
    </row>
    <row r="4" spans="1:40" x14ac:dyDescent="0.35">
      <c r="A4" s="20">
        <v>45109</v>
      </c>
      <c r="B4" s="21" t="s">
        <v>563</v>
      </c>
      <c r="C4" s="21" t="s">
        <v>174</v>
      </c>
      <c r="D4" s="44">
        <v>151108</v>
      </c>
      <c r="E4" s="44"/>
      <c r="F4" s="21"/>
      <c r="G4" s="21">
        <v>60</v>
      </c>
      <c r="H4" s="22">
        <v>22801</v>
      </c>
      <c r="I4" s="33">
        <v>0.5</v>
      </c>
      <c r="J4" s="24">
        <f>IFERROR(K4/H4,"")</f>
        <v>0.52581027147932113</v>
      </c>
      <c r="K4" s="22">
        <v>11989</v>
      </c>
      <c r="L4" s="21">
        <v>11</v>
      </c>
      <c r="M4" s="21">
        <v>32</v>
      </c>
      <c r="N4" s="21">
        <v>15</v>
      </c>
      <c r="O4" s="21">
        <v>2</v>
      </c>
      <c r="P4" s="21"/>
      <c r="Q4" s="21"/>
      <c r="R4" s="21"/>
      <c r="S4" s="21"/>
      <c r="T4" s="21"/>
      <c r="U4" s="25">
        <v>215</v>
      </c>
      <c r="V4" s="25">
        <f>H4*U4*I4/15</f>
        <v>163407.16666666666</v>
      </c>
      <c r="W4" s="25">
        <v>263.52999999999997</v>
      </c>
      <c r="X4" s="25">
        <v>210657.28</v>
      </c>
      <c r="Y4" s="25">
        <f>(G4*60)+(F4*60)</f>
        <v>3600</v>
      </c>
      <c r="Z4" s="25">
        <v>9837.18</v>
      </c>
      <c r="AA4" s="25">
        <v>0</v>
      </c>
      <c r="AB4" s="25">
        <v>1290</v>
      </c>
      <c r="AC4" s="25">
        <f>G4*35+F4*38</f>
        <v>2100</v>
      </c>
      <c r="AD4" s="25">
        <f>IF(F4="",G4*4.11,F4*4.11)</f>
        <v>246.60000000000002</v>
      </c>
      <c r="AE4" s="25">
        <v>421.31</v>
      </c>
      <c r="AF4" s="25">
        <f>V4+Y4+Z4+AA4+AB4+AC4+AD4</f>
        <v>180480.94666666666</v>
      </c>
      <c r="AG4" s="25">
        <f>IFERROR(IFERROR((H4*W4*J4/15)-AE4,""),"")</f>
        <v>210209.43466666667</v>
      </c>
      <c r="AH4" s="26">
        <f>IFERROR(AG4-AF4,"")</f>
        <v>29728.488000000012</v>
      </c>
      <c r="AI4" s="6">
        <f>IF(F4="",(G4/$F$99)*$AL$25,(F4/$F$99)*$AL$25)</f>
        <v>214.62341968911917</v>
      </c>
      <c r="AJ4" s="6">
        <f>(AH4-AI4)*70%</f>
        <v>20659.705206217623</v>
      </c>
      <c r="AL4" s="166" t="s">
        <v>749</v>
      </c>
      <c r="AM4" s="167">
        <f>AM3/AL3</f>
        <v>0.10988260495894558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495.47480000000019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0.14142318610551935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/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45109</v>
      </c>
      <c r="B9" s="21" t="s">
        <v>563</v>
      </c>
      <c r="C9" s="21" t="s">
        <v>586</v>
      </c>
      <c r="D9" s="44">
        <v>150606</v>
      </c>
      <c r="E9" s="44"/>
      <c r="F9" s="21"/>
      <c r="G9" s="21">
        <v>60</v>
      </c>
      <c r="H9" s="22">
        <v>22200</v>
      </c>
      <c r="I9" s="33">
        <v>0.5</v>
      </c>
      <c r="J9" s="24">
        <f>IFERROR(K9/H9,"")</f>
        <v>0.51977477477477474</v>
      </c>
      <c r="K9" s="22">
        <f>11539</f>
        <v>11539</v>
      </c>
      <c r="L9" s="21">
        <v>18</v>
      </c>
      <c r="M9" s="21">
        <v>38</v>
      </c>
      <c r="N9" s="21">
        <v>4</v>
      </c>
      <c r="O9" s="21"/>
      <c r="P9" s="21"/>
      <c r="Q9" s="21"/>
      <c r="R9" s="21"/>
      <c r="S9" s="21"/>
      <c r="T9" s="21"/>
      <c r="U9" s="25">
        <v>215</v>
      </c>
      <c r="V9" s="25">
        <f>H9*U9*I9/15</f>
        <v>159100</v>
      </c>
      <c r="W9" s="25">
        <v>264.63</v>
      </c>
      <c r="X9" s="25">
        <v>203572.99</v>
      </c>
      <c r="Y9" s="25">
        <f>(G9*60)+(F9*60)</f>
        <v>3600</v>
      </c>
      <c r="Z9" s="25">
        <f>16761.92/2</f>
        <v>8380.9599999999991</v>
      </c>
      <c r="AA9" s="25">
        <v>0</v>
      </c>
      <c r="AB9" s="25">
        <v>2580</v>
      </c>
      <c r="AC9" s="25">
        <f>G9*35+F9*38</f>
        <v>2100</v>
      </c>
      <c r="AD9" s="25">
        <f>IF(F9="",G9*4.11,F9*4.11)</f>
        <v>246.60000000000002</v>
      </c>
      <c r="AE9" s="25">
        <v>407.13</v>
      </c>
      <c r="AF9" s="25">
        <f>V9+Y9+Z9+AA9+AB9+AC9+AD9</f>
        <v>176007.56</v>
      </c>
      <c r="AG9" s="25">
        <f>IFERROR(IFERROR((H9*W9*J9/15)-AE9,""),"")</f>
        <v>203163.908</v>
      </c>
      <c r="AH9" s="26">
        <f>IFERROR(AG9-AF9,"")</f>
        <v>27156.347999999998</v>
      </c>
      <c r="AI9" s="6">
        <f>IF(F9="",(G9/$F$99)*$AL$25,(F9/$F$99)*$AL$25)</f>
        <v>214.62341968911917</v>
      </c>
      <c r="AJ9" s="6">
        <f>(AH9-AI9)*70%</f>
        <v>18859.207206217612</v>
      </c>
      <c r="AK9" t="s">
        <v>580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452.60579999999999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0.13366718659497334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/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45109</v>
      </c>
      <c r="B14" s="21" t="s">
        <v>563</v>
      </c>
      <c r="C14" s="21" t="s">
        <v>586</v>
      </c>
      <c r="D14" s="44">
        <v>150605</v>
      </c>
      <c r="E14" s="44"/>
      <c r="F14" s="21"/>
      <c r="G14" s="21">
        <v>60</v>
      </c>
      <c r="H14" s="22">
        <v>22200</v>
      </c>
      <c r="I14" s="33">
        <v>0.5</v>
      </c>
      <c r="J14" s="24">
        <f>IFERROR(K14/H14,"")</f>
        <v>0.50186936936936932</v>
      </c>
      <c r="K14" s="22">
        <v>11141.5</v>
      </c>
      <c r="L14" s="21">
        <v>16</v>
      </c>
      <c r="M14" s="21">
        <v>38</v>
      </c>
      <c r="N14" s="21">
        <v>6</v>
      </c>
      <c r="O14" s="21"/>
      <c r="P14" s="21"/>
      <c r="Q14" s="21"/>
      <c r="R14" s="21"/>
      <c r="S14" s="21"/>
      <c r="T14" s="21"/>
      <c r="U14" s="25">
        <v>215</v>
      </c>
      <c r="V14" s="25">
        <f>H14*U14*I14/15</f>
        <v>159100</v>
      </c>
      <c r="W14" s="25">
        <v>262.88</v>
      </c>
      <c r="X14" s="25">
        <v>195257.2</v>
      </c>
      <c r="Y14" s="25">
        <f>(G14*60)+(F14*60)</f>
        <v>3600</v>
      </c>
      <c r="Z14" s="25">
        <f>16761.92/2</f>
        <v>8380.9599999999991</v>
      </c>
      <c r="AA14" s="25">
        <v>0</v>
      </c>
      <c r="AB14" s="25">
        <v>2580</v>
      </c>
      <c r="AC14" s="25">
        <f>G14*35+F14*38</f>
        <v>2100</v>
      </c>
      <c r="AD14" s="25">
        <f>IF(F14="",G14*4.11,F14*4.11)</f>
        <v>246.60000000000002</v>
      </c>
      <c r="AE14" s="25">
        <v>390.52</v>
      </c>
      <c r="AF14" s="25">
        <f>V14+Y14+Z14+AA14+AB14+AC14+AD14</f>
        <v>176007.56</v>
      </c>
      <c r="AG14" s="25">
        <f>IFERROR(IFERROR((H14*W14*J14/15)-AE14,""),"")</f>
        <v>194867.9813333333</v>
      </c>
      <c r="AH14" s="26">
        <f>IFERROR(AG14-AF14,"")</f>
        <v>18860.421333333303</v>
      </c>
      <c r="AI14" s="6">
        <f>IF(F14="",(G14/$F$99)*$AL$25,(F14/$F$99)*$AL$25)</f>
        <v>214.62341968911917</v>
      </c>
      <c r="AJ14" s="6">
        <f>(AH14-AI14)*70%</f>
        <v>13052.058539550928</v>
      </c>
      <c r="AL14">
        <f>F4+G4+F9+G9+F14+G14+F19+G19+F24+G24+F29+G29+F34+G34+F39+G39+F44+G44+F49+G49+F54+G54+F59+G59+F64+G64+F69+G69+F74+G74+F79+G79+F84+G84+F89+G89+F94+G94</f>
        <v>965</v>
      </c>
      <c r="AM14" s="50" t="s">
        <v>22</v>
      </c>
      <c r="AN14" t="s">
        <v>71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314.34035555555505</v>
      </c>
      <c r="AL15" s="11">
        <f>AH4+AH9+AH14+AH19+AH24+AH29+AH34+AH39+AH44+AH49+AH54+AH59+AH64+AH69+AH74+AH79+AH84+AH89+AH94</f>
        <v>384237.91732333333</v>
      </c>
      <c r="AM15" s="11">
        <f>AL15*30%</f>
        <v>115271.375197</v>
      </c>
      <c r="AN15" s="2">
        <v>45121</v>
      </c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9.6785635096570469E-2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/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77" t="s">
        <v>187</v>
      </c>
      <c r="AM18" s="210" t="s">
        <v>680</v>
      </c>
      <c r="AN18" s="173"/>
    </row>
    <row r="19" spans="1:40" x14ac:dyDescent="0.35">
      <c r="A19" s="20">
        <v>45110</v>
      </c>
      <c r="B19" s="21" t="s">
        <v>563</v>
      </c>
      <c r="C19" s="21" t="s">
        <v>404</v>
      </c>
      <c r="D19" s="44">
        <v>150608</v>
      </c>
      <c r="E19" s="44"/>
      <c r="F19" s="21">
        <v>50</v>
      </c>
      <c r="G19" s="21"/>
      <c r="H19" s="22">
        <f>50740/2</f>
        <v>25370</v>
      </c>
      <c r="I19" s="33">
        <v>0.54</v>
      </c>
      <c r="J19" s="24">
        <f>IFERROR(K19/H19,"")</f>
        <v>0.54095388253843124</v>
      </c>
      <c r="K19" s="22">
        <v>13724</v>
      </c>
      <c r="L19" s="21">
        <v>14</v>
      </c>
      <c r="M19" s="21">
        <v>31</v>
      </c>
      <c r="N19" s="21">
        <v>5</v>
      </c>
      <c r="O19" s="21"/>
      <c r="P19" s="21"/>
      <c r="Q19" s="21"/>
      <c r="R19" s="21"/>
      <c r="S19" s="21"/>
      <c r="T19" s="21"/>
      <c r="U19" s="25">
        <v>225</v>
      </c>
      <c r="V19" s="25">
        <f>H19*U19*I19/15</f>
        <v>205497</v>
      </c>
      <c r="W19" s="25">
        <v>268.73</v>
      </c>
      <c r="X19" s="25">
        <v>245870.03</v>
      </c>
      <c r="Y19" s="25">
        <f>(G19*60)+(F19*60)</f>
        <v>3000</v>
      </c>
      <c r="Z19" s="25">
        <f>17557.68/2</f>
        <v>8778.84</v>
      </c>
      <c r="AA19" s="25">
        <v>0</v>
      </c>
      <c r="AB19" s="25">
        <f>2250/2</f>
        <v>1125</v>
      </c>
      <c r="AC19" s="25">
        <f>G19*35+F19*38</f>
        <v>1900</v>
      </c>
      <c r="AD19" s="25">
        <f>IF(F19="",G19*4.11,F19*4.11)</f>
        <v>205.50000000000003</v>
      </c>
      <c r="AE19" s="25">
        <v>491.74</v>
      </c>
      <c r="AF19" s="25">
        <f>V19+Y19+Z19+AA19+AB19+AC19+AD19</f>
        <v>220506.34</v>
      </c>
      <c r="AG19" s="25">
        <f>IFERROR(IFERROR((H19*W19*J19/15)-AE19,""),"")</f>
        <v>245378.29466666671</v>
      </c>
      <c r="AH19" s="26">
        <f>IFERROR(AG19-AF19,"")</f>
        <v>24871.954666666716</v>
      </c>
      <c r="AI19" s="6">
        <f>IF(F19="",(G19/$F$99)*$AL$25,(F19/$F$99)*$AL$25)</f>
        <v>178.85284974093264</v>
      </c>
      <c r="AJ19" s="6">
        <f>(AH19-AI19)*70%</f>
        <v>17285.171271848048</v>
      </c>
      <c r="AL19" s="187">
        <v>1400</v>
      </c>
      <c r="AM19" s="217" t="s">
        <v>585</v>
      </c>
      <c r="AN19" s="173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497.43909333333431</v>
      </c>
      <c r="AL20" s="178">
        <v>1150</v>
      </c>
      <c r="AM20" s="6" t="s">
        <v>587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0.10136167382063656</v>
      </c>
      <c r="AI21" s="6"/>
      <c r="AJ21" s="6"/>
      <c r="AL21" s="178">
        <f>37100-37100</f>
        <v>0</v>
      </c>
      <c r="AM21" s="6" t="s">
        <v>589</v>
      </c>
      <c r="AN21" s="174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3"/>
      <c r="AA22" s="21"/>
      <c r="AB22" s="21"/>
      <c r="AC22" s="21"/>
      <c r="AD22" s="21"/>
      <c r="AE22" s="21"/>
      <c r="AF22" s="21"/>
      <c r="AG22" s="21"/>
      <c r="AH22" s="24"/>
      <c r="AL22" s="178">
        <f>19000-19000</f>
        <v>0</v>
      </c>
      <c r="AM22" s="6" t="s">
        <v>541</v>
      </c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/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205">
        <v>901.86</v>
      </c>
      <c r="AM23" s="6" t="s">
        <v>591</v>
      </c>
      <c r="AN23" s="174"/>
    </row>
    <row r="24" spans="1:40" x14ac:dyDescent="0.35">
      <c r="A24" s="20">
        <v>45110</v>
      </c>
      <c r="B24" s="21" t="s">
        <v>563</v>
      </c>
      <c r="C24" s="21" t="s">
        <v>404</v>
      </c>
      <c r="D24" s="44">
        <v>151213</v>
      </c>
      <c r="E24" s="44"/>
      <c r="F24" s="21">
        <v>50</v>
      </c>
      <c r="G24" s="21"/>
      <c r="H24" s="22">
        <f>50740/2</f>
        <v>25370</v>
      </c>
      <c r="I24" s="33">
        <v>0.54</v>
      </c>
      <c r="J24" s="24">
        <f>IFERROR(K24/H24,"")</f>
        <v>0.54781237682301931</v>
      </c>
      <c r="K24" s="22">
        <v>13898</v>
      </c>
      <c r="L24" s="21">
        <v>15</v>
      </c>
      <c r="M24" s="21">
        <v>28</v>
      </c>
      <c r="N24" s="21">
        <v>6</v>
      </c>
      <c r="O24" s="21">
        <v>1</v>
      </c>
      <c r="P24" s="21"/>
      <c r="Q24" s="21"/>
      <c r="R24" s="21"/>
      <c r="S24" s="21"/>
      <c r="T24" s="21"/>
      <c r="U24" s="25">
        <v>225</v>
      </c>
      <c r="V24" s="25">
        <f>H24*U24*I24/15</f>
        <v>205497</v>
      </c>
      <c r="W24" s="25">
        <v>267.95</v>
      </c>
      <c r="X24" s="25">
        <v>248260.63</v>
      </c>
      <c r="Y24" s="25">
        <f>(G24*60)+(F24*60)</f>
        <v>3000</v>
      </c>
      <c r="Z24" s="25">
        <f>17557.68/2</f>
        <v>8778.84</v>
      </c>
      <c r="AA24" s="25">
        <v>0</v>
      </c>
      <c r="AB24" s="25">
        <v>1125</v>
      </c>
      <c r="AC24" s="25">
        <f>G24*35+F24*38</f>
        <v>1900</v>
      </c>
      <c r="AD24" s="25">
        <f>IF(F24="",G24*4.11,F24*4.11)</f>
        <v>205.50000000000003</v>
      </c>
      <c r="AE24" s="25">
        <v>496.51</v>
      </c>
      <c r="AF24" s="25">
        <f>V24+Y24+Z24+AA24+AB24+AC24+AD24</f>
        <v>220506.34</v>
      </c>
      <c r="AG24" s="25">
        <f>IFERROR(IFERROR((H24*W24*J24/15)-AE24,""),"")</f>
        <v>247768.09666666665</v>
      </c>
      <c r="AH24" s="26">
        <f>IFERROR(AG24-AF24,"")</f>
        <v>27261.756666666653</v>
      </c>
      <c r="AI24" s="6">
        <f>IF(F24="",(G24/$F$99)*$AL$25,(F24/$F$99)*$AL$25)</f>
        <v>178.85284974093264</v>
      </c>
      <c r="AJ24" s="6">
        <f>(AH24-AI24)*70%</f>
        <v>18958.032671848003</v>
      </c>
      <c r="AL24" s="204"/>
      <c r="AM24" s="175"/>
      <c r="AN24" s="176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545.23513333333312</v>
      </c>
      <c r="AI25" s="6"/>
      <c r="AJ25" s="6"/>
      <c r="AL25" s="214">
        <f>SUM(AL19:AL24)</f>
        <v>3451.86</v>
      </c>
      <c r="AM25" s="189" t="s">
        <v>682</v>
      </c>
      <c r="AN25" s="191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0.11002932594402215</v>
      </c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1">
        <f>AL15-AL25</f>
        <v>380786.05732333334</v>
      </c>
      <c r="AM27" s="11" t="s">
        <v>471</v>
      </c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/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59">
        <f>AL27*30%</f>
        <v>114235.817197</v>
      </c>
      <c r="AM28" s="130" t="s">
        <v>499</v>
      </c>
    </row>
    <row r="29" spans="1:40" x14ac:dyDescent="0.35">
      <c r="A29" s="20">
        <v>45110</v>
      </c>
      <c r="B29" s="21" t="s">
        <v>563</v>
      </c>
      <c r="C29" s="21" t="s">
        <v>124</v>
      </c>
      <c r="D29" s="44">
        <v>150607</v>
      </c>
      <c r="E29" s="44"/>
      <c r="F29" s="21">
        <v>50</v>
      </c>
      <c r="G29" s="21"/>
      <c r="H29" s="22">
        <f>55780/2</f>
        <v>27890</v>
      </c>
      <c r="I29" s="33">
        <v>0.55000000000000004</v>
      </c>
      <c r="J29" s="24">
        <f>IFERROR(K29/H29,"")</f>
        <v>0.56557906059519536</v>
      </c>
      <c r="K29" s="22">
        <v>15774</v>
      </c>
      <c r="L29" s="21"/>
      <c r="M29" s="21">
        <v>15</v>
      </c>
      <c r="N29" s="21">
        <v>21</v>
      </c>
      <c r="O29" s="21">
        <v>14</v>
      </c>
      <c r="P29" s="21"/>
      <c r="Q29" s="21"/>
      <c r="R29" s="21"/>
      <c r="S29" s="21"/>
      <c r="T29" s="21"/>
      <c r="U29" s="25">
        <v>240</v>
      </c>
      <c r="V29" s="25">
        <f>H29*U29*I29/15</f>
        <v>245432.00000000003</v>
      </c>
      <c r="W29" s="25">
        <v>262.93</v>
      </c>
      <c r="X29" s="25">
        <v>276493.14</v>
      </c>
      <c r="Y29" s="25">
        <f>(G29*60)+(F29*60)</f>
        <v>3000</v>
      </c>
      <c r="Z29" s="25">
        <f>(9257.88+9290.68)/2</f>
        <v>9274.2799999999988</v>
      </c>
      <c r="AA29" s="25">
        <v>0</v>
      </c>
      <c r="AB29" s="25">
        <v>1200</v>
      </c>
      <c r="AC29" s="25">
        <f>G29*35+F29*38</f>
        <v>1900</v>
      </c>
      <c r="AD29" s="25">
        <f>IF(F29="",G29*4.11,F29*4.11)</f>
        <v>205.50000000000003</v>
      </c>
      <c r="AE29" s="25">
        <v>552.99</v>
      </c>
      <c r="AF29" s="25">
        <f>V29+Y29+Z29+AA29+AB29+AC29+AD29</f>
        <v>261011.78000000003</v>
      </c>
      <c r="AG29" s="25">
        <f>IFERROR(IFERROR((H29*W29*J29/15)-AE29,""),"")</f>
        <v>275944.19799999997</v>
      </c>
      <c r="AH29" s="26">
        <f>IFERROR(AG29-AF29,"")</f>
        <v>14932.417999999947</v>
      </c>
      <c r="AI29" s="6">
        <f>IF(F29="",(G29/$F$99)*$AL$25,(F29/$F$99)*$AL$25)</f>
        <v>178.85284974093264</v>
      </c>
      <c r="AJ29" s="6">
        <f>(AH29-AI29)*70%</f>
        <v>10327.49560518131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298.64835999999895</v>
      </c>
      <c r="AL30" s="11">
        <f>AH4+AH9+AH14+AH19+AH24+AH29+AH34+AH39+AH44+AH49+AH54+AH59+AH64</f>
        <v>297306.93300000008</v>
      </c>
      <c r="AM30" s="150" t="s">
        <v>596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5.4113904580084513E-2</v>
      </c>
      <c r="AL31" s="11">
        <f>AL30-AL25</f>
        <v>293855.07300000009</v>
      </c>
      <c r="AM31" s="1" t="s">
        <v>597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L32" s="148">
        <f>AL31*30%</f>
        <v>88156.521900000022</v>
      </c>
      <c r="AM32" s="149" t="s">
        <v>598</v>
      </c>
      <c r="AN32" t="s">
        <v>72</v>
      </c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40" x14ac:dyDescent="0.35">
      <c r="A34" s="20">
        <v>45110</v>
      </c>
      <c r="B34" s="21" t="s">
        <v>563</v>
      </c>
      <c r="C34" s="21" t="s">
        <v>124</v>
      </c>
      <c r="D34" s="44">
        <v>151212</v>
      </c>
      <c r="E34" s="44"/>
      <c r="F34" s="21">
        <v>50</v>
      </c>
      <c r="G34" s="21"/>
      <c r="H34" s="22">
        <f>55780/2</f>
        <v>27890</v>
      </c>
      <c r="I34" s="33">
        <v>0.55000000000000004</v>
      </c>
      <c r="J34" s="24">
        <f>IFERROR(K34/H34,"")</f>
        <v>0.54433488705629263</v>
      </c>
      <c r="K34" s="22">
        <v>15181.5</v>
      </c>
      <c r="L34" s="21">
        <v>1</v>
      </c>
      <c r="M34" s="21">
        <v>19</v>
      </c>
      <c r="N34" s="21">
        <v>24</v>
      </c>
      <c r="O34" s="21">
        <v>6</v>
      </c>
      <c r="P34" s="21"/>
      <c r="Q34" s="21"/>
      <c r="R34" s="21"/>
      <c r="S34" s="21"/>
      <c r="T34" s="21"/>
      <c r="U34" s="25">
        <v>240</v>
      </c>
      <c r="V34" s="25">
        <f>H34*U34*I34/15</f>
        <v>245432.00000000003</v>
      </c>
      <c r="W34" s="25">
        <v>266.11</v>
      </c>
      <c r="X34" s="25">
        <v>269330.28999999998</v>
      </c>
      <c r="Y34" s="25">
        <f>(G34*60)+(F34*60)</f>
        <v>3000</v>
      </c>
      <c r="Z34" s="25">
        <f>(9257.88+9290.68)/2</f>
        <v>9274.2799999999988</v>
      </c>
      <c r="AA34" s="25">
        <v>0</v>
      </c>
      <c r="AB34" s="25">
        <v>1200</v>
      </c>
      <c r="AC34" s="25">
        <f>G34*35+F34*38</f>
        <v>1900</v>
      </c>
      <c r="AD34" s="25">
        <f>IF(F34="",G34*4.11,F34*4.11)</f>
        <v>205.50000000000003</v>
      </c>
      <c r="AE34" s="25">
        <v>538.66</v>
      </c>
      <c r="AF34" s="25">
        <f>V34+Y34+Z34+AA34+AB34+AC34+AD34</f>
        <v>261011.78000000003</v>
      </c>
      <c r="AG34" s="25">
        <f>IFERROR(IFERROR((H34*W34*J34/15)-AE34,""),"")</f>
        <v>268791.27100000007</v>
      </c>
      <c r="AH34" s="26">
        <f>IFERROR(AG34-AF34,"")</f>
        <v>7779.4910000000382</v>
      </c>
      <c r="AI34" s="6">
        <f>IF(F34="",(G34/$F$99)*$AL$25,(F34/$F$99)*$AL$25)</f>
        <v>178.85284974093264</v>
      </c>
      <c r="AJ34" s="6">
        <f>(AH34-AI34)*70%</f>
        <v>5320.4467051813735</v>
      </c>
      <c r="AL34" s="151">
        <f>AH69+AH74+AH79+AH84+AH89+AH94</f>
        <v>86930.984323333294</v>
      </c>
      <c r="AM34" s="152" t="s">
        <v>599</v>
      </c>
      <c r="AN34" s="2">
        <v>45148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155.58982000000077</v>
      </c>
      <c r="AL35" s="148">
        <f>AL34*30%</f>
        <v>26079.295296999986</v>
      </c>
      <c r="AM35" s="149" t="s">
        <v>525</v>
      </c>
      <c r="AN35" t="s">
        <v>72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2.8942498657257499E-2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/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45111</v>
      </c>
      <c r="B39" s="21" t="s">
        <v>563</v>
      </c>
      <c r="C39" s="21" t="s">
        <v>566</v>
      </c>
      <c r="D39" s="44">
        <v>151275</v>
      </c>
      <c r="E39" s="44"/>
      <c r="F39" s="21"/>
      <c r="G39" s="21">
        <v>65</v>
      </c>
      <c r="H39" s="22">
        <v>26590</v>
      </c>
      <c r="I39" s="33">
        <v>0.5</v>
      </c>
      <c r="J39" s="24">
        <f>IFERROR(K39/H39,"")</f>
        <v>0.51506205340353517</v>
      </c>
      <c r="K39" s="22">
        <v>13695.5</v>
      </c>
      <c r="L39" s="21">
        <v>8</v>
      </c>
      <c r="M39" s="21">
        <v>49</v>
      </c>
      <c r="N39" s="21">
        <v>5</v>
      </c>
      <c r="O39" s="21">
        <v>3</v>
      </c>
      <c r="P39" s="21"/>
      <c r="Q39" s="21"/>
      <c r="R39" s="21"/>
      <c r="S39" s="21"/>
      <c r="T39" s="21"/>
      <c r="U39" s="25">
        <v>215</v>
      </c>
      <c r="V39" s="25">
        <f>H39*U39*I39/15</f>
        <v>190561.66666666666</v>
      </c>
      <c r="W39" s="25">
        <v>261.42</v>
      </c>
      <c r="X39" s="25">
        <v>238684.49</v>
      </c>
      <c r="Y39" s="25">
        <f>(G39*60)+(F39*60)</f>
        <v>3900</v>
      </c>
      <c r="Z39" s="25">
        <v>10930.7</v>
      </c>
      <c r="AA39" s="25">
        <v>0</v>
      </c>
      <c r="AB39" s="25">
        <v>1397.5</v>
      </c>
      <c r="AC39" s="25">
        <f>G39*35+F39*38</f>
        <v>2275</v>
      </c>
      <c r="AD39" s="25">
        <f>IF(F39="",G39*4.11,F39*4.11)</f>
        <v>267.15000000000003</v>
      </c>
      <c r="AE39" s="25">
        <v>477.37</v>
      </c>
      <c r="AF39" s="25">
        <f>V39+Y39+Z39+AA39+AB39+AC39+AD39</f>
        <v>209332.01666666666</v>
      </c>
      <c r="AG39" s="25">
        <f>IFERROR(IFERROR((H39*W39*J39/15)-AE39,""),"")</f>
        <v>238207.80400000003</v>
      </c>
      <c r="AH39" s="26">
        <f>IFERROR(AG39-AF39,"")</f>
        <v>28875.78733333337</v>
      </c>
      <c r="AI39" s="6">
        <f>IF(F39="",(G39/$F$99)*$AL$25,(F39/$F$99)*$AL$25)</f>
        <v>232.50870466321246</v>
      </c>
      <c r="AJ39" s="6">
        <f>(AH39-AI39)*70%</f>
        <v>20050.295040069112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444.24288205128261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0.12122099632526467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/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45111</v>
      </c>
      <c r="B44" s="21" t="s">
        <v>563</v>
      </c>
      <c r="C44" s="21" t="s">
        <v>391</v>
      </c>
      <c r="D44" s="44">
        <v>150609</v>
      </c>
      <c r="E44" s="44"/>
      <c r="F44" s="21"/>
      <c r="G44" s="21">
        <v>65</v>
      </c>
      <c r="H44" s="22">
        <v>23315</v>
      </c>
      <c r="I44" s="33">
        <v>0.5</v>
      </c>
      <c r="J44" s="24">
        <f>IFERROR(K44/H44,"")</f>
        <v>0.51265279862749302</v>
      </c>
      <c r="K44" s="22">
        <v>11952.5</v>
      </c>
      <c r="L44" s="21">
        <v>45</v>
      </c>
      <c r="M44" s="21">
        <v>14</v>
      </c>
      <c r="N44" s="21">
        <v>5</v>
      </c>
      <c r="O44" s="21">
        <v>1</v>
      </c>
      <c r="P44" s="21"/>
      <c r="Q44" s="21"/>
      <c r="R44" s="21"/>
      <c r="S44" s="21"/>
      <c r="T44" s="21"/>
      <c r="U44" s="25">
        <v>220</v>
      </c>
      <c r="V44" s="25">
        <f>H44*U44*I44/15</f>
        <v>170976.66666666666</v>
      </c>
      <c r="W44" s="25">
        <v>259.67</v>
      </c>
      <c r="X44" s="25">
        <v>206915.18</v>
      </c>
      <c r="Y44" s="25">
        <f>(G44*60)+(F44*60)</f>
        <v>3900</v>
      </c>
      <c r="Z44" s="25">
        <v>5428</v>
      </c>
      <c r="AA44" s="25">
        <v>0</v>
      </c>
      <c r="AB44" s="25">
        <v>1430</v>
      </c>
      <c r="AC44" s="25">
        <f>G44*35+F44*38</f>
        <v>2275</v>
      </c>
      <c r="AD44" s="25">
        <f>IF(F44="",G44*4.11,F44*4.11)</f>
        <v>267.15000000000003</v>
      </c>
      <c r="AE44" s="25">
        <v>413.83</v>
      </c>
      <c r="AF44" s="25">
        <f>V44+Y44+Z44+AA44+AB44+AC44+AD44</f>
        <v>184276.81666666665</v>
      </c>
      <c r="AG44" s="25">
        <f>IFERROR(IFERROR((H44*W44*J44/15)-AE44,""),"")</f>
        <v>206499.88166666671</v>
      </c>
      <c r="AH44" s="26">
        <f>IFERROR(AG44-AF44,"")</f>
        <v>22223.065000000061</v>
      </c>
      <c r="AI44" s="6">
        <f>IF(F44="",(G44/$F$99)*$AL$25,(F44/$F$99)*$AL$25)</f>
        <v>232.50870466321246</v>
      </c>
      <c r="AJ44" s="6">
        <f>(AH44-AI44)*70%</f>
        <v>15393.389406735794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341.89330769230861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0.10761780985362819</v>
      </c>
      <c r="AI46" s="6"/>
      <c r="AJ46" s="6"/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/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x14ac:dyDescent="0.35">
      <c r="A49" s="38">
        <v>45112</v>
      </c>
      <c r="B49" s="39" t="s">
        <v>563</v>
      </c>
      <c r="C49" s="39" t="s">
        <v>356</v>
      </c>
      <c r="D49" s="45">
        <v>151450</v>
      </c>
      <c r="E49" s="45"/>
      <c r="F49" s="39"/>
      <c r="G49" s="39">
        <v>60</v>
      </c>
      <c r="H49" s="40">
        <f>46820/2</f>
        <v>23410</v>
      </c>
      <c r="I49" s="53">
        <v>0.5</v>
      </c>
      <c r="J49" s="42">
        <f>IFERROR(K49/H49,"")</f>
        <v>0.5392140111063648</v>
      </c>
      <c r="K49" s="40">
        <v>12623</v>
      </c>
      <c r="L49" s="39">
        <v>51</v>
      </c>
      <c r="M49" s="39">
        <v>8</v>
      </c>
      <c r="N49" s="39">
        <v>1</v>
      </c>
      <c r="O49" s="39"/>
      <c r="P49" s="39"/>
      <c r="Q49" s="39"/>
      <c r="R49" s="39"/>
      <c r="S49" s="39"/>
      <c r="T49" s="39"/>
      <c r="U49" s="43">
        <v>215</v>
      </c>
      <c r="V49" s="43">
        <f>H49*U49*I49/15</f>
        <v>167771.66666666666</v>
      </c>
      <c r="W49" s="43">
        <v>262.08</v>
      </c>
      <c r="X49" s="43">
        <v>220551.38</v>
      </c>
      <c r="Y49" s="43">
        <f>(G49*60)+(F49*60)</f>
        <v>3600</v>
      </c>
      <c r="Z49" s="43">
        <f>25072.68/2</f>
        <v>12536.34</v>
      </c>
      <c r="AA49" s="43">
        <v>0</v>
      </c>
      <c r="AB49" s="43">
        <f>2580/2</f>
        <v>1290</v>
      </c>
      <c r="AC49" s="43">
        <f>G49*35+F49*38</f>
        <v>2100</v>
      </c>
      <c r="AD49" s="43">
        <f>IF(F49="",G49*4.11,F49*4.11)</f>
        <v>246.60000000000002</v>
      </c>
      <c r="AE49" s="43">
        <v>441.1</v>
      </c>
      <c r="AF49" s="43">
        <f>V49+Y49+Z49+AA49+AB49+AC49+AD49</f>
        <v>187544.60666666666</v>
      </c>
      <c r="AG49" s="43">
        <f>IFERROR(IFERROR((H49*W49*J49/15)-AE49,""),"")</f>
        <v>220107.95599999998</v>
      </c>
      <c r="AH49" s="26">
        <f>IFERROR(AG49-AF49,"")</f>
        <v>32563.349333333317</v>
      </c>
      <c r="AI49" s="6">
        <f>IF(F49="",(G49/$F$99)*$AL$25,(F49/$F$99)*$AL$25)</f>
        <v>214.62341968911917</v>
      </c>
      <c r="AJ49" s="6">
        <f>(AH49-AI49)*70%</f>
        <v>22644.108139550935</v>
      </c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542.72248888888862</v>
      </c>
      <c r="AI50" s="6"/>
      <c r="AJ50" s="6"/>
    </row>
    <row r="51" spans="1:36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0.1479426274502014</v>
      </c>
    </row>
    <row r="52" spans="1:36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47"/>
      <c r="AJ52" s="47"/>
    </row>
    <row r="53" spans="1:36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/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x14ac:dyDescent="0.35">
      <c r="A54" s="38">
        <v>45112</v>
      </c>
      <c r="B54" s="39" t="s">
        <v>563</v>
      </c>
      <c r="C54" s="39" t="s">
        <v>356</v>
      </c>
      <c r="D54" s="45">
        <v>151451</v>
      </c>
      <c r="E54" s="45"/>
      <c r="F54" s="39"/>
      <c r="G54" s="39">
        <v>60</v>
      </c>
      <c r="H54" s="40">
        <f>46820/2</f>
        <v>23410</v>
      </c>
      <c r="I54" s="53">
        <v>0.5</v>
      </c>
      <c r="J54" s="42">
        <f>IFERROR(K54/H54,"")</f>
        <v>0.53255019222554467</v>
      </c>
      <c r="K54" s="40">
        <v>12467</v>
      </c>
      <c r="L54" s="39">
        <v>51</v>
      </c>
      <c r="M54" s="39">
        <v>8</v>
      </c>
      <c r="N54" s="39">
        <v>1</v>
      </c>
      <c r="O54" s="39"/>
      <c r="P54" s="39"/>
      <c r="Q54" s="39"/>
      <c r="R54" s="39"/>
      <c r="S54" s="39"/>
      <c r="T54" s="39"/>
      <c r="U54" s="43">
        <v>215</v>
      </c>
      <c r="V54" s="43">
        <f>H54*U54*I54/15</f>
        <v>167771.66666666666</v>
      </c>
      <c r="W54" s="43">
        <v>261.77999999999997</v>
      </c>
      <c r="X54" s="43">
        <v>217570.08</v>
      </c>
      <c r="Y54" s="43">
        <f>(G54*60)+(F54*60)</f>
        <v>3600</v>
      </c>
      <c r="Z54" s="43">
        <f>25072.68/2</f>
        <v>12536.34</v>
      </c>
      <c r="AA54" s="43">
        <v>0</v>
      </c>
      <c r="AB54" s="43">
        <f>2580/2</f>
        <v>1290</v>
      </c>
      <c r="AC54" s="43">
        <f>G54*35+F54*38</f>
        <v>2100</v>
      </c>
      <c r="AD54" s="43">
        <f>IF(F54="",G54*4.11,F54*4.11)</f>
        <v>246.60000000000002</v>
      </c>
      <c r="AE54" s="43">
        <v>435.14</v>
      </c>
      <c r="AF54" s="43">
        <f>V54+Y54+Z54+AA54+AB54+AC54+AD54</f>
        <v>187544.60666666666</v>
      </c>
      <c r="AG54" s="43">
        <f>IFERROR(IFERROR((H54*W54*J54/15)-AE54,""),"")</f>
        <v>217138.94399999999</v>
      </c>
      <c r="AH54" s="26">
        <f>IFERROR(AG54-AF54,"")</f>
        <v>29594.337333333329</v>
      </c>
      <c r="AI54" s="6">
        <f>IF(F54="",(G54/$F$99)*$AL$25,(F54/$F$99)*$AL$25)</f>
        <v>214.62341968911917</v>
      </c>
      <c r="AJ54" s="6">
        <f>(AH54-AI54)*70%</f>
        <v>20565.799739550945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493.23895555555549</v>
      </c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0.13629216753183312</v>
      </c>
    </row>
    <row r="57" spans="1:36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6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/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6" x14ac:dyDescent="0.35">
      <c r="A59" s="20">
        <v>45112</v>
      </c>
      <c r="B59" s="21" t="s">
        <v>563</v>
      </c>
      <c r="C59" s="21" t="s">
        <v>174</v>
      </c>
      <c r="D59" s="44">
        <v>150610</v>
      </c>
      <c r="E59" s="44"/>
      <c r="F59" s="21"/>
      <c r="G59" s="21">
        <v>64</v>
      </c>
      <c r="H59" s="22">
        <v>22920</v>
      </c>
      <c r="I59" s="33">
        <v>0.5</v>
      </c>
      <c r="J59" s="24">
        <f>IFERROR(K59/H59,"")</f>
        <v>0.50429755671902265</v>
      </c>
      <c r="K59" s="22">
        <v>11558.5</v>
      </c>
      <c r="L59" s="21">
        <v>11</v>
      </c>
      <c r="M59" s="21">
        <v>35</v>
      </c>
      <c r="N59" s="21">
        <v>14</v>
      </c>
      <c r="O59" s="21">
        <v>4</v>
      </c>
      <c r="P59" s="21"/>
      <c r="Q59" s="21"/>
      <c r="R59" s="21"/>
      <c r="S59" s="21"/>
      <c r="T59" s="21"/>
      <c r="U59" s="25">
        <v>215</v>
      </c>
      <c r="V59" s="25">
        <f>H59*U59*I59/15</f>
        <v>164260</v>
      </c>
      <c r="W59" s="25">
        <v>257.43</v>
      </c>
      <c r="X59" s="25">
        <v>197971.33</v>
      </c>
      <c r="Y59" s="25">
        <f>(G59*60)+(F59*60)</f>
        <v>3840</v>
      </c>
      <c r="Z59" s="25">
        <v>9934.4</v>
      </c>
      <c r="AA59" s="25">
        <v>0</v>
      </c>
      <c r="AB59" s="25">
        <v>1376</v>
      </c>
      <c r="AC59" s="25">
        <f>G59*35+F59*38</f>
        <v>2240</v>
      </c>
      <c r="AD59" s="25">
        <f>IF(F59="",G59*4.11,F59*4.11)</f>
        <v>263.04000000000002</v>
      </c>
      <c r="AE59" s="25">
        <v>396.75</v>
      </c>
      <c r="AF59" s="25">
        <f>V59+Y59+Z59+AA59+AB59+AC59+AD59</f>
        <v>181913.44</v>
      </c>
      <c r="AG59" s="25">
        <f>IFERROR(IFERROR((H59*W59*J59/15)-AE59,""),"")</f>
        <v>197970.22700000001</v>
      </c>
      <c r="AH59" s="26">
        <f>IFERROR(AG59-AF59,"")</f>
        <v>16056.787000000011</v>
      </c>
      <c r="AI59" s="6">
        <f>IF(F59="",(G59/$F$99)*$AL$25,(F59/$F$99)*$AL$25)</f>
        <v>228.93164766839379</v>
      </c>
      <c r="AJ59" s="6">
        <f>(AH59-AI59)*70%</f>
        <v>11079.498746632131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5"/>
      <c r="AC60" s="21"/>
      <c r="AD60" s="21"/>
      <c r="AE60" s="21"/>
      <c r="AF60" s="21"/>
      <c r="AG60" s="21"/>
      <c r="AH60" s="26">
        <f>IFERROR(AH59/F59,0)+IFERROR(AH59/G59,0)</f>
        <v>250.88729687500017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8.1107079803469692E-2</v>
      </c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45111</v>
      </c>
      <c r="B64" s="21" t="s">
        <v>563</v>
      </c>
      <c r="C64" s="21" t="s">
        <v>588</v>
      </c>
      <c r="D64" s="44">
        <v>151276</v>
      </c>
      <c r="E64" s="44"/>
      <c r="F64" s="21"/>
      <c r="G64" s="21">
        <v>63</v>
      </c>
      <c r="H64" s="22">
        <v>21810</v>
      </c>
      <c r="I64" s="33">
        <v>0.5</v>
      </c>
      <c r="J64" s="24">
        <f>IFERROR(K64/H64,"")</f>
        <v>0.51015589179275567</v>
      </c>
      <c r="K64" s="22">
        <v>11126.5</v>
      </c>
      <c r="L64" s="21">
        <v>16</v>
      </c>
      <c r="M64" s="21">
        <v>43</v>
      </c>
      <c r="N64" s="21">
        <v>4</v>
      </c>
      <c r="O64" s="21"/>
      <c r="P64" s="21"/>
      <c r="Q64" s="21"/>
      <c r="R64" s="21"/>
      <c r="S64" s="21"/>
      <c r="T64" s="21"/>
      <c r="U64" s="25">
        <v>215</v>
      </c>
      <c r="V64" s="25">
        <f>H64*U64*I64/15</f>
        <v>156305</v>
      </c>
      <c r="W64" s="25">
        <v>259.45999999999998</v>
      </c>
      <c r="X64" s="25">
        <v>192459.33</v>
      </c>
      <c r="Y64" s="25">
        <f>(G64*60)+(F64*60)</f>
        <v>3780</v>
      </c>
      <c r="Z64" s="25">
        <v>10767.6</v>
      </c>
      <c r="AA64" s="25">
        <v>0</v>
      </c>
      <c r="AB64" s="25">
        <v>1354.6</v>
      </c>
      <c r="AC64" s="25">
        <f>G64*35+F64*38</f>
        <v>2205</v>
      </c>
      <c r="AD64" s="25">
        <f>IF(F64="",G64*4.11,F64*4.11)</f>
        <v>258.93</v>
      </c>
      <c r="AE64" s="25">
        <v>384.92</v>
      </c>
      <c r="AF64" s="25">
        <f>V64+Y64+Z64+AA64+AB64+AC64+AD64</f>
        <v>174671.13</v>
      </c>
      <c r="AG64" s="25">
        <f>IFERROR(IFERROR((H64*W64*J64/15)-AE64,""),"")</f>
        <v>192073.85933333333</v>
      </c>
      <c r="AH64" s="26">
        <f>IFERROR(AG64-AF64,"")</f>
        <v>17402.729333333322</v>
      </c>
      <c r="AI64" s="6">
        <f>IF(F64="",(G64/$F$99)*$AL$25,(F64/$F$99)*$AL$25)</f>
        <v>225.35459067357516</v>
      </c>
      <c r="AJ64" s="6">
        <f>(AH64-AI64)*70%</f>
        <v>12024.162319861822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276.23379894179874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9.0604361227166627E-2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/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45114</v>
      </c>
      <c r="B69" s="21" t="s">
        <v>563</v>
      </c>
      <c r="C69" s="21" t="s">
        <v>573</v>
      </c>
      <c r="D69" s="147">
        <v>151257</v>
      </c>
      <c r="E69" s="44"/>
      <c r="F69" s="21">
        <v>50</v>
      </c>
      <c r="G69" s="21"/>
      <c r="H69" s="22">
        <v>27220</v>
      </c>
      <c r="I69" s="33">
        <v>0.55000000000000004</v>
      </c>
      <c r="J69" s="24">
        <f>IFERROR(K69/H69,"")</f>
        <v>0.56877296105804553</v>
      </c>
      <c r="K69" s="22">
        <v>15482</v>
      </c>
      <c r="L69" s="21">
        <v>35</v>
      </c>
      <c r="M69" s="21">
        <v>14</v>
      </c>
      <c r="N69" s="21">
        <v>1</v>
      </c>
      <c r="O69" s="21"/>
      <c r="P69" s="21"/>
      <c r="Q69" s="21"/>
      <c r="R69" s="21"/>
      <c r="S69" s="21"/>
      <c r="T69" s="21"/>
      <c r="U69" s="25">
        <v>230</v>
      </c>
      <c r="V69" s="25">
        <f>H69*U69*I69/15</f>
        <v>229555.33333333337</v>
      </c>
      <c r="W69" s="139">
        <f>266.24*0.99</f>
        <v>263.57760000000002</v>
      </c>
      <c r="X69" s="25">
        <v>274789.65999999997</v>
      </c>
      <c r="Y69" s="25">
        <f>(G69*60)+(F69*60)</f>
        <v>3000</v>
      </c>
      <c r="Z69" s="25">
        <v>8659.84</v>
      </c>
      <c r="AA69" s="25">
        <v>0</v>
      </c>
      <c r="AB69" s="25">
        <v>1150</v>
      </c>
      <c r="AC69" s="25">
        <f>G69*35+F69*38</f>
        <v>1900</v>
      </c>
      <c r="AD69" s="25">
        <f>IF(F69="",G69*4.11,F69*4.11)</f>
        <v>205.50000000000003</v>
      </c>
      <c r="AE69" s="139">
        <f>549.58*0.99</f>
        <v>544.08420000000001</v>
      </c>
      <c r="AF69" s="25">
        <f>V69+Y69+Z69+AA69+AB69+AC69+AD69</f>
        <v>244470.67333333337</v>
      </c>
      <c r="AG69" s="25">
        <f>IFERROR(IFERROR((H69*W69*J69/15)-AE69,""),"")</f>
        <v>271503.14268000005</v>
      </c>
      <c r="AH69" s="26">
        <f>IFERROR(AG69-AF69,"")</f>
        <v>27032.469346666679</v>
      </c>
      <c r="AI69" s="6">
        <f>IF(F69="",(G69/$F$99)*$AL$25,(F69/$F$99)*$AL$25)</f>
        <v>178.85284974093264</v>
      </c>
      <c r="AJ69" s="6">
        <f>(AH69-AI69)*70%</f>
        <v>18797.531547848022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540.64938693333363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9.9565953748564084E-2</v>
      </c>
      <c r="AI71" s="6"/>
      <c r="AJ71" s="6"/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/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45114</v>
      </c>
      <c r="B74" s="21" t="s">
        <v>563</v>
      </c>
      <c r="C74" s="21" t="s">
        <v>573</v>
      </c>
      <c r="D74" s="147">
        <v>151256</v>
      </c>
      <c r="E74" s="44"/>
      <c r="F74" s="21">
        <v>50</v>
      </c>
      <c r="G74" s="21"/>
      <c r="H74" s="22">
        <v>24880</v>
      </c>
      <c r="I74" s="33">
        <v>0.52</v>
      </c>
      <c r="J74" s="24">
        <f>IFERROR(K74/H74,"")</f>
        <v>0.52602491961414788</v>
      </c>
      <c r="K74" s="22">
        <v>13087.5</v>
      </c>
      <c r="L74" s="21">
        <v>12</v>
      </c>
      <c r="M74" s="21">
        <v>15</v>
      </c>
      <c r="N74" s="21">
        <v>19</v>
      </c>
      <c r="O74" s="21">
        <v>4</v>
      </c>
      <c r="P74" s="21"/>
      <c r="Q74" s="21"/>
      <c r="R74" s="21"/>
      <c r="S74" s="21"/>
      <c r="T74" s="21"/>
      <c r="U74" s="25">
        <v>230</v>
      </c>
      <c r="V74" s="25">
        <f>H74*U74*I74/15</f>
        <v>198376.53333333333</v>
      </c>
      <c r="W74" s="139">
        <f>264.94*0.99</f>
        <v>262.29059999999998</v>
      </c>
      <c r="X74" s="25">
        <v>231163.9</v>
      </c>
      <c r="Y74" s="25">
        <f>(G74*60)+(F74*60)</f>
        <v>3000</v>
      </c>
      <c r="Z74" s="25">
        <f>17691.52/2</f>
        <v>8845.76</v>
      </c>
      <c r="AA74" s="25">
        <v>0</v>
      </c>
      <c r="AB74" s="25">
        <v>1150</v>
      </c>
      <c r="AC74" s="25">
        <f>G74*35+F74*38</f>
        <v>1900</v>
      </c>
      <c r="AD74" s="25">
        <f>IF(F74="",G74*4.11,F74*4.11)</f>
        <v>205.50000000000003</v>
      </c>
      <c r="AE74" s="139">
        <f>462.33*0.99</f>
        <v>457.70669999999996</v>
      </c>
      <c r="AF74" s="25">
        <f>V74+Y74+Z74+AA74+AB74+AC74+AD74</f>
        <v>213477.79333333333</v>
      </c>
      <c r="AG74" s="25">
        <f>IFERROR(IFERROR((H74*W74*J74/15)-AE74,""),"")</f>
        <v>228390.84179999997</v>
      </c>
      <c r="AH74" s="26">
        <f>IFERROR(AG74-AF74,"")</f>
        <v>14913.048466666631</v>
      </c>
      <c r="AI74" s="6">
        <f>IF(F74="",(G74/$F$99)*$AL$25,(F74/$F$99)*$AL$25)</f>
        <v>178.85284974093264</v>
      </c>
      <c r="AJ74" s="6">
        <f>(AH74-AI74)*70%</f>
        <v>10313.936931847988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298.26096933333264</v>
      </c>
      <c r="AI75" s="6"/>
      <c r="AJ75" s="6"/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6.5296175403240855E-2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47"/>
      <c r="AJ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/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>
        <v>45114</v>
      </c>
      <c r="B79" s="21" t="s">
        <v>563</v>
      </c>
      <c r="C79" s="21" t="s">
        <v>573</v>
      </c>
      <c r="D79" s="147">
        <v>151521</v>
      </c>
      <c r="E79" s="44"/>
      <c r="F79" s="21">
        <v>50</v>
      </c>
      <c r="G79" s="21"/>
      <c r="H79" s="22">
        <v>24880</v>
      </c>
      <c r="I79" s="33">
        <v>0.51</v>
      </c>
      <c r="J79" s="24">
        <f>IFERROR(K79/H79,"")</f>
        <v>0.54945739549839223</v>
      </c>
      <c r="K79" s="22">
        <v>13670.5</v>
      </c>
      <c r="L79" s="21">
        <v>6</v>
      </c>
      <c r="M79" s="21">
        <v>19</v>
      </c>
      <c r="N79" s="21">
        <v>19</v>
      </c>
      <c r="O79" s="21">
        <v>5</v>
      </c>
      <c r="P79" s="21">
        <v>1</v>
      </c>
      <c r="Q79" s="21"/>
      <c r="R79" s="21"/>
      <c r="S79" s="21"/>
      <c r="T79" s="21"/>
      <c r="U79" s="25">
        <v>230</v>
      </c>
      <c r="V79" s="25">
        <f>H79*U79*I79/15</f>
        <v>194561.6</v>
      </c>
      <c r="W79" s="139">
        <f>263.3*0.99</f>
        <v>260.66700000000003</v>
      </c>
      <c r="X79" s="25">
        <v>239966.65</v>
      </c>
      <c r="Y79" s="25">
        <f>(G79*60)+(F79*60)</f>
        <v>3000</v>
      </c>
      <c r="Z79" s="25">
        <f>17691.52/2</f>
        <v>8845.76</v>
      </c>
      <c r="AA79" s="25">
        <v>0</v>
      </c>
      <c r="AB79" s="25">
        <v>1150</v>
      </c>
      <c r="AC79" s="25">
        <f>G79*35+F79*38</f>
        <v>1900</v>
      </c>
      <c r="AD79" s="25">
        <f>IF(F79="",G79*4.11,F79*4.11)</f>
        <v>205.50000000000003</v>
      </c>
      <c r="AE79" s="139">
        <f>479.93*0.99</f>
        <v>475.13069999999999</v>
      </c>
      <c r="AF79" s="25">
        <f>V79+Y79+Z79+AA79+AB79+AC79+AD79</f>
        <v>209662.86000000002</v>
      </c>
      <c r="AG79" s="25">
        <f>IFERROR(IFERROR((H79*W79*J79/15)-AE79,""),"")</f>
        <v>237088.08420000001</v>
      </c>
      <c r="AH79" s="26">
        <f>IFERROR(AG79-AF79,"")</f>
        <v>27425.224199999997</v>
      </c>
      <c r="AI79" s="6">
        <f>IF(F79="",(G79/$F$99)*$AL$25,(F79/$F$99)*$AL$25)</f>
        <v>178.85284974093264</v>
      </c>
      <c r="AJ79" s="6">
        <f>(AH79-AI79)*70%</f>
        <v>19072.459945181345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548.50448399999993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>
        <f>IFERROR(AH79/AG79,"")</f>
        <v>0.11567525332426637</v>
      </c>
      <c r="AI81" s="6"/>
      <c r="AJ81" s="6"/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/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>
        <v>45114</v>
      </c>
      <c r="B84" s="21" t="s">
        <v>563</v>
      </c>
      <c r="C84" s="21" t="s">
        <v>590</v>
      </c>
      <c r="D84" s="147">
        <v>151258</v>
      </c>
      <c r="E84" s="44"/>
      <c r="F84" s="21"/>
      <c r="G84" s="21">
        <v>18</v>
      </c>
      <c r="H84" s="22">
        <v>6480</v>
      </c>
      <c r="I84" s="33">
        <v>0.5</v>
      </c>
      <c r="J84" s="24">
        <f>IFERROR(K84/H84,"")</f>
        <v>0.48608156028368793</v>
      </c>
      <c r="K84" s="22">
        <v>3149.8085106382978</v>
      </c>
      <c r="L84" s="21">
        <v>7</v>
      </c>
      <c r="M84" s="21">
        <v>10</v>
      </c>
      <c r="N84" s="21">
        <v>1</v>
      </c>
      <c r="O84" s="21"/>
      <c r="P84" s="21"/>
      <c r="Q84" s="21"/>
      <c r="R84" s="21"/>
      <c r="S84" s="21"/>
      <c r="T84" s="21"/>
      <c r="U84" s="25">
        <v>215</v>
      </c>
      <c r="V84" s="25">
        <f>H84*U84*I84/15</f>
        <v>46440</v>
      </c>
      <c r="W84" s="139">
        <f>260.25*0.99</f>
        <v>257.64749999999998</v>
      </c>
      <c r="X84" s="25">
        <v>54648.455744680854</v>
      </c>
      <c r="Y84" s="25">
        <f>(G84*60)+(F84*60)</f>
        <v>1080</v>
      </c>
      <c r="Z84" s="25">
        <v>3620.41</v>
      </c>
      <c r="AA84" s="25">
        <v>0</v>
      </c>
      <c r="AB84" s="25">
        <v>387</v>
      </c>
      <c r="AC84" s="25">
        <f>G84*35+F84*38</f>
        <v>630</v>
      </c>
      <c r="AD84" s="25">
        <f>IF(F84="",G84*4.11,F84*4.11)</f>
        <v>73.98</v>
      </c>
      <c r="AE84" s="139">
        <f>109.294468085106*0.99</f>
        <v>108.20152340425494</v>
      </c>
      <c r="AF84" s="25">
        <f>V84+Y84+Z84+AA84+AB84+AC84+AD84</f>
        <v>52231.390000000007</v>
      </c>
      <c r="AG84" s="25">
        <f>IFERROR(IFERROR((H84*W84*J84/15)-AE84,""),"")</f>
        <v>53994.484359574461</v>
      </c>
      <c r="AH84" s="26">
        <f>IFERROR(AG84-AF84,"")</f>
        <v>1763.0943595744538</v>
      </c>
      <c r="AI84" s="6">
        <f>IF(F84="",(G84/$F$99)*$AL$25,(F84/$F$99)*$AL$25)</f>
        <v>64.387025906735744</v>
      </c>
      <c r="AJ84" s="6">
        <f>(AH84-AI84)*70%</f>
        <v>1189.0951335674026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97.949686643025217</v>
      </c>
      <c r="AI85" s="6"/>
      <c r="AJ85" s="6"/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>
        <f>IFERROR(AH84/AG84,"")</f>
        <v>3.2653230797301182E-2</v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  <c r="AI87" s="47"/>
      <c r="AJ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/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>
        <v>45114</v>
      </c>
      <c r="B89" s="21" t="s">
        <v>563</v>
      </c>
      <c r="C89" s="21" t="s">
        <v>174</v>
      </c>
      <c r="D89" s="147">
        <v>151522</v>
      </c>
      <c r="E89" s="44"/>
      <c r="F89" s="21">
        <v>11</v>
      </c>
      <c r="G89" s="21"/>
      <c r="H89" s="22">
        <v>5940</v>
      </c>
      <c r="I89" s="33">
        <v>0.53</v>
      </c>
      <c r="J89" s="24">
        <f>IFERROR(K89/H89,"")</f>
        <v>0.5131313131313131</v>
      </c>
      <c r="K89" s="22">
        <v>3048</v>
      </c>
      <c r="L89" s="21">
        <v>1</v>
      </c>
      <c r="M89" s="21">
        <v>3</v>
      </c>
      <c r="N89" s="21">
        <v>7</v>
      </c>
      <c r="O89" s="21"/>
      <c r="P89" s="21"/>
      <c r="Q89" s="21"/>
      <c r="R89" s="21"/>
      <c r="S89" s="21"/>
      <c r="T89" s="21"/>
      <c r="U89" s="25">
        <v>230</v>
      </c>
      <c r="V89" s="25">
        <f>H89*U89*I89/15</f>
        <v>48272.4</v>
      </c>
      <c r="W89" s="139">
        <f>266.67*0.99</f>
        <v>264.00330000000002</v>
      </c>
      <c r="X89" s="25">
        <v>54187.34</v>
      </c>
      <c r="Y89" s="25">
        <f>(G89*60)+(F89*60)</f>
        <v>660</v>
      </c>
      <c r="Z89" s="25">
        <v>2212.4699999999998</v>
      </c>
      <c r="AA89" s="25">
        <v>0</v>
      </c>
      <c r="AB89" s="25">
        <v>253</v>
      </c>
      <c r="AC89" s="25">
        <f>G89*35+F89*38</f>
        <v>418</v>
      </c>
      <c r="AD89" s="25">
        <f>IF(F89="",G89*4.11,F89*4.11)</f>
        <v>45.21</v>
      </c>
      <c r="AE89" s="139">
        <f>108.37*0.99</f>
        <v>107.2863</v>
      </c>
      <c r="AF89" s="25">
        <f>V89+Y89+Z89+AA89+AB89+AC89+AD89</f>
        <v>51861.08</v>
      </c>
      <c r="AG89" s="25">
        <f>IFERROR(IFERROR((H89*W89*J89/15)-AE89,""),"")</f>
        <v>53538.184260000009</v>
      </c>
      <c r="AH89" s="26">
        <f>IFERROR(AG89-AF89,"")</f>
        <v>1677.1042600000073</v>
      </c>
      <c r="AI89" s="6">
        <f>IF(F89="",(G89/$F$99)*$AL$25,(F89/$F$99)*$AL$25)</f>
        <v>39.347626943005181</v>
      </c>
      <c r="AJ89" s="6">
        <f>(AH89-AI89)*70%</f>
        <v>1146.4296431399014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152.46402363636432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>
        <f>IFERROR(AH89/AG89,"")</f>
        <v>3.1325385482918265E-2</v>
      </c>
      <c r="AI91" s="6"/>
      <c r="AJ91" s="6"/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/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>
        <v>45114</v>
      </c>
      <c r="B94" s="21" t="s">
        <v>563</v>
      </c>
      <c r="C94" s="21" t="s">
        <v>231</v>
      </c>
      <c r="D94" s="147">
        <v>151258</v>
      </c>
      <c r="E94" s="44"/>
      <c r="F94" s="21"/>
      <c r="G94" s="21">
        <v>29</v>
      </c>
      <c r="H94" s="22">
        <v>9540</v>
      </c>
      <c r="I94" s="33">
        <v>0.5</v>
      </c>
      <c r="J94" s="24">
        <f>IFERROR(K94/H94,"")</f>
        <v>0.53193831125384716</v>
      </c>
      <c r="K94" s="22">
        <v>5074.6914893617022</v>
      </c>
      <c r="L94" s="21">
        <v>10</v>
      </c>
      <c r="M94" s="21">
        <v>16</v>
      </c>
      <c r="N94" s="21">
        <v>2</v>
      </c>
      <c r="O94" s="21">
        <v>1</v>
      </c>
      <c r="P94" s="21"/>
      <c r="Q94" s="21"/>
      <c r="R94" s="21"/>
      <c r="S94" s="21"/>
      <c r="T94" s="21"/>
      <c r="U94" s="25">
        <v>199.95</v>
      </c>
      <c r="V94" s="25">
        <f>H94*U94*I94/15</f>
        <v>63584.1</v>
      </c>
      <c r="W94" s="139">
        <f>260.25*0.99</f>
        <v>257.64749999999998</v>
      </c>
      <c r="X94" s="25">
        <v>88044.734255319156</v>
      </c>
      <c r="Y94" s="25">
        <f>(G94*60)+(F94*60)</f>
        <v>1740</v>
      </c>
      <c r="Z94" s="25">
        <v>5832.89</v>
      </c>
      <c r="AA94" s="25">
        <v>0</v>
      </c>
      <c r="AB94" s="25">
        <v>579.89</v>
      </c>
      <c r="AC94" s="25">
        <f>G94*35+F94*38</f>
        <v>1015</v>
      </c>
      <c r="AD94" s="25">
        <f>IF(F94="",G94*4.11,F94*4.11)</f>
        <v>119.19000000000001</v>
      </c>
      <c r="AE94" s="139">
        <f>176.085531914894*0.99</f>
        <v>174.32467659574507</v>
      </c>
      <c r="AF94" s="25">
        <f>V94+Y94+Z94+AA94+AB94+AC94+AD94</f>
        <v>72871.070000000007</v>
      </c>
      <c r="AG94" s="25">
        <f>IFERROR(IFERROR((H94*W94*J94/15)-AE94,""),"")</f>
        <v>86991.113690425525</v>
      </c>
      <c r="AH94" s="26">
        <f>IFERROR(AG94-AF94,"")</f>
        <v>14120.043690425518</v>
      </c>
      <c r="AI94" s="6">
        <f>IF(F94="",(G94/$F$99)*$AL$25,(F94/$F$99)*$AL$25)</f>
        <v>103.73465284974094</v>
      </c>
      <c r="AJ94" s="6">
        <f>(AH94-AI94)*70%</f>
        <v>9811.4163263030441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486.89805829053512</v>
      </c>
      <c r="AI95" s="6"/>
      <c r="AJ95" s="6"/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0.16231593195454869</v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47"/>
      <c r="AJ97" s="47"/>
    </row>
    <row r="98" spans="1:36" ht="15" customHeight="1" thickBot="1" x14ac:dyDescent="0.4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47"/>
      <c r="AI98" s="47"/>
      <c r="AJ98" s="47"/>
    </row>
    <row r="99" spans="1:36" ht="16" thickBot="1" x14ac:dyDescent="0.4">
      <c r="A99" s="377" t="s">
        <v>576</v>
      </c>
      <c r="B99" s="378"/>
      <c r="C99" s="378"/>
      <c r="D99" s="378"/>
      <c r="E99" s="378"/>
      <c r="F99" s="30">
        <f>SUM(F4:G94)</f>
        <v>965</v>
      </c>
      <c r="G99" s="30"/>
      <c r="H99" s="30"/>
      <c r="I99" s="30"/>
      <c r="J99" s="30"/>
      <c r="K99" s="30"/>
      <c r="L99" s="46"/>
      <c r="M99" s="46"/>
      <c r="N99" s="46"/>
      <c r="O99" s="46"/>
      <c r="P99" s="46"/>
      <c r="Q99" s="46"/>
      <c r="R99" s="46"/>
      <c r="S99" s="46"/>
      <c r="T99" s="46"/>
      <c r="U99" s="30"/>
      <c r="V99" s="31">
        <f>V4+V9+V14+V19+V24+V29+V34+V39+V44+V49+V54+V59+V64+V69+V74+V79+V84+V89+V94</f>
        <v>3181901.8000000007</v>
      </c>
      <c r="W99" s="31"/>
      <c r="X99" s="31"/>
      <c r="Y99" s="31">
        <f t="shared" ref="Y99:AJ99" si="0">Y4+Y9+Y14+Y19+Y24+Y29+Y34+Y39+Y44+Y49+Y54+Y59+Y64+Y69+Y74+Y79+Y84+Y89+Y94</f>
        <v>57900</v>
      </c>
      <c r="Z99" s="31">
        <f t="shared" si="0"/>
        <v>162855.85000000003</v>
      </c>
      <c r="AA99" s="31">
        <f t="shared" si="0"/>
        <v>0</v>
      </c>
      <c r="AB99" s="31">
        <f t="shared" si="0"/>
        <v>23907.989999999998</v>
      </c>
      <c r="AC99" s="31">
        <f t="shared" si="0"/>
        <v>34858</v>
      </c>
      <c r="AD99" s="31">
        <f t="shared" si="0"/>
        <v>3966.15</v>
      </c>
      <c r="AE99" s="31">
        <f t="shared" si="0"/>
        <v>7714.704099999999</v>
      </c>
      <c r="AF99" s="31">
        <f t="shared" si="0"/>
        <v>3465389.7899999996</v>
      </c>
      <c r="AG99" s="31">
        <f t="shared" si="0"/>
        <v>3849627.7073233342</v>
      </c>
      <c r="AH99" s="31">
        <f t="shared" si="0"/>
        <v>384237.91732333333</v>
      </c>
      <c r="AI99" s="31">
        <f t="shared" si="0"/>
        <v>3451.86</v>
      </c>
      <c r="AJ99" s="31">
        <f t="shared" si="0"/>
        <v>266550.24012633332</v>
      </c>
    </row>
  </sheetData>
  <mergeCells count="2">
    <mergeCell ref="U2:AC2"/>
    <mergeCell ref="A99:E99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69"/>
  <dimension ref="A1:AN91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5" width="12.453125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8.7265625" bestFit="1" customWidth="1"/>
    <col min="39" max="39" width="18" customWidth="1"/>
    <col min="40" max="40" width="13.179687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AF89</f>
        <v>2797374.4053166667</v>
      </c>
      <c r="AM3" s="164">
        <f>AH89-AI89</f>
        <v>189406.90337000007</v>
      </c>
    </row>
    <row r="4" spans="1:40" x14ac:dyDescent="0.35">
      <c r="A4" s="20">
        <v>45115</v>
      </c>
      <c r="B4" s="21" t="s">
        <v>563</v>
      </c>
      <c r="C4" s="21" t="s">
        <v>566</v>
      </c>
      <c r="D4" s="147">
        <v>151259</v>
      </c>
      <c r="E4" s="44"/>
      <c r="F4" s="21"/>
      <c r="G4" s="21">
        <v>63</v>
      </c>
      <c r="H4" s="22">
        <v>25400</v>
      </c>
      <c r="I4" s="33">
        <v>0.5</v>
      </c>
      <c r="J4" s="24">
        <f>IFERROR(K4/H4,"")</f>
        <v>0.51576771653543307</v>
      </c>
      <c r="K4" s="22">
        <v>13100.5</v>
      </c>
      <c r="L4" s="21">
        <v>13</v>
      </c>
      <c r="M4" s="21">
        <v>21</v>
      </c>
      <c r="N4" s="21">
        <v>11</v>
      </c>
      <c r="O4" s="21">
        <v>10</v>
      </c>
      <c r="P4" s="21">
        <v>8</v>
      </c>
      <c r="Q4" s="21"/>
      <c r="R4" s="21"/>
      <c r="S4" s="21"/>
      <c r="T4" s="21"/>
      <c r="U4" s="25">
        <v>215</v>
      </c>
      <c r="V4" s="25">
        <f>H4*U4*I4/15</f>
        <v>182033.33333333334</v>
      </c>
      <c r="W4" s="139">
        <v>253.58</v>
      </c>
      <c r="X4" s="25">
        <v>223712.37</v>
      </c>
      <c r="Y4" s="25">
        <f>(G4*60)+(F4*60)</f>
        <v>3780</v>
      </c>
      <c r="Z4" s="25">
        <v>11367.3</v>
      </c>
      <c r="AA4" s="25">
        <v>0</v>
      </c>
      <c r="AB4" s="25">
        <v>1354.5</v>
      </c>
      <c r="AC4" s="25">
        <f>G4*35+F4*38</f>
        <v>2205</v>
      </c>
      <c r="AD4" s="25">
        <f>IF(F4="",G4*4.11,F4*4.11)</f>
        <v>258.93</v>
      </c>
      <c r="AE4" s="25">
        <v>447.42</v>
      </c>
      <c r="AF4" s="25">
        <f>V4+Y4+Z4+AA4+AB4+AC4+AD4</f>
        <v>200999.06333333332</v>
      </c>
      <c r="AG4" s="25">
        <f>IFERROR(IFERROR((H4*W4*J4/15)-AE4,""),"")</f>
        <v>221020.89933333333</v>
      </c>
      <c r="AH4" s="26">
        <f>IFERROR(AG4-AF4,"")</f>
        <v>20021.83600000001</v>
      </c>
      <c r="AI4" s="6">
        <f>IF(F4="",(G4/$F$89)*$AL$23,(F4/$F$89)*$AL$23)</f>
        <v>78.941605839416056</v>
      </c>
      <c r="AJ4" s="6">
        <f>(AH4-AI4)*70%</f>
        <v>13960.026075912416</v>
      </c>
      <c r="AL4" s="166" t="s">
        <v>749</v>
      </c>
      <c r="AM4" s="167">
        <f>AM3/AL3</f>
        <v>6.7708814025757472E-2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317.8069206349208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9.0587976342472565E-2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/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45117</v>
      </c>
      <c r="B9" s="21" t="s">
        <v>563</v>
      </c>
      <c r="C9" s="21" t="s">
        <v>485</v>
      </c>
      <c r="D9" s="44">
        <v>151260</v>
      </c>
      <c r="E9" s="44"/>
      <c r="F9" s="21">
        <v>39</v>
      </c>
      <c r="G9" s="21"/>
      <c r="H9" s="22">
        <v>17230</v>
      </c>
      <c r="I9" s="33">
        <v>0.53</v>
      </c>
      <c r="J9" s="24">
        <f>IFERROR(K9/H9,"")</f>
        <v>0.59079686593151481</v>
      </c>
      <c r="K9" s="22">
        <v>10179.43</v>
      </c>
      <c r="L9" s="21">
        <v>16</v>
      </c>
      <c r="M9" s="21">
        <v>8</v>
      </c>
      <c r="N9" s="21">
        <v>11</v>
      </c>
      <c r="O9" s="21">
        <v>3</v>
      </c>
      <c r="P9" s="21"/>
      <c r="Q9" s="21">
        <v>1</v>
      </c>
      <c r="R9" s="14"/>
      <c r="S9" s="21"/>
      <c r="T9" s="21"/>
      <c r="U9" s="25">
        <v>235</v>
      </c>
      <c r="V9" s="25">
        <f>H9*U9*I9/15</f>
        <v>143066.43333333332</v>
      </c>
      <c r="W9" s="25">
        <v>260.47000000000003</v>
      </c>
      <c r="X9" s="25">
        <v>176758.67</v>
      </c>
      <c r="Y9" s="25">
        <f>(G9*60)+(F9*60)</f>
        <v>2340</v>
      </c>
      <c r="Z9" s="25">
        <v>7177.56</v>
      </c>
      <c r="AA9" s="25">
        <v>0</v>
      </c>
      <c r="AB9" s="25">
        <v>903.5</v>
      </c>
      <c r="AC9" s="25">
        <f>G9*35+F9*38</f>
        <v>1482</v>
      </c>
      <c r="AD9" s="25">
        <f>IF(F9="",G9*4.11,F9*4.11)</f>
        <v>160.29000000000002</v>
      </c>
      <c r="AE9" s="25">
        <v>353.51</v>
      </c>
      <c r="AF9" s="25">
        <f>V9+Y9+Z9+AA9+AB9+AC9+AD9</f>
        <v>155129.78333333333</v>
      </c>
      <c r="AG9" s="25">
        <f>IFERROR(IFERROR((H9*W9*J9/15)-AE9,""),"")</f>
        <v>176408.89880666669</v>
      </c>
      <c r="AH9" s="26">
        <f>IFERROR(AG9-AF9,"")</f>
        <v>21279.115473333368</v>
      </c>
      <c r="AI9" s="6">
        <f>IF(F9="",(G9/$F$89)*$AL$23,(F9/$F$89)*$AL$23)</f>
        <v>48.868613138686129</v>
      </c>
      <c r="AJ9" s="6">
        <f>(AH9-AI9)*70%</f>
        <v>14861.172802136276</v>
      </c>
      <c r="AK9" t="s">
        <v>580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545.61834547008641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0.12062382123168271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/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  <c r="AL13">
        <f>F4+G4+F9+G9+F14+G14+F19+G19+F24+G24+F29+G29+F34+G34+F39+G39+F44+G44+F49+G49+F54+G54+F59+G59+F64+G64+F69+G69+F74+G74+F79+G79+F84+G84</f>
        <v>822</v>
      </c>
      <c r="AM13" s="50" t="s">
        <v>22</v>
      </c>
      <c r="AN13" t="s">
        <v>71</v>
      </c>
    </row>
    <row r="14" spans="1:40" x14ac:dyDescent="0.35">
      <c r="A14" s="20">
        <v>45117</v>
      </c>
      <c r="B14" s="21" t="s">
        <v>563</v>
      </c>
      <c r="C14" s="21" t="s">
        <v>485</v>
      </c>
      <c r="D14" s="44">
        <v>151260</v>
      </c>
      <c r="E14" s="44"/>
      <c r="F14" s="21">
        <v>6</v>
      </c>
      <c r="G14" s="21"/>
      <c r="H14" s="22">
        <v>3960</v>
      </c>
      <c r="I14" s="33">
        <v>0.5</v>
      </c>
      <c r="J14" s="24">
        <f>IFERROR(K14/H14,"")</f>
        <v>0.39546969696969697</v>
      </c>
      <c r="K14" s="22">
        <v>1566.06</v>
      </c>
      <c r="L14" s="21"/>
      <c r="M14" s="21"/>
      <c r="N14" s="21"/>
      <c r="O14" s="21"/>
      <c r="P14" s="21">
        <v>3</v>
      </c>
      <c r="Q14" s="21">
        <v>3</v>
      </c>
      <c r="R14" s="21"/>
      <c r="S14" s="21"/>
      <c r="T14" s="21"/>
      <c r="U14" s="25">
        <v>210</v>
      </c>
      <c r="V14" s="25">
        <f>H14*U14*I14/15</f>
        <v>27720</v>
      </c>
      <c r="W14" s="25">
        <v>260.47000000000003</v>
      </c>
      <c r="X14" s="25">
        <v>27193.64</v>
      </c>
      <c r="Y14" s="25">
        <f>(G14*60)+(F14*60)</f>
        <v>360</v>
      </c>
      <c r="Z14" s="25">
        <v>1104.24</v>
      </c>
      <c r="AA14" s="25">
        <v>0</v>
      </c>
      <c r="AB14" s="25">
        <v>139</v>
      </c>
      <c r="AC14" s="25">
        <f>G14*35+F14*38</f>
        <v>228</v>
      </c>
      <c r="AD14" s="25">
        <f>IF(F14="",G14*4.11,F14*4.11)</f>
        <v>24.660000000000004</v>
      </c>
      <c r="AE14" s="25">
        <v>54.38</v>
      </c>
      <c r="AF14" s="25">
        <f>V14+Y14+Z14+AA14+AB14+AC14+AD14</f>
        <v>29575.9</v>
      </c>
      <c r="AG14" s="25">
        <f>IFERROR(IFERROR((H14*W14*J14/15)-AE14,""),"")</f>
        <v>27139.729880000003</v>
      </c>
      <c r="AH14" s="26">
        <f>IFERROR(AG14-AF14,"")</f>
        <v>-2436.1701199999989</v>
      </c>
      <c r="AI14" s="6">
        <f>IF(F14="",(G14/$F$89)*$AL$23,(F14/$F$89)*$AL$23)</f>
        <v>7.5182481751824817</v>
      </c>
      <c r="AJ14" s="6">
        <f>(AH14-AI14)*70%</f>
        <v>-1710.5818577226269</v>
      </c>
      <c r="AL14" s="11">
        <f>AH4+AH9+AH14+AH19+AH24+AH29+AH34+AH39+AH44+AH49+AH54+AH59+AH64+AH69+AH74+AH79+AH84</f>
        <v>190436.90337000007</v>
      </c>
      <c r="AM14" s="11">
        <f>AL14*30%</f>
        <v>57131.071011000022</v>
      </c>
      <c r="AN14" s="2">
        <v>45121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-406.02835333333314</v>
      </c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-8.9763978152018309E-2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  <c r="AL17" s="11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/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3" t="s">
        <v>187</v>
      </c>
      <c r="AM18" s="211" t="s">
        <v>680</v>
      </c>
      <c r="AN18" s="191"/>
    </row>
    <row r="19" spans="1:40" x14ac:dyDescent="0.35">
      <c r="A19" s="20">
        <v>45117</v>
      </c>
      <c r="B19" s="21" t="s">
        <v>563</v>
      </c>
      <c r="C19" s="21" t="s">
        <v>538</v>
      </c>
      <c r="D19" s="44">
        <v>151262</v>
      </c>
      <c r="E19" s="44"/>
      <c r="F19" s="21"/>
      <c r="G19" s="21">
        <v>61</v>
      </c>
      <c r="H19" s="22">
        <v>22800</v>
      </c>
      <c r="I19" s="33">
        <v>0.5</v>
      </c>
      <c r="J19" s="24">
        <f>IFERROR(K19/H19,"")</f>
        <v>0.50734649122807018</v>
      </c>
      <c r="K19" s="22">
        <v>11567.5</v>
      </c>
      <c r="L19" s="21">
        <v>6</v>
      </c>
      <c r="M19" s="21">
        <v>39</v>
      </c>
      <c r="N19" s="21">
        <v>15</v>
      </c>
      <c r="O19" s="21">
        <v>1</v>
      </c>
      <c r="P19" s="21"/>
      <c r="Q19" s="21"/>
      <c r="R19" s="21"/>
      <c r="S19" s="21"/>
      <c r="T19" s="21"/>
      <c r="U19" s="25">
        <v>215</v>
      </c>
      <c r="V19" s="25">
        <f>H19*U19*I19/15</f>
        <v>163400</v>
      </c>
      <c r="W19" s="25">
        <v>262.23</v>
      </c>
      <c r="X19" s="25">
        <v>202225.92000000001</v>
      </c>
      <c r="Y19" s="25">
        <f>(G19*60)+(F19*60)</f>
        <v>3660</v>
      </c>
      <c r="Z19" s="25">
        <v>6325.36</v>
      </c>
      <c r="AA19" s="25">
        <v>0</v>
      </c>
      <c r="AB19" s="25">
        <v>1311.5</v>
      </c>
      <c r="AC19" s="25">
        <f>G19*35+F19*38</f>
        <v>2135</v>
      </c>
      <c r="AD19" s="25">
        <f>IF(F19="",G19*4.11,F19*4.11)</f>
        <v>250.71</v>
      </c>
      <c r="AE19" s="25">
        <v>404.45</v>
      </c>
      <c r="AF19" s="25">
        <f>V19+Y19+Z19+AA19+AB19+AC19+AD19</f>
        <v>177082.56999999998</v>
      </c>
      <c r="AG19" s="25">
        <f>IFERROR(IFERROR((H19*W19*J19/15)-AE19,""),"")</f>
        <v>201818.58499999999</v>
      </c>
      <c r="AH19" s="26">
        <f>IFERROR(AG19-AF19,"")</f>
        <v>24736.015000000014</v>
      </c>
      <c r="AI19" s="6">
        <f>IF(F19="",(G19/$F$89)*$AL$23,(F19/$F$89)*$AL$23)</f>
        <v>76.435523114355234</v>
      </c>
      <c r="AJ19" s="6">
        <f>(AH19-AI19)*70%</f>
        <v>17261.705633819958</v>
      </c>
      <c r="AL19" s="208">
        <f>50880-50880</f>
        <v>0</v>
      </c>
      <c r="AM19" s="6" t="s">
        <v>592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405.50844262295107</v>
      </c>
      <c r="AL20" s="208">
        <f>9900-9900</f>
        <v>0</v>
      </c>
      <c r="AM20" s="6" t="s">
        <v>592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0.12256559523494834</v>
      </c>
      <c r="AI21" s="6"/>
      <c r="AJ21" s="6"/>
      <c r="AL21" s="208">
        <v>800</v>
      </c>
      <c r="AM21" s="6" t="s">
        <v>386</v>
      </c>
      <c r="AN21" s="174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3"/>
      <c r="AA22" s="21"/>
      <c r="AB22" s="21"/>
      <c r="AC22" s="21"/>
      <c r="AD22" s="21"/>
      <c r="AE22" s="21"/>
      <c r="AF22" s="21"/>
      <c r="AG22" s="21"/>
      <c r="AH22" s="24"/>
      <c r="AL22" s="208">
        <v>230</v>
      </c>
      <c r="AM22" s="6" t="s">
        <v>608</v>
      </c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/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88">
        <f>SUM(AL19:AL22)</f>
        <v>1030</v>
      </c>
      <c r="AM23" s="189" t="s">
        <v>682</v>
      </c>
      <c r="AN23" s="191"/>
    </row>
    <row r="24" spans="1:40" x14ac:dyDescent="0.35">
      <c r="A24" s="20">
        <v>45118</v>
      </c>
      <c r="B24" s="21" t="s">
        <v>563</v>
      </c>
      <c r="C24" s="21" t="s">
        <v>565</v>
      </c>
      <c r="D24" s="44">
        <v>151261</v>
      </c>
      <c r="E24" s="44"/>
      <c r="F24" s="21"/>
      <c r="G24" s="21">
        <v>60</v>
      </c>
      <c r="H24" s="22">
        <v>22160</v>
      </c>
      <c r="I24" s="33">
        <v>0.5</v>
      </c>
      <c r="J24" s="24">
        <f>IFERROR(K24/H24,"")</f>
        <v>0.49151624548736461</v>
      </c>
      <c r="K24" s="22">
        <v>10892</v>
      </c>
      <c r="L24" s="21">
        <v>15</v>
      </c>
      <c r="M24" s="21">
        <v>34</v>
      </c>
      <c r="N24" s="21">
        <v>11</v>
      </c>
      <c r="O24" s="21"/>
      <c r="P24" s="21"/>
      <c r="Q24" s="21"/>
      <c r="R24" s="21"/>
      <c r="S24" s="21"/>
      <c r="T24" s="21"/>
      <c r="U24" s="25">
        <v>220</v>
      </c>
      <c r="V24" s="25">
        <f>H24*U24*I24/15</f>
        <v>162506.66666666666</v>
      </c>
      <c r="W24" s="25">
        <v>261.68</v>
      </c>
      <c r="X24" s="25">
        <v>190016.99</v>
      </c>
      <c r="Y24" s="25">
        <f>(G24*60)+(F24*60)</f>
        <v>3600</v>
      </c>
      <c r="Z24" s="25">
        <v>7881.3</v>
      </c>
      <c r="AA24" s="25">
        <v>0</v>
      </c>
      <c r="AB24" s="25">
        <v>1320</v>
      </c>
      <c r="AC24" s="25">
        <f>G24*35+F24*38</f>
        <v>2100</v>
      </c>
      <c r="AD24" s="25">
        <f>IF(F24="",G24*4.11,F24*4.11)</f>
        <v>246.60000000000002</v>
      </c>
      <c r="AE24" s="25">
        <v>380.04</v>
      </c>
      <c r="AF24" s="25">
        <f>V24+Y24+Z24+AA24+AB24+AC24+AD24</f>
        <v>177654.56666666665</v>
      </c>
      <c r="AG24" s="25">
        <f>IFERROR(IFERROR((H24*W24*J24/15)-AE24,""),"")</f>
        <v>189634.53066666666</v>
      </c>
      <c r="AH24" s="26">
        <f>IFERROR(AG24-AF24,"")</f>
        <v>11979.964000000007</v>
      </c>
      <c r="AI24" s="6">
        <f>IF(F24="",(G24/$F$89)*$AL$23,(F24/$F$89)*$AL$23)</f>
        <v>75.18248175182481</v>
      </c>
      <c r="AJ24" s="6">
        <f>(AH24-AI24)*70%</f>
        <v>8333.3470627737279</v>
      </c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199.66606666666678</v>
      </c>
      <c r="AI25" s="6"/>
      <c r="AJ25" s="6"/>
      <c r="AL25" s="11">
        <f>AL14-AL23</f>
        <v>189406.90337000007</v>
      </c>
      <c r="AM25" s="11" t="s">
        <v>471</v>
      </c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6.317395865554673E-2</v>
      </c>
      <c r="AL26" s="59">
        <f>AL25*30%</f>
        <v>56822.071011000022</v>
      </c>
      <c r="AM26" s="130" t="s">
        <v>499</v>
      </c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/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</row>
    <row r="29" spans="1:40" x14ac:dyDescent="0.35">
      <c r="A29" s="20">
        <v>45118</v>
      </c>
      <c r="B29" s="21" t="s">
        <v>563</v>
      </c>
      <c r="C29" s="21" t="s">
        <v>593</v>
      </c>
      <c r="D29" s="44">
        <v>151263</v>
      </c>
      <c r="E29" s="44"/>
      <c r="F29" s="21"/>
      <c r="G29" s="21">
        <v>60</v>
      </c>
      <c r="H29" s="22">
        <v>21340</v>
      </c>
      <c r="I29" s="33">
        <v>0.5</v>
      </c>
      <c r="J29" s="24">
        <f>IFERROR(K29/H29,"")</f>
        <v>0.50644329896907214</v>
      </c>
      <c r="K29" s="22">
        <v>10807.5</v>
      </c>
      <c r="L29" s="21">
        <v>30</v>
      </c>
      <c r="M29" s="21">
        <v>16</v>
      </c>
      <c r="N29" s="21">
        <v>9</v>
      </c>
      <c r="O29" s="21">
        <v>2</v>
      </c>
      <c r="P29" s="21">
        <v>3</v>
      </c>
      <c r="Q29" s="21"/>
      <c r="R29" s="21"/>
      <c r="S29" s="21"/>
      <c r="T29" s="21"/>
      <c r="U29" s="25">
        <v>215</v>
      </c>
      <c r="V29" s="25">
        <f>H29*U29*I29/15</f>
        <v>152936.66666666666</v>
      </c>
      <c r="W29" s="25">
        <v>259.36</v>
      </c>
      <c r="X29" s="25">
        <v>186869.44</v>
      </c>
      <c r="Y29" s="25">
        <f>(G29*60)+(F29*60)</f>
        <v>3600</v>
      </c>
      <c r="Z29" s="25">
        <v>7926.3</v>
      </c>
      <c r="AA29" s="25">
        <v>0</v>
      </c>
      <c r="AB29" s="25">
        <v>1290</v>
      </c>
      <c r="AC29" s="25">
        <f>G29*35+F29*38</f>
        <v>2100</v>
      </c>
      <c r="AD29" s="25">
        <f>IF(F29="",G29*4.11,F29*4.11)</f>
        <v>246.60000000000002</v>
      </c>
      <c r="AE29" s="25">
        <v>373.75</v>
      </c>
      <c r="AF29" s="25">
        <f>V29+Y29+Z29+AA29+AB29+AC29+AD29</f>
        <v>168099.56666666665</v>
      </c>
      <c r="AG29" s="25">
        <f>IFERROR(IFERROR((H29*W29*J29/15)-AE29,""),"")</f>
        <v>186495.13</v>
      </c>
      <c r="AH29" s="26">
        <f>IFERROR(AG29-AF29,"")</f>
        <v>18395.563333333354</v>
      </c>
      <c r="AI29" s="6">
        <f>IF(F29="",(G29/$F$89)*$AL$23,(F29/$F$89)*$AL$23)</f>
        <v>75.18248175182481</v>
      </c>
      <c r="AJ29" s="6">
        <f>(AH29-AI29)*70%</f>
        <v>12824.266596107069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306.59272222222256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9.8638304031495899E-2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11">
        <f>AH9+AH14+AH19+AH24+AH29+AH34+AH39+AH44+AH49+AH54+AH59+AH69+AH74+AH79+AH84</f>
        <v>169500.07537000006</v>
      </c>
      <c r="AM33" s="150" t="s">
        <v>596</v>
      </c>
    </row>
    <row r="34" spans="1:40" x14ac:dyDescent="0.35">
      <c r="A34" s="20">
        <v>45118</v>
      </c>
      <c r="B34" s="21" t="s">
        <v>563</v>
      </c>
      <c r="C34" s="21" t="s">
        <v>404</v>
      </c>
      <c r="D34" s="44">
        <v>151264</v>
      </c>
      <c r="E34" s="44"/>
      <c r="F34" s="21">
        <v>35</v>
      </c>
      <c r="G34" s="21"/>
      <c r="H34" s="22">
        <v>19000</v>
      </c>
      <c r="I34" s="33">
        <v>0.54</v>
      </c>
      <c r="J34" s="24">
        <f>IFERROR(K34/H34,"")</f>
        <v>0.53928947368421054</v>
      </c>
      <c r="K34" s="22">
        <v>10246.5</v>
      </c>
      <c r="L34" s="21">
        <v>10</v>
      </c>
      <c r="M34" s="21">
        <v>21</v>
      </c>
      <c r="N34" s="21">
        <v>3</v>
      </c>
      <c r="O34" s="21">
        <v>1</v>
      </c>
      <c r="P34" s="21"/>
      <c r="Q34" s="21"/>
      <c r="R34" s="21"/>
      <c r="S34" s="21"/>
      <c r="T34" s="21"/>
      <c r="U34" s="25">
        <v>230</v>
      </c>
      <c r="V34" s="25">
        <f>H34*U34*I34/15</f>
        <v>157320</v>
      </c>
      <c r="W34" s="25">
        <v>267.33</v>
      </c>
      <c r="X34" s="25">
        <v>182613.3</v>
      </c>
      <c r="Y34" s="25">
        <f>(G34*60)+(F34*60)</f>
        <v>2100</v>
      </c>
      <c r="Z34" s="25">
        <v>5690.05</v>
      </c>
      <c r="AA34" s="25">
        <v>0</v>
      </c>
      <c r="AB34" s="25">
        <v>690</v>
      </c>
      <c r="AC34" s="25">
        <f>G34*35+F34*38</f>
        <v>1330</v>
      </c>
      <c r="AD34" s="25">
        <f>IF(F34="",G34*4.11,F34*4.11)</f>
        <v>143.85000000000002</v>
      </c>
      <c r="AE34" s="25">
        <v>365.23</v>
      </c>
      <c r="AF34" s="25">
        <f>V34+Y34+Z34+AA34+AB34+AC34+AD34</f>
        <v>167273.9</v>
      </c>
      <c r="AG34" s="25">
        <f>IFERROR(IFERROR((H34*W34*J34/15)-AE34,""),"")</f>
        <v>182247.89300000001</v>
      </c>
      <c r="AH34" s="26">
        <f>IFERROR(AG34-AF34,"")</f>
        <v>14973.993000000017</v>
      </c>
      <c r="AI34" s="6">
        <f>IF(F34="",(G34/$F$89)*$AL$23,(F34/$F$89)*$AL$23)</f>
        <v>43.856447688564472</v>
      </c>
      <c r="AJ34" s="6">
        <f>(AH34-AI34)*70%</f>
        <v>10451.095586618016</v>
      </c>
      <c r="AL34" s="11">
        <f>AL33-AL23</f>
        <v>168470.07537000006</v>
      </c>
      <c r="AM34" s="1" t="s">
        <v>597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427.82837142857193</v>
      </c>
      <c r="AL35" s="148">
        <f>AL34*30%</f>
        <v>50541.022611000015</v>
      </c>
      <c r="AM35" s="149" t="s">
        <v>598</v>
      </c>
      <c r="AN35" t="s">
        <v>72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8.2162777047853255E-2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/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  <c r="AL38" s="151">
        <f>AH4+AH64</f>
        <v>20936.828000000009</v>
      </c>
      <c r="AM38" s="152" t="s">
        <v>599</v>
      </c>
      <c r="AN38" s="154">
        <v>45155</v>
      </c>
    </row>
    <row r="39" spans="1:40" x14ac:dyDescent="0.35">
      <c r="A39" s="20">
        <v>45118</v>
      </c>
      <c r="B39" s="21" t="s">
        <v>563</v>
      </c>
      <c r="C39" s="21" t="s">
        <v>404</v>
      </c>
      <c r="D39" s="44">
        <v>151265</v>
      </c>
      <c r="E39" s="44"/>
      <c r="F39" s="21"/>
      <c r="G39" s="21">
        <v>20</v>
      </c>
      <c r="H39" s="22">
        <v>8440</v>
      </c>
      <c r="I39" s="33">
        <v>0.5</v>
      </c>
      <c r="J39" s="24">
        <f>IFERROR(K39/H39,"")</f>
        <v>0.52624407582938393</v>
      </c>
      <c r="K39" s="22">
        <v>4441.5</v>
      </c>
      <c r="L39" s="21">
        <v>12</v>
      </c>
      <c r="M39" s="21">
        <v>6</v>
      </c>
      <c r="N39" s="21">
        <v>1</v>
      </c>
      <c r="O39" s="21">
        <v>1</v>
      </c>
      <c r="P39" s="21"/>
      <c r="Q39" s="21"/>
      <c r="R39" s="21"/>
      <c r="S39" s="21"/>
      <c r="T39" s="21"/>
      <c r="U39" s="25">
        <v>215</v>
      </c>
      <c r="V39" s="25">
        <f>H39*U39*I39/15</f>
        <v>60486.666666666664</v>
      </c>
      <c r="W39" s="25">
        <v>264.27999999999997</v>
      </c>
      <c r="X39" s="25">
        <v>78252.92</v>
      </c>
      <c r="Y39" s="25">
        <f>(G39*60)+(F39*60)</f>
        <v>1200</v>
      </c>
      <c r="Z39" s="25">
        <v>3251.46</v>
      </c>
      <c r="AA39" s="25">
        <v>0</v>
      </c>
      <c r="AB39" s="25">
        <v>430</v>
      </c>
      <c r="AC39" s="25">
        <f>G39*35+F39*38</f>
        <v>700</v>
      </c>
      <c r="AD39" s="25">
        <f>IF(F39="",G39*4.11,F39*4.11)</f>
        <v>82.2</v>
      </c>
      <c r="AE39" s="25">
        <v>156.5</v>
      </c>
      <c r="AF39" s="25">
        <f>V39+Y39+Z39+AA39+AB39+AC39+AD39</f>
        <v>66150.32666666666</v>
      </c>
      <c r="AG39" s="25">
        <f>IFERROR(IFERROR((H39*W39*J39/15)-AE39,""),"")</f>
        <v>78096.80799999999</v>
      </c>
      <c r="AH39" s="26">
        <f>IFERROR(AG39-AF39,"")</f>
        <v>11946.48133333333</v>
      </c>
      <c r="AI39" s="6">
        <f>IF(F39="",(G39/$F$89)*$AL$23,(F39/$F$89)*$AL$23)</f>
        <v>25.060827250608273</v>
      </c>
      <c r="AJ39" s="6">
        <f>(AH39-AI39)*70%</f>
        <v>8344.994354257904</v>
      </c>
      <c r="AL39" s="148">
        <f>AL38*30%</f>
        <v>6281.0484000000024</v>
      </c>
      <c r="AM39" s="149" t="s">
        <v>525</v>
      </c>
      <c r="AN39" t="s">
        <v>72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597.32406666666645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0.15297016151202147</v>
      </c>
      <c r="AL41" t="s">
        <v>584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/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45118</v>
      </c>
      <c r="B44" s="21" t="s">
        <v>563</v>
      </c>
      <c r="C44" s="21" t="s">
        <v>257</v>
      </c>
      <c r="D44" s="44">
        <v>151266</v>
      </c>
      <c r="E44" s="44"/>
      <c r="F44" s="21"/>
      <c r="G44" s="98">
        <v>65</v>
      </c>
      <c r="H44" s="22">
        <v>24120</v>
      </c>
      <c r="I44" s="33">
        <v>0.5</v>
      </c>
      <c r="J44" s="24">
        <f>IFERROR(K44/H44,"")</f>
        <v>0.48957296849087895</v>
      </c>
      <c r="K44" s="22">
        <v>11808.5</v>
      </c>
      <c r="L44" s="21">
        <v>13</v>
      </c>
      <c r="M44" s="21">
        <v>42</v>
      </c>
      <c r="N44" s="21">
        <v>9</v>
      </c>
      <c r="O44" s="21"/>
      <c r="P44" s="21">
        <v>1</v>
      </c>
      <c r="Q44" s="21"/>
      <c r="R44" s="21"/>
      <c r="S44" s="21"/>
      <c r="T44" s="21"/>
      <c r="U44" s="25">
        <v>220</v>
      </c>
      <c r="V44" s="25">
        <f>H44*U44*I44/15</f>
        <v>176880</v>
      </c>
      <c r="W44" s="25">
        <v>261.61</v>
      </c>
      <c r="X44" s="25">
        <v>205946.64</v>
      </c>
      <c r="Y44" s="25">
        <f>(G44*60)+(F44*60)</f>
        <v>3900</v>
      </c>
      <c r="Z44" s="25">
        <v>12273.66</v>
      </c>
      <c r="AA44" s="25">
        <v>0</v>
      </c>
      <c r="AB44" s="25">
        <v>1430</v>
      </c>
      <c r="AC44" s="25">
        <f>G44*35+F44*38</f>
        <v>2275</v>
      </c>
      <c r="AD44" s="25">
        <f>IF(F44="",G44*4.11,F44*4.11)</f>
        <v>267.15000000000003</v>
      </c>
      <c r="AE44" s="25">
        <v>411.9</v>
      </c>
      <c r="AF44" s="25">
        <f>V44+Y44+Z44+AA44+AB44+AC44+AD44</f>
        <v>197025.81</v>
      </c>
      <c r="AG44" s="25">
        <f>IFERROR(IFERROR((H44*W44*J44/15)-AE44,""),"")</f>
        <v>205536.21233333333</v>
      </c>
      <c r="AH44" s="26">
        <f>IFERROR(AG44-AF44,"")</f>
        <v>8510.4023333333316</v>
      </c>
      <c r="AI44" s="6">
        <f>IF(F44="",(G44/$F$89)*$AL$23,(F44/$F$89)*$AL$23)</f>
        <v>81.447688564476891</v>
      </c>
      <c r="AJ44" s="6">
        <f>(AH44-AI44)*70%</f>
        <v>5900.2682513381988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130.92926666666665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4.1405853677654529E-2</v>
      </c>
      <c r="AI46" s="6"/>
      <c r="AJ46" s="6"/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/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x14ac:dyDescent="0.35">
      <c r="A49" s="20">
        <v>45119</v>
      </c>
      <c r="B49" s="21" t="s">
        <v>330</v>
      </c>
      <c r="C49" s="21" t="s">
        <v>124</v>
      </c>
      <c r="D49" s="44">
        <v>151270</v>
      </c>
      <c r="E49" s="44"/>
      <c r="F49" s="21"/>
      <c r="G49" s="91">
        <v>59</v>
      </c>
      <c r="H49" s="22">
        <v>22105.333299999998</v>
      </c>
      <c r="I49" s="33">
        <v>0.5</v>
      </c>
      <c r="J49" s="24">
        <f>IFERROR(K49/H49,"")</f>
        <v>0.49951746260256574</v>
      </c>
      <c r="K49" s="22">
        <v>11042</v>
      </c>
      <c r="L49" s="21">
        <v>9</v>
      </c>
      <c r="M49" s="21">
        <v>39</v>
      </c>
      <c r="N49" s="21">
        <v>11</v>
      </c>
      <c r="O49" s="21"/>
      <c r="P49" s="21"/>
      <c r="Q49" s="21"/>
      <c r="R49" s="21"/>
      <c r="S49" s="21"/>
      <c r="T49" s="21"/>
      <c r="U49" s="25">
        <v>215</v>
      </c>
      <c r="V49" s="25">
        <f>H49*U49*I49/15</f>
        <v>158421.55531666667</v>
      </c>
      <c r="W49" s="25">
        <v>260.60000000000002</v>
      </c>
      <c r="X49" s="25">
        <v>191837.35</v>
      </c>
      <c r="Y49" s="25">
        <f>G49*60</f>
        <v>3540</v>
      </c>
      <c r="Z49" s="25">
        <v>8780.2800000000007</v>
      </c>
      <c r="AA49" s="25">
        <v>0</v>
      </c>
      <c r="AB49" s="25">
        <f>G49*21.5</f>
        <v>1268.5</v>
      </c>
      <c r="AC49" s="25">
        <f>G49*35+F49*38</f>
        <v>2065</v>
      </c>
      <c r="AD49" s="25">
        <f>IF(F49="",G49*4.11,F49*4.11)</f>
        <v>242.49</v>
      </c>
      <c r="AE49" s="25">
        <v>383.67</v>
      </c>
      <c r="AF49" s="25">
        <f>V49+Y49+Z49+AA49+AB49+AC49+AD49</f>
        <v>174317.82531666665</v>
      </c>
      <c r="AG49" s="25">
        <f>IFERROR(IFERROR((H49*W49*J49/15)-AE49,""),"")</f>
        <v>191452.67666666667</v>
      </c>
      <c r="AH49" s="26">
        <f>IFERROR(AG49-AF49,"")</f>
        <v>17134.851350000012</v>
      </c>
      <c r="AI49" s="6">
        <f>IF(F49="",(G49/$F$89)*$AL$23,(F49/$F$89)*$AL$23)</f>
        <v>73.929440389294399</v>
      </c>
      <c r="AJ49" s="6">
        <f>(AH49-AI49)*70%</f>
        <v>11942.645336727503</v>
      </c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290.42120932203409</v>
      </c>
      <c r="AI50" s="6"/>
      <c r="AJ50" s="6"/>
    </row>
    <row r="51" spans="1:36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8.9499147509089466E-2</v>
      </c>
    </row>
    <row r="52" spans="1:36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47"/>
      <c r="AJ52" s="47"/>
    </row>
    <row r="53" spans="1:36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/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x14ac:dyDescent="0.35">
      <c r="A54" s="20">
        <v>45119</v>
      </c>
      <c r="B54" s="21" t="s">
        <v>330</v>
      </c>
      <c r="C54" s="21" t="s">
        <v>582</v>
      </c>
      <c r="D54" s="44">
        <v>151271</v>
      </c>
      <c r="E54" s="44"/>
      <c r="F54" s="21"/>
      <c r="G54" s="21">
        <v>63</v>
      </c>
      <c r="H54" s="22">
        <v>23930</v>
      </c>
      <c r="I54" s="33">
        <v>0.5</v>
      </c>
      <c r="J54" s="24">
        <f>IFERROR(K54/H54,"")</f>
        <v>0.49414960300877558</v>
      </c>
      <c r="K54" s="22">
        <v>11825</v>
      </c>
      <c r="L54" s="21">
        <v>2</v>
      </c>
      <c r="M54" s="21">
        <v>44</v>
      </c>
      <c r="N54" s="21">
        <v>15</v>
      </c>
      <c r="O54" s="21">
        <v>2</v>
      </c>
      <c r="P54" s="21"/>
      <c r="Q54" s="21"/>
      <c r="R54" s="21"/>
      <c r="S54" s="21"/>
      <c r="T54" s="21"/>
      <c r="U54" s="25">
        <v>220</v>
      </c>
      <c r="V54" s="25">
        <f>H54*U54*I54/15</f>
        <v>175486.66666666666</v>
      </c>
      <c r="W54" s="25">
        <v>261.39</v>
      </c>
      <c r="X54" s="25">
        <v>206063.01</v>
      </c>
      <c r="Y54" s="25">
        <f>G54*60</f>
        <v>3780</v>
      </c>
      <c r="Z54" s="25">
        <v>7870.82</v>
      </c>
      <c r="AA54" s="25">
        <v>0</v>
      </c>
      <c r="AB54" s="25">
        <v>1386</v>
      </c>
      <c r="AC54" s="25">
        <f>G54*35</f>
        <v>2205</v>
      </c>
      <c r="AD54" s="25">
        <f>IF(F54="",G54*4.11,F54*4.11)</f>
        <v>258.93</v>
      </c>
      <c r="AE54" s="25">
        <v>412.13</v>
      </c>
      <c r="AF54" s="25">
        <f>V54+Y54+Z54+AA54+AB54+AC54+AD54</f>
        <v>190987.41666666666</v>
      </c>
      <c r="AG54" s="25">
        <f>IFERROR(IFERROR((H54*W54*J54/15)-AE54,""),"")</f>
        <v>205650.31999999998</v>
      </c>
      <c r="AH54" s="26">
        <f>IFERROR(AG54-AF54,"")</f>
        <v>14662.903333333321</v>
      </c>
      <c r="AI54" s="6">
        <f>IF(F54="",(G54/$F$89)*$AL$23,(F54/$F$89)*$AL$23)</f>
        <v>78.941605839416056</v>
      </c>
      <c r="AJ54" s="6">
        <f>(AH54-AI54)*70%</f>
        <v>10208.773209245732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232.74449735449716</v>
      </c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7.1300172707406059E-2</v>
      </c>
    </row>
    <row r="57" spans="1:36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6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/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6" x14ac:dyDescent="0.35">
      <c r="A59" s="20">
        <v>45119</v>
      </c>
      <c r="B59" s="21" t="s">
        <v>330</v>
      </c>
      <c r="C59" s="21" t="s">
        <v>231</v>
      </c>
      <c r="D59" s="44">
        <v>151269</v>
      </c>
      <c r="E59" s="44"/>
      <c r="F59" s="21">
        <v>50</v>
      </c>
      <c r="G59" s="21"/>
      <c r="H59" s="22">
        <v>29570</v>
      </c>
      <c r="I59" s="33">
        <v>0.54</v>
      </c>
      <c r="J59" s="24">
        <f>IFERROR(K59/H59,"")</f>
        <v>0.54183293878931349</v>
      </c>
      <c r="K59" s="22">
        <v>16022</v>
      </c>
      <c r="L59" s="21"/>
      <c r="M59" s="21">
        <v>3</v>
      </c>
      <c r="N59" s="21">
        <v>20</v>
      </c>
      <c r="O59" s="21">
        <v>21</v>
      </c>
      <c r="P59" s="21">
        <v>6</v>
      </c>
      <c r="Q59" s="21"/>
      <c r="R59" s="21"/>
      <c r="S59" s="21"/>
      <c r="T59" s="21"/>
      <c r="U59" s="25">
        <v>230</v>
      </c>
      <c r="V59" s="25">
        <f>H59*U59*I59/15</f>
        <v>244839.60000000003</v>
      </c>
      <c r="W59" s="25">
        <v>256.18</v>
      </c>
      <c r="X59" s="25">
        <v>273630.39</v>
      </c>
      <c r="Y59" s="25">
        <f>F59*60</f>
        <v>3000</v>
      </c>
      <c r="Z59" s="25">
        <v>12029.64</v>
      </c>
      <c r="AA59" s="25">
        <v>0</v>
      </c>
      <c r="AB59" s="25">
        <v>1150</v>
      </c>
      <c r="AC59" s="25">
        <f>F59*38</f>
        <v>1900</v>
      </c>
      <c r="AD59" s="25">
        <f>IF(F59="",G59*4.11,F59*4.11)</f>
        <v>205.50000000000003</v>
      </c>
      <c r="AE59" s="25">
        <v>547.26</v>
      </c>
      <c r="AF59" s="25">
        <f>V59+Y59+Z59+AA59+AB59+AC59+AD59</f>
        <v>263124.74000000005</v>
      </c>
      <c r="AG59" s="25">
        <f>IFERROR(IFERROR((H59*W59*J59/15)-AE59,""),"")</f>
        <v>273087.13733333338</v>
      </c>
      <c r="AH59" s="26">
        <f>IFERROR(AG59-AF59,"")</f>
        <v>9962.397333333327</v>
      </c>
      <c r="AI59" s="6">
        <f>IF(F59="",(G59/$F$89)*$AL$23,(F59/$F$89)*$AL$23)</f>
        <v>62.652068126520682</v>
      </c>
      <c r="AJ59" s="6">
        <f>(AH59-AI59)*70%</f>
        <v>6929.8216856447634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199.24794666666654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3.6480653869732087E-2</v>
      </c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45121</v>
      </c>
      <c r="B64" s="21" t="s">
        <v>330</v>
      </c>
      <c r="C64" s="21" t="s">
        <v>124</v>
      </c>
      <c r="D64" s="153">
        <v>152049</v>
      </c>
      <c r="E64" s="44"/>
      <c r="F64" s="21">
        <v>50</v>
      </c>
      <c r="G64" s="21"/>
      <c r="H64" s="22">
        <v>27200</v>
      </c>
      <c r="I64" s="33">
        <v>0.53</v>
      </c>
      <c r="J64" s="24">
        <f>IFERROR(K64/H64,"")</f>
        <v>0.54086397058823532</v>
      </c>
      <c r="K64" s="22">
        <v>14711.5</v>
      </c>
      <c r="L64" s="21"/>
      <c r="M64" s="21">
        <v>1</v>
      </c>
      <c r="N64" s="21">
        <v>15</v>
      </c>
      <c r="O64" s="21">
        <v>31</v>
      </c>
      <c r="P64" s="21">
        <v>3</v>
      </c>
      <c r="Q64" s="21"/>
      <c r="R64" s="21"/>
      <c r="S64" s="21"/>
      <c r="T64" s="21"/>
      <c r="U64" s="25">
        <v>240</v>
      </c>
      <c r="V64" s="25">
        <f>H64*U64*I64/15</f>
        <v>230656</v>
      </c>
      <c r="W64" s="142">
        <v>253.02</v>
      </c>
      <c r="X64" s="25">
        <v>248156.01</v>
      </c>
      <c r="Y64" s="25">
        <f>(G64*60)+(F64*60)</f>
        <v>3000</v>
      </c>
      <c r="Z64" s="25">
        <v>9780.7800000000007</v>
      </c>
      <c r="AA64" s="25">
        <v>0</v>
      </c>
      <c r="AB64" s="25">
        <v>1200</v>
      </c>
      <c r="AC64" s="25">
        <f>G64*35+F64*38</f>
        <v>1900</v>
      </c>
      <c r="AD64" s="25">
        <f>IF(F64="",G64*4.11,F64*4.11)</f>
        <v>205.50000000000003</v>
      </c>
      <c r="AE64" s="25">
        <v>496.31</v>
      </c>
      <c r="AF64" s="25">
        <f>V64+Y64+Z64+AA64+AB64+AC64+AD64</f>
        <v>246742.28</v>
      </c>
      <c r="AG64" s="25">
        <f>IFERROR(IFERROR((H64*W64*J64/15)-AE64,""),"")</f>
        <v>247657.272</v>
      </c>
      <c r="AH64" s="26">
        <f>IFERROR(AG64-AF64,"")</f>
        <v>914.99199999999837</v>
      </c>
      <c r="AI64" s="6">
        <f>IF(F64="",(G64/$F$89)*$AL$23,(F64/$F$89)*$AL$23)</f>
        <v>62.652068126520682</v>
      </c>
      <c r="AJ64" s="6">
        <f>(AH64-AI64)*70%</f>
        <v>596.63795231143433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18.299839999999968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3.6945896747178834E-3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/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45118</v>
      </c>
      <c r="B69" s="21" t="s">
        <v>563</v>
      </c>
      <c r="C69" s="21" t="s">
        <v>257</v>
      </c>
      <c r="D69" s="44">
        <v>151841</v>
      </c>
      <c r="E69" s="44"/>
      <c r="F69" s="21"/>
      <c r="G69" s="98">
        <v>65</v>
      </c>
      <c r="H69" s="22">
        <v>24100</v>
      </c>
      <c r="I69" s="33">
        <v>0.5</v>
      </c>
      <c r="J69" s="24">
        <f>IFERROR(K69/H69,"")</f>
        <v>0.49018672199170127</v>
      </c>
      <c r="K69" s="22">
        <v>11813.5</v>
      </c>
      <c r="L69" s="21">
        <v>13</v>
      </c>
      <c r="M69" s="21">
        <v>41</v>
      </c>
      <c r="N69" s="21">
        <v>10</v>
      </c>
      <c r="O69" s="21">
        <v>1</v>
      </c>
      <c r="P69" s="21"/>
      <c r="Q69" s="21"/>
      <c r="R69" s="21"/>
      <c r="S69" s="21"/>
      <c r="T69" s="21"/>
      <c r="U69" s="25">
        <v>220</v>
      </c>
      <c r="V69" s="25">
        <f>H69*U69*I69/15</f>
        <v>176733.33333333334</v>
      </c>
      <c r="W69" s="25">
        <v>261.33999999999997</v>
      </c>
      <c r="X69" s="25">
        <v>205824.63</v>
      </c>
      <c r="Y69" s="25">
        <f>(G69*60)+(F69*60)</f>
        <v>3900</v>
      </c>
      <c r="Z69" s="25">
        <v>12273.66</v>
      </c>
      <c r="AA69" s="25">
        <v>0</v>
      </c>
      <c r="AB69" s="25">
        <v>1430</v>
      </c>
      <c r="AC69" s="25">
        <f>G69*35+F69*38</f>
        <v>2275</v>
      </c>
      <c r="AD69" s="25">
        <f>IF(F69="",G69*4.11,F69*4.11)</f>
        <v>267.15000000000003</v>
      </c>
      <c r="AE69" s="25">
        <v>411.64</v>
      </c>
      <c r="AF69" s="25">
        <f>V69+Y69+Z69+AA69+AB69+AC69+AD69</f>
        <v>196879.14333333334</v>
      </c>
      <c r="AG69" s="25">
        <f>IFERROR(IFERROR((H69*W69*J69/15)-AE69,""),"")</f>
        <v>205411.03266666664</v>
      </c>
      <c r="AH69" s="26">
        <f>IFERROR(AG69-AF69,"")</f>
        <v>8531.8893333332962</v>
      </c>
      <c r="AI69" s="6">
        <f>IF(F69="",(G69/$F$89)*$AL$23,(F69/$F$89)*$AL$23)</f>
        <v>81.447688564476891</v>
      </c>
      <c r="AJ69" s="6">
        <f>(AH69-AI69)*70%</f>
        <v>5915.3091513381733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131.25983589743532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4.1535691742412534E-2</v>
      </c>
      <c r="AI71" s="6"/>
      <c r="AJ71" s="6"/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/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45118</v>
      </c>
      <c r="B74" s="21" t="s">
        <v>563</v>
      </c>
      <c r="C74" s="21" t="s">
        <v>257</v>
      </c>
      <c r="D74" s="44">
        <v>151840</v>
      </c>
      <c r="E74" s="44"/>
      <c r="F74" s="21"/>
      <c r="G74" s="98">
        <v>65</v>
      </c>
      <c r="H74" s="22">
        <v>24380</v>
      </c>
      <c r="I74" s="33">
        <v>0.5</v>
      </c>
      <c r="J74" s="24">
        <f>IFERROR(K74/H74,"")</f>
        <v>0.49157095980311732</v>
      </c>
      <c r="K74" s="22">
        <v>11984.5</v>
      </c>
      <c r="L74" s="21">
        <v>16</v>
      </c>
      <c r="M74" s="21">
        <v>41</v>
      </c>
      <c r="N74" s="21">
        <v>8</v>
      </c>
      <c r="O74" s="21"/>
      <c r="P74" s="21"/>
      <c r="Q74" s="21"/>
      <c r="R74" s="21"/>
      <c r="S74" s="21"/>
      <c r="T74" s="21"/>
      <c r="U74" s="25">
        <v>220</v>
      </c>
      <c r="V74" s="25">
        <f>H74*U74*I74/15</f>
        <v>178786.66666666666</v>
      </c>
      <c r="W74" s="25">
        <v>262.14999999999998</v>
      </c>
      <c r="X74" s="25">
        <v>209447.14</v>
      </c>
      <c r="Y74" s="25">
        <f>(G74*60)+(F74*60)</f>
        <v>3900</v>
      </c>
      <c r="Z74" s="25">
        <v>12273.66</v>
      </c>
      <c r="AA74" s="25">
        <v>0</v>
      </c>
      <c r="AB74" s="25">
        <v>1430</v>
      </c>
      <c r="AC74" s="25">
        <f>G74*35+F74*38</f>
        <v>2275</v>
      </c>
      <c r="AD74" s="25">
        <f>IF(F74="",G74*4.11,F74*4.11)</f>
        <v>267.15000000000003</v>
      </c>
      <c r="AE74" s="25">
        <v>418.9</v>
      </c>
      <c r="AF74" s="25">
        <f>V74+Y74+Z74+AA74+AB74+AC74+AD74</f>
        <v>198932.47666666665</v>
      </c>
      <c r="AG74" s="25">
        <f>IFERROR(IFERROR((H74*W74*J74/15)-AE74,""),"")</f>
        <v>209030.21166666667</v>
      </c>
      <c r="AH74" s="26">
        <f>IFERROR(AG74-AF74,"")</f>
        <v>10097.735000000015</v>
      </c>
      <c r="AI74" s="6">
        <f>IF(F74="",(G74/$F$89)*$AL$23,(F74/$F$89)*$AL$23)</f>
        <v>81.447688564476891</v>
      </c>
      <c r="AJ74" s="6">
        <f>(AH74-AI74)*70%</f>
        <v>7011.4011180048765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155.34976923076945</v>
      </c>
      <c r="AI75" s="6"/>
      <c r="AJ75" s="6"/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4.8307538510760958E-2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47"/>
      <c r="AJ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/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>
        <v>45119</v>
      </c>
      <c r="B79" s="21" t="s">
        <v>330</v>
      </c>
      <c r="C79" s="21" t="s">
        <v>124</v>
      </c>
      <c r="D79" s="44">
        <v>151984</v>
      </c>
      <c r="E79" s="44"/>
      <c r="F79" s="21"/>
      <c r="G79" s="91">
        <v>60</v>
      </c>
      <c r="H79" s="22">
        <v>23480</v>
      </c>
      <c r="I79" s="33">
        <v>0.5</v>
      </c>
      <c r="J79" s="24">
        <f>IFERROR(K79/H79,"")</f>
        <v>0.45907155025553664</v>
      </c>
      <c r="K79" s="22">
        <v>10779</v>
      </c>
      <c r="L79" s="21">
        <v>9</v>
      </c>
      <c r="M79" s="21">
        <v>35</v>
      </c>
      <c r="N79" s="21">
        <v>16</v>
      </c>
      <c r="O79" s="21"/>
      <c r="P79" s="21"/>
      <c r="Q79" s="21"/>
      <c r="R79" s="21"/>
      <c r="S79" s="21"/>
      <c r="T79" s="21"/>
      <c r="U79" s="25">
        <v>215</v>
      </c>
      <c r="V79" s="25">
        <f>H79*U79*I79/15</f>
        <v>168273.33333333334</v>
      </c>
      <c r="W79" s="25">
        <v>257.63</v>
      </c>
      <c r="X79" s="25">
        <v>185132.55</v>
      </c>
      <c r="Y79" s="25">
        <f>(G79*60)+(F79*60)</f>
        <v>3600</v>
      </c>
      <c r="Z79" s="25">
        <v>8929.09</v>
      </c>
      <c r="AA79" s="25">
        <v>0</v>
      </c>
      <c r="AB79" s="25">
        <f>G79*21.5</f>
        <v>1290</v>
      </c>
      <c r="AC79" s="25">
        <f>G79*35+F79*38</f>
        <v>2100</v>
      </c>
      <c r="AD79" s="25">
        <f>IF(F79="",G79*4.11,F79*4.11)</f>
        <v>246.60000000000002</v>
      </c>
      <c r="AE79" s="25">
        <v>370.28</v>
      </c>
      <c r="AF79" s="25">
        <f>V79+Y79+Z79+AA79+AB79+AC79+AD79</f>
        <v>184439.02333333335</v>
      </c>
      <c r="AG79" s="25">
        <f>IFERROR(IFERROR((H79*W79*J79/15)-AE79,""),"")</f>
        <v>184762.63800000001</v>
      </c>
      <c r="AH79" s="26">
        <f>IFERROR(AG79-AF79,"")</f>
        <v>323.61466666666092</v>
      </c>
      <c r="AI79" s="6">
        <f>IF(F79="",(G79/$F$89)*$AL$23,(F79/$F$89)*$AL$23)</f>
        <v>75.18248175182481</v>
      </c>
      <c r="AJ79" s="6">
        <f>(AH79-AI79)*70%</f>
        <v>173.90252944038528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5.3935777777776819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>
        <f>IFERROR(AH79/AG79,"")</f>
        <v>1.7515157294228549E-3</v>
      </c>
      <c r="AI81" s="6"/>
      <c r="AJ81" s="6"/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/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>
        <v>45119</v>
      </c>
      <c r="B84" s="21" t="s">
        <v>330</v>
      </c>
      <c r="C84" s="21" t="s">
        <v>124</v>
      </c>
      <c r="D84" s="44">
        <v>9067</v>
      </c>
      <c r="E84" s="44"/>
      <c r="F84" s="21"/>
      <c r="G84" s="91">
        <v>1</v>
      </c>
      <c r="H84" s="22">
        <v>374.66</v>
      </c>
      <c r="I84" s="33">
        <v>0.5</v>
      </c>
      <c r="J84" s="24">
        <f>IFERROR(K84/H84,"")</f>
        <v>0.42972294880691825</v>
      </c>
      <c r="K84" s="22">
        <v>161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215</v>
      </c>
      <c r="V84" s="25">
        <f>H84*U84*I84/15</f>
        <v>2685.0633333333335</v>
      </c>
      <c r="W84" s="25">
        <v>220</v>
      </c>
      <c r="X84" s="25">
        <v>2361</v>
      </c>
      <c r="Y84" s="25">
        <f>G84*60</f>
        <v>60</v>
      </c>
      <c r="Z84" s="25">
        <v>151.34</v>
      </c>
      <c r="AA84" s="25">
        <v>0</v>
      </c>
      <c r="AB84" s="25">
        <f>G84*21.5</f>
        <v>21.5</v>
      </c>
      <c r="AC84" s="25">
        <f>G84*38</f>
        <v>38</v>
      </c>
      <c r="AD84" s="25">
        <f>IF(F84="",G84*4.11,F84*4.11)</f>
        <v>4.1100000000000003</v>
      </c>
      <c r="AE84" s="25">
        <v>0</v>
      </c>
      <c r="AF84" s="25">
        <f>V84+Y84+Z84+AA84+AB84+AC84+AD84</f>
        <v>2960.0133333333338</v>
      </c>
      <c r="AG84" s="25">
        <f>IFERROR(IFERROR((H84*W84*J84/15)-AE84,""),"")</f>
        <v>2361.3333333333335</v>
      </c>
      <c r="AH84" s="26">
        <f>IFERROR(AG84-AF84,"")</f>
        <v>-598.68000000000029</v>
      </c>
      <c r="AI84" s="6">
        <f>IF(F84="",(G84/$F$89)*$AL$23,(F84/$F$89)*$AL$23)</f>
        <v>1.2530413625304138</v>
      </c>
      <c r="AJ84" s="6">
        <f>(AH84-AI84)*70%</f>
        <v>-419.95312895377151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-598.68000000000029</v>
      </c>
      <c r="AI85" s="6"/>
      <c r="AJ85" s="6"/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>
        <f>IFERROR(AH84/AG84,"")</f>
        <v>-0.25353472614342193</v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  <c r="AI87" s="47"/>
      <c r="AJ87" s="47"/>
    </row>
    <row r="88" spans="1:36" ht="15" customHeight="1" thickBot="1" x14ac:dyDescent="0.4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47"/>
      <c r="AI88" s="47"/>
      <c r="AJ88" s="47"/>
    </row>
    <row r="89" spans="1:36" ht="16" thickBot="1" x14ac:dyDescent="0.4">
      <c r="A89" s="377" t="s">
        <v>594</v>
      </c>
      <c r="B89" s="378"/>
      <c r="C89" s="378"/>
      <c r="D89" s="378"/>
      <c r="E89" s="378"/>
      <c r="F89" s="30">
        <f>SUM(F4:G84)</f>
        <v>822</v>
      </c>
      <c r="G89" s="30"/>
      <c r="H89" s="30"/>
      <c r="I89" s="30"/>
      <c r="J89" s="30"/>
      <c r="K89" s="30"/>
      <c r="L89" s="46"/>
      <c r="M89" s="46"/>
      <c r="N89" s="46"/>
      <c r="O89" s="46"/>
      <c r="P89" s="46"/>
      <c r="Q89" s="46"/>
      <c r="R89" s="46"/>
      <c r="S89" s="46"/>
      <c r="T89" s="46"/>
      <c r="U89" s="30"/>
      <c r="V89" s="31">
        <f>V4+V9+V14+V19+V24+V29+V34+V39+V44+V49+V54+V59+V64+V69+V74+V79+V84</f>
        <v>2562231.9853166668</v>
      </c>
      <c r="W89" s="31"/>
      <c r="X89" s="31"/>
      <c r="Y89" s="31">
        <f t="shared" ref="Y89:AJ89" si="0">Y4+Y9+Y14+Y19+Y24+Y29+Y34+Y39+Y44+Y49+Y54+Y59+Y64+Y69+Y74+Y79+Y84</f>
        <v>49320</v>
      </c>
      <c r="Z89" s="31">
        <f t="shared" si="0"/>
        <v>135086.50000000003</v>
      </c>
      <c r="AA89" s="31">
        <f t="shared" si="0"/>
        <v>0</v>
      </c>
      <c r="AB89" s="31">
        <f t="shared" si="0"/>
        <v>18044.5</v>
      </c>
      <c r="AC89" s="31">
        <f t="shared" si="0"/>
        <v>29313</v>
      </c>
      <c r="AD89" s="31">
        <f t="shared" si="0"/>
        <v>3378.42</v>
      </c>
      <c r="AE89" s="31">
        <f t="shared" si="0"/>
        <v>5987.37</v>
      </c>
      <c r="AF89" s="31">
        <f t="shared" si="0"/>
        <v>2797374.4053166667</v>
      </c>
      <c r="AG89" s="31">
        <f t="shared" si="0"/>
        <v>2987811.3086866662</v>
      </c>
      <c r="AH89" s="31">
        <f t="shared" si="0"/>
        <v>190436.90337000007</v>
      </c>
      <c r="AI89" s="31">
        <f t="shared" si="0"/>
        <v>1030</v>
      </c>
      <c r="AJ89" s="31">
        <f t="shared" si="0"/>
        <v>132584.83235900002</v>
      </c>
    </row>
    <row r="91" spans="1:36" x14ac:dyDescent="0.35">
      <c r="AI91" s="6"/>
    </row>
  </sheetData>
  <mergeCells count="2">
    <mergeCell ref="U2:AC2"/>
    <mergeCell ref="A89:E89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70"/>
  <dimension ref="A1:AN104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5" width="12.453125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customWidth="1"/>
    <col min="39" max="39" width="18" customWidth="1"/>
    <col min="40" max="40" width="13.179687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AF104</f>
        <v>4034504.3253999995</v>
      </c>
      <c r="AM3" s="164">
        <f>AH104-AI104</f>
        <v>244680.20593333329</v>
      </c>
    </row>
    <row r="4" spans="1:40" x14ac:dyDescent="0.35">
      <c r="A4" s="20">
        <v>45122</v>
      </c>
      <c r="B4" s="21" t="s">
        <v>330</v>
      </c>
      <c r="C4" s="21" t="s">
        <v>600</v>
      </c>
      <c r="D4" s="69">
        <v>152057</v>
      </c>
      <c r="E4" s="44"/>
      <c r="F4" s="21">
        <v>50</v>
      </c>
      <c r="G4" s="21"/>
      <c r="H4" s="22">
        <v>28240</v>
      </c>
      <c r="I4" s="33">
        <v>0.53</v>
      </c>
      <c r="J4" s="24">
        <f>IFERROR(K4/H4,"")</f>
        <v>0.52590297450424928</v>
      </c>
      <c r="K4" s="22">
        <v>14851.5</v>
      </c>
      <c r="L4" s="21"/>
      <c r="M4" s="21">
        <v>1</v>
      </c>
      <c r="N4" s="21">
        <v>13</v>
      </c>
      <c r="O4" s="21">
        <v>35</v>
      </c>
      <c r="P4" s="21">
        <v>1</v>
      </c>
      <c r="Q4" s="21"/>
      <c r="R4" s="21"/>
      <c r="S4" s="21"/>
      <c r="T4" s="21"/>
      <c r="U4" s="25">
        <v>230</v>
      </c>
      <c r="V4" s="25">
        <f>H4*U4*I4/15</f>
        <v>229497.06666666668</v>
      </c>
      <c r="W4" s="142">
        <v>247.87</v>
      </c>
      <c r="X4" s="25">
        <v>245423.31</v>
      </c>
      <c r="Y4" s="25">
        <f>(G4*60)+(F4*60)</f>
        <v>3000</v>
      </c>
      <c r="Z4" s="25">
        <v>8097.8</v>
      </c>
      <c r="AA4" s="25">
        <v>0</v>
      </c>
      <c r="AB4" s="25">
        <v>1150</v>
      </c>
      <c r="AC4" s="25">
        <f>G4*35+F4*38</f>
        <v>1900</v>
      </c>
      <c r="AD4" s="25">
        <f>IF(F4="",G4*4.11,F4*4.11)</f>
        <v>205.50000000000003</v>
      </c>
      <c r="AE4" s="25">
        <v>490.84</v>
      </c>
      <c r="AF4" s="25">
        <f>V4+Y4+Z4+AA4+AB4+AC4+AD4</f>
        <v>243850.36666666667</v>
      </c>
      <c r="AG4" s="25">
        <f>IFERROR(IFERROR((H4*W4*J4/15)-AE4,""),"")</f>
        <v>244925.24699999997</v>
      </c>
      <c r="AH4" s="26">
        <f>IFERROR(AG4-AF4,"")</f>
        <v>1074.8803333333053</v>
      </c>
      <c r="AI4" s="6">
        <f>IF(F4="",(G4/$F$104)*$AL$23,(F4/$F$104)*$AL$23)</f>
        <v>41.24656278643446</v>
      </c>
      <c r="AJ4" s="6">
        <f>(AH4-AI4)*70%</f>
        <v>723.5436393828096</v>
      </c>
      <c r="AL4" s="166" t="s">
        <v>749</v>
      </c>
      <c r="AM4" s="167">
        <f>AM3/AL3</f>
        <v>6.0646906335656128E-2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21.497606666666105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4.3886056929578416E-3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/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45122</v>
      </c>
      <c r="B9" s="21" t="s">
        <v>330</v>
      </c>
      <c r="C9" s="21" t="s">
        <v>600</v>
      </c>
      <c r="D9" s="69">
        <v>151584</v>
      </c>
      <c r="E9" s="44"/>
      <c r="F9" s="21">
        <v>50</v>
      </c>
      <c r="G9" s="21"/>
      <c r="H9" s="22">
        <v>28120</v>
      </c>
      <c r="I9" s="33">
        <v>0.53</v>
      </c>
      <c r="J9" s="24">
        <f>IFERROR(K9/H9,"")</f>
        <v>0.51833214793741111</v>
      </c>
      <c r="K9" s="22">
        <v>14575.5</v>
      </c>
      <c r="L9" s="21"/>
      <c r="M9" s="21">
        <v>2</v>
      </c>
      <c r="N9" s="21">
        <v>14</v>
      </c>
      <c r="O9" s="21">
        <v>30</v>
      </c>
      <c r="P9" s="21">
        <v>4</v>
      </c>
      <c r="Q9" s="21"/>
      <c r="R9" s="21"/>
      <c r="S9" s="21"/>
      <c r="T9" s="21"/>
      <c r="U9" s="25">
        <v>230</v>
      </c>
      <c r="V9" s="25">
        <f>H9*U9*I9/15</f>
        <v>228521.86666666667</v>
      </c>
      <c r="W9" s="142">
        <v>251.93</v>
      </c>
      <c r="X9" s="25">
        <v>244081.3</v>
      </c>
      <c r="Y9" s="25">
        <f>(G9*60)+(F9*60)</f>
        <v>3000</v>
      </c>
      <c r="Z9" s="25">
        <v>8097.8</v>
      </c>
      <c r="AA9" s="25">
        <v>0</v>
      </c>
      <c r="AB9" s="25">
        <v>1150</v>
      </c>
      <c r="AC9" s="25">
        <f>G9*35+F9*38</f>
        <v>1900</v>
      </c>
      <c r="AD9" s="25">
        <f>IF(F9="",G9*4.11,F9*4.11)</f>
        <v>205.50000000000003</v>
      </c>
      <c r="AE9" s="25">
        <v>488.16</v>
      </c>
      <c r="AF9" s="25">
        <f>V9+Y9+Z9+AA9+AB9+AC9+AD9</f>
        <v>242875.16666666666</v>
      </c>
      <c r="AG9" s="25">
        <f>IFERROR(IFERROR((H9*W9*J9/15)-AE9,""),"")</f>
        <v>244312.22100000002</v>
      </c>
      <c r="AH9" s="26">
        <f>IFERROR(AG9-AF9,"")</f>
        <v>1437.0543333333626</v>
      </c>
      <c r="AI9" s="6">
        <f>IF(F9="",(G9/$F$104)*$AL$23,(F9/$F$104)*$AL$23)</f>
        <v>41.24656278643446</v>
      </c>
      <c r="AJ9" s="6">
        <f>(AH9-AI9)*70%</f>
        <v>977.0654393828496</v>
      </c>
      <c r="AK9" t="s">
        <v>580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28.74108666666725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5.882040314853355E-3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/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45122</v>
      </c>
      <c r="B14" s="21" t="s">
        <v>330</v>
      </c>
      <c r="C14" s="21" t="s">
        <v>600</v>
      </c>
      <c r="D14" s="69">
        <v>151588</v>
      </c>
      <c r="E14" s="44"/>
      <c r="F14" s="21">
        <v>50</v>
      </c>
      <c r="G14" s="21"/>
      <c r="H14" s="22">
        <v>27784.31</v>
      </c>
      <c r="I14" s="33">
        <v>0.53</v>
      </c>
      <c r="J14" s="24">
        <f>IFERROR(K14/H14,"")</f>
        <v>0.49927459058727747</v>
      </c>
      <c r="K14" s="22">
        <v>13872</v>
      </c>
      <c r="L14" s="21"/>
      <c r="M14" s="21"/>
      <c r="N14" s="21">
        <v>16</v>
      </c>
      <c r="O14" s="21">
        <v>31</v>
      </c>
      <c r="P14" s="21">
        <v>3</v>
      </c>
      <c r="Q14" s="21"/>
      <c r="R14" s="21"/>
      <c r="S14" s="21"/>
      <c r="T14" s="21"/>
      <c r="U14" s="25">
        <v>230</v>
      </c>
      <c r="V14" s="25">
        <f>H14*U14*I14/15</f>
        <v>225793.82593333337</v>
      </c>
      <c r="W14" s="142">
        <v>253.19</v>
      </c>
      <c r="X14" s="25">
        <v>234151.62</v>
      </c>
      <c r="Y14" s="25">
        <f>(G14*60)+(F14*60)</f>
        <v>3000</v>
      </c>
      <c r="Z14" s="25">
        <v>8097.8</v>
      </c>
      <c r="AA14" s="25">
        <v>0</v>
      </c>
      <c r="AB14" s="25">
        <v>1150</v>
      </c>
      <c r="AC14" s="25">
        <f>G14*35+F14*38</f>
        <v>1900</v>
      </c>
      <c r="AD14" s="25">
        <f>IF(F14="",G14*4.11,F14*4.11)</f>
        <v>205.50000000000003</v>
      </c>
      <c r="AE14" s="25">
        <v>468.31</v>
      </c>
      <c r="AF14" s="25">
        <f>V14+Y14+Z14+AA14+AB14+AC14+AD14</f>
        <v>240147.12593333336</v>
      </c>
      <c r="AG14" s="25">
        <f>IFERROR(IFERROR((H14*W14*J14/15)-AE14,""),"")</f>
        <v>233681.802</v>
      </c>
      <c r="AH14" s="26">
        <f>IFERROR(AG14-AF14,"")</f>
        <v>-6465.3239333333622</v>
      </c>
      <c r="AI14" s="6">
        <f>IF(F14="",(G14/$F$104)*$AL$23,(F14/$F$104)*$AL$23)</f>
        <v>41.24656278643446</v>
      </c>
      <c r="AJ14" s="6">
        <f>(AH14-AI14)*70%</f>
        <v>-4554.5993472838572</v>
      </c>
      <c r="AL14">
        <f>F4+G4+F9+G9+F14+G14+F19+G19+F24+G24+F29+G29+F34+G34+F39+G39+F44+G44+F49+G49+F59+G59+F64+G64+F54+G54+F69+G69+F74+G74+F79+G79+F84+G84+F89+G89+F94+G94+F99+G99</f>
        <v>1091</v>
      </c>
      <c r="AM14" s="50" t="s">
        <v>22</v>
      </c>
      <c r="AN14" t="s">
        <v>71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-129.30647866666723</v>
      </c>
      <c r="AL15" s="11">
        <f>AH4+AH9+AH14+AH19+AH24+AH29+AH34+AH39+AH44+AH49+AH59+AH64+AH69+AH54+AH74+AH79+AH84+AH89+AH94+AH99</f>
        <v>245580.20593333329</v>
      </c>
      <c r="AM15" s="11">
        <f>AL15*30%</f>
        <v>73674.061779999989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-2.7667211900965067E-2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/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211" t="s">
        <v>680</v>
      </c>
      <c r="AN18" s="191"/>
    </row>
    <row r="19" spans="1:40" x14ac:dyDescent="0.35">
      <c r="A19" s="20">
        <v>45122</v>
      </c>
      <c r="B19" s="21" t="s">
        <v>330</v>
      </c>
      <c r="C19" s="21" t="s">
        <v>600</v>
      </c>
      <c r="D19" s="69">
        <v>152054</v>
      </c>
      <c r="E19" s="44"/>
      <c r="F19" s="21">
        <v>50</v>
      </c>
      <c r="G19" s="21"/>
      <c r="H19" s="22">
        <v>28080</v>
      </c>
      <c r="I19" s="33">
        <v>0.53</v>
      </c>
      <c r="J19" s="24">
        <f>IFERROR(K19/H19,"")</f>
        <v>0.51556267806267808</v>
      </c>
      <c r="K19" s="22">
        <v>14477</v>
      </c>
      <c r="L19" s="21"/>
      <c r="M19" s="21">
        <v>1</v>
      </c>
      <c r="N19" s="21">
        <v>14</v>
      </c>
      <c r="O19" s="21">
        <v>31</v>
      </c>
      <c r="P19" s="21">
        <v>4</v>
      </c>
      <c r="Q19" s="21"/>
      <c r="R19" s="21"/>
      <c r="S19" s="21"/>
      <c r="T19" s="21"/>
      <c r="U19" s="25">
        <v>230</v>
      </c>
      <c r="V19" s="25">
        <f>H19*U19*I19/15</f>
        <v>228196.8</v>
      </c>
      <c r="W19" s="142">
        <v>249.66</v>
      </c>
      <c r="X19" s="25">
        <v>240965.8</v>
      </c>
      <c r="Y19" s="25">
        <f>(G19*60)+(F19*60)</f>
        <v>3000</v>
      </c>
      <c r="Z19" s="25">
        <v>8097.8</v>
      </c>
      <c r="AA19" s="25">
        <v>0</v>
      </c>
      <c r="AB19" s="25">
        <v>1150</v>
      </c>
      <c r="AC19" s="25">
        <f>G19*35+F19*38</f>
        <v>1900</v>
      </c>
      <c r="AD19" s="25">
        <f>IF(F19="",G19*4.11,F19*4.11)</f>
        <v>205.50000000000003</v>
      </c>
      <c r="AE19" s="25">
        <v>481.92</v>
      </c>
      <c r="AF19" s="25">
        <f>V19+Y19+Z19+AA19+AB19+AC19+AD19</f>
        <v>242550.09999999998</v>
      </c>
      <c r="AG19" s="25">
        <f>IFERROR(IFERROR((H19*W19*J19/15)-AE19,""),"")</f>
        <v>240473.26799999998</v>
      </c>
      <c r="AH19" s="26">
        <f>IFERROR(AG19-AF19,"")</f>
        <v>-2076.8319999999949</v>
      </c>
      <c r="AI19" s="6">
        <f>IF(F19="",(G19/$F$104)*$AL$23,(F19/$F$104)*$AL$23)</f>
        <v>41.24656278643446</v>
      </c>
      <c r="AJ19" s="6">
        <f>(AH19-AI19)*70%</f>
        <v>-1482.6549939505005</v>
      </c>
      <c r="AL19" s="178">
        <v>900</v>
      </c>
      <c r="AM19" s="6" t="s">
        <v>386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-41.536639999999899</v>
      </c>
      <c r="AL20" s="178">
        <f>42000-42000</f>
        <v>0</v>
      </c>
      <c r="AM20" s="6" t="s">
        <v>605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-8.6364360466045439E-3</v>
      </c>
      <c r="AL21" s="178">
        <f>57000-57000</f>
        <v>0</v>
      </c>
      <c r="AM21" s="6" t="s">
        <v>606</v>
      </c>
      <c r="AN21" s="174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3"/>
      <c r="AA22" s="21"/>
      <c r="AB22" s="21"/>
      <c r="AC22" s="21"/>
      <c r="AD22" s="21"/>
      <c r="AE22" s="21"/>
      <c r="AF22" s="21"/>
      <c r="AG22" s="21"/>
      <c r="AH22" s="24"/>
      <c r="AL22" s="178"/>
      <c r="AM22" s="6"/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/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214">
        <f>SUM(AL19:AL22)</f>
        <v>900</v>
      </c>
      <c r="AM23" s="189" t="s">
        <v>682</v>
      </c>
      <c r="AN23" s="191"/>
    </row>
    <row r="24" spans="1:40" x14ac:dyDescent="0.35">
      <c r="A24" s="20">
        <v>45122</v>
      </c>
      <c r="B24" s="21" t="s">
        <v>330</v>
      </c>
      <c r="C24" s="21" t="s">
        <v>600</v>
      </c>
      <c r="D24" s="44">
        <v>8991</v>
      </c>
      <c r="E24" s="44"/>
      <c r="F24" s="21">
        <v>1</v>
      </c>
      <c r="G24" s="21"/>
      <c r="H24" s="22">
        <v>555.67999999999995</v>
      </c>
      <c r="I24" s="33">
        <v>0.53</v>
      </c>
      <c r="J24" s="24">
        <f>IFERROR(K24/H24,"")</f>
        <v>0.44270083501295715</v>
      </c>
      <c r="K24" s="22">
        <v>246</v>
      </c>
      <c r="L24" s="21"/>
      <c r="M24" s="21"/>
      <c r="N24" s="21"/>
      <c r="O24" s="21"/>
      <c r="P24" s="21"/>
      <c r="Q24" s="21"/>
      <c r="R24" s="21"/>
      <c r="S24" s="21"/>
      <c r="T24" s="21"/>
      <c r="U24" s="25">
        <v>230</v>
      </c>
      <c r="V24" s="25">
        <f>H24*U24*I24/15</f>
        <v>4515.8261333333339</v>
      </c>
      <c r="W24" s="25">
        <v>216</v>
      </c>
      <c r="X24" s="25">
        <v>3542.4</v>
      </c>
      <c r="Y24" s="25">
        <v>0</v>
      </c>
      <c r="Z24" s="25">
        <v>161.96</v>
      </c>
      <c r="AA24" s="25">
        <v>0</v>
      </c>
      <c r="AB24" s="25">
        <v>23</v>
      </c>
      <c r="AC24" s="25">
        <v>0</v>
      </c>
      <c r="AD24" s="25">
        <f>IF(F24="",G24*4.11,F24*4.11)</f>
        <v>4.1100000000000003</v>
      </c>
      <c r="AE24" s="25">
        <v>0</v>
      </c>
      <c r="AF24" s="25">
        <f>V24+Y24+Z24+AA24+AB24+AC24+AD24</f>
        <v>4704.8961333333336</v>
      </c>
      <c r="AG24" s="25">
        <f>IFERROR(IFERROR((H24*W24*J24/15)-AE24,""),"")</f>
        <v>3542.4</v>
      </c>
      <c r="AH24" s="26">
        <f>IFERROR(AG24-AF24,"")</f>
        <v>-1162.4961333333335</v>
      </c>
      <c r="AI24" s="6">
        <f>IF(F24="",(G24/$F$104)*$AL$23,(F24/$F$104)*$AL$23)</f>
        <v>0.82493125572868931</v>
      </c>
      <c r="AJ24" s="6">
        <f>(AH24-AI24)*70%</f>
        <v>-814.32474521234349</v>
      </c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-1162.4961333333335</v>
      </c>
      <c r="AL25" s="11">
        <f>AL15-AL23</f>
        <v>244680.20593333329</v>
      </c>
      <c r="AM25" s="11" t="s">
        <v>471</v>
      </c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-0.32816625263474863</v>
      </c>
      <c r="AL26" s="59">
        <f>AL25*30%</f>
        <v>73404.061779999989</v>
      </c>
      <c r="AM26" s="130" t="s">
        <v>499</v>
      </c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/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</row>
    <row r="29" spans="1:40" x14ac:dyDescent="0.35">
      <c r="A29" s="20">
        <v>45123</v>
      </c>
      <c r="B29" s="21" t="s">
        <v>330</v>
      </c>
      <c r="C29" s="21" t="s">
        <v>346</v>
      </c>
      <c r="D29" s="44">
        <v>151591</v>
      </c>
      <c r="E29" s="44"/>
      <c r="F29" s="21"/>
      <c r="G29" s="21">
        <v>60</v>
      </c>
      <c r="H29" s="22">
        <v>26800</v>
      </c>
      <c r="I29" s="33">
        <v>0.5</v>
      </c>
      <c r="J29" s="24">
        <f>IFERROR(K29/H29,"")</f>
        <v>0.50358208955223882</v>
      </c>
      <c r="K29" s="22">
        <v>13496</v>
      </c>
      <c r="L29" s="21"/>
      <c r="M29" s="21">
        <v>23</v>
      </c>
      <c r="N29" s="21">
        <v>36</v>
      </c>
      <c r="O29" s="21">
        <v>1</v>
      </c>
      <c r="P29" s="21"/>
      <c r="Q29" s="21"/>
      <c r="R29" s="21"/>
      <c r="S29" s="21"/>
      <c r="T29" s="21"/>
      <c r="U29" s="25">
        <v>220</v>
      </c>
      <c r="V29" s="25">
        <f>H29*U29*I29/15</f>
        <v>196533.33333333334</v>
      </c>
      <c r="W29" s="25">
        <v>265.25</v>
      </c>
      <c r="X29" s="25">
        <v>238657.48</v>
      </c>
      <c r="Y29" s="25">
        <f>(G29*60)+(F29*60)</f>
        <v>3600</v>
      </c>
      <c r="Z29" s="25">
        <v>10578.64</v>
      </c>
      <c r="AA29" s="25">
        <v>0</v>
      </c>
      <c r="AB29" s="25">
        <v>1320</v>
      </c>
      <c r="AC29" s="25">
        <f>G29*35+F29*38</f>
        <v>2100</v>
      </c>
      <c r="AD29" s="25">
        <f>IF(F29="",G29*4.11,F29*4.11)</f>
        <v>246.60000000000002</v>
      </c>
      <c r="AE29" s="25">
        <v>477.32</v>
      </c>
      <c r="AF29" s="25">
        <f>V29+Y29+Z29+AA29+AB29+AC29+AD29</f>
        <v>214378.57333333333</v>
      </c>
      <c r="AG29" s="25">
        <f>IFERROR(IFERROR((H29*W29*J29/15)-AE29,""),"")</f>
        <v>238176.94666666666</v>
      </c>
      <c r="AH29" s="26">
        <f>IFERROR(AG29-AF29,"")</f>
        <v>23798.373333333322</v>
      </c>
      <c r="AI29" s="6">
        <f>IF(F29="",(G29/$F$104)*$AL$23,(F29/$F$104)*$AL$23)</f>
        <v>49.495875343721359</v>
      </c>
      <c r="AJ29" s="6">
        <f>(AH29-AI29)*70%</f>
        <v>16624.214220592719</v>
      </c>
      <c r="AL29" s="11">
        <f>AH24+AH29+AH34+AH39+AH44+AH49+AH54+AH59+AH64+AH69+AH74+AH79+AH84+AH89+AH94+AH99</f>
        <v>251610.42719999995</v>
      </c>
      <c r="AM29" s="150" t="s">
        <v>596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396.63955555555538</v>
      </c>
      <c r="AL30" s="11">
        <f>AL29-AL25</f>
        <v>6930.2212666666601</v>
      </c>
      <c r="AM30" s="1" t="s">
        <v>597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9.99188782390414E-2</v>
      </c>
      <c r="AL31" s="148">
        <f>AL30*30%</f>
        <v>2079.0663799999979</v>
      </c>
      <c r="AM31" s="149" t="s">
        <v>598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40" x14ac:dyDescent="0.35">
      <c r="A34" s="20">
        <v>45123</v>
      </c>
      <c r="B34" s="21" t="s">
        <v>330</v>
      </c>
      <c r="C34" s="21" t="s">
        <v>319</v>
      </c>
      <c r="D34" s="44">
        <v>151592</v>
      </c>
      <c r="E34" s="44"/>
      <c r="F34" s="21"/>
      <c r="G34" s="21">
        <v>65</v>
      </c>
      <c r="H34" s="22">
        <v>27460</v>
      </c>
      <c r="I34" s="33">
        <v>0.5</v>
      </c>
      <c r="J34" s="24">
        <f>IFERROR(K34/H34,"")</f>
        <v>0.51505826656955567</v>
      </c>
      <c r="K34" s="22">
        <v>14143.5</v>
      </c>
      <c r="L34" s="21"/>
      <c r="M34" s="21">
        <v>12</v>
      </c>
      <c r="N34" s="21">
        <v>30</v>
      </c>
      <c r="O34" s="21">
        <v>17</v>
      </c>
      <c r="P34" s="21">
        <v>6</v>
      </c>
      <c r="Q34" s="21"/>
      <c r="R34" s="21"/>
      <c r="S34" s="21"/>
      <c r="T34" s="21"/>
      <c r="U34" s="25">
        <v>218</v>
      </c>
      <c r="V34" s="25">
        <f>H34*U34*I34/15</f>
        <v>199542.66666666666</v>
      </c>
      <c r="W34" s="25">
        <v>253.37</v>
      </c>
      <c r="X34" s="25">
        <v>238903.19</v>
      </c>
      <c r="Y34" s="25">
        <f>(G34*60)+(F34*60)</f>
        <v>3900</v>
      </c>
      <c r="Z34" s="25">
        <v>8827.92</v>
      </c>
      <c r="AA34" s="25">
        <v>0</v>
      </c>
      <c r="AB34" s="25">
        <v>1417</v>
      </c>
      <c r="AC34" s="25">
        <f>G34*35+F34*38</f>
        <v>2275</v>
      </c>
      <c r="AD34" s="25">
        <f>IF(F34="",G34*4.11,F34*4.11)</f>
        <v>267.15000000000003</v>
      </c>
      <c r="AE34" s="25">
        <v>477.79</v>
      </c>
      <c r="AF34" s="25">
        <f>V34+Y34+Z34+AA34+AB34+AC34+AD34</f>
        <v>216229.73666666666</v>
      </c>
      <c r="AG34" s="25">
        <f>IFERROR(IFERROR((H34*W34*J34/15)-AE34,""),"")</f>
        <v>238424.78299999997</v>
      </c>
      <c r="AH34" s="26">
        <f>IFERROR(AG34-AF34,"")</f>
        <v>22195.046333333303</v>
      </c>
      <c r="AI34" s="6">
        <f>IF(F34="",(G34/$F$104)*$AL$23,(F34/$F$104)*$AL$23)</f>
        <v>53.620531622364808</v>
      </c>
      <c r="AJ34" s="6">
        <f>(AH34-AI34)*70%</f>
        <v>15498.998061197655</v>
      </c>
      <c r="AL34" s="151">
        <f>AH4+AH9+AH14+AH19</f>
        <v>-6030.2212666666892</v>
      </c>
      <c r="AM34" s="152" t="s">
        <v>599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341.46225128205083</v>
      </c>
      <c r="AL35" s="148">
        <f>AL34*30%</f>
        <v>-1809.0663800000068</v>
      </c>
      <c r="AM35" s="149" t="s">
        <v>525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9.3090349308751624E-2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/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  <c r="AL38" s="13">
        <f>AL31+AL35</f>
        <v>269.99999999999113</v>
      </c>
      <c r="AM38" s="50" t="s">
        <v>612</v>
      </c>
      <c r="AN38" t="s">
        <v>72</v>
      </c>
    </row>
    <row r="39" spans="1:40" x14ac:dyDescent="0.35">
      <c r="A39" s="20">
        <v>45123</v>
      </c>
      <c r="B39" s="21" t="s">
        <v>330</v>
      </c>
      <c r="C39" s="21" t="s">
        <v>389</v>
      </c>
      <c r="D39" s="44">
        <v>151594</v>
      </c>
      <c r="E39" s="44"/>
      <c r="F39" s="21"/>
      <c r="G39" s="21">
        <v>65</v>
      </c>
      <c r="H39" s="22">
        <v>23720</v>
      </c>
      <c r="I39" s="33">
        <v>0.5</v>
      </c>
      <c r="J39" s="24">
        <f>IFERROR(K39/H39,"")</f>
        <v>0.50183389544688028</v>
      </c>
      <c r="K39" s="22">
        <v>11903.5</v>
      </c>
      <c r="L39" s="21">
        <v>16</v>
      </c>
      <c r="M39" s="21">
        <v>36</v>
      </c>
      <c r="N39" s="21">
        <v>11</v>
      </c>
      <c r="O39" s="21">
        <v>2</v>
      </c>
      <c r="P39" s="21"/>
      <c r="Q39" s="21"/>
      <c r="R39" s="21"/>
      <c r="S39" s="21"/>
      <c r="T39" s="21"/>
      <c r="U39" s="25">
        <v>220</v>
      </c>
      <c r="V39" s="25">
        <f>H39*U39*I39/15</f>
        <v>173946.66666666666</v>
      </c>
      <c r="W39" s="25">
        <v>259.79000000000002</v>
      </c>
      <c r="X39" s="25">
        <v>206158.26</v>
      </c>
      <c r="Y39" s="25">
        <f>(G39*60)+(F39*60)</f>
        <v>3900</v>
      </c>
      <c r="Z39" s="25">
        <v>8223.68</v>
      </c>
      <c r="AA39" s="25">
        <v>0</v>
      </c>
      <c r="AB39" s="25">
        <v>1430</v>
      </c>
      <c r="AC39" s="25">
        <f>G39*35+F39*38</f>
        <v>2275</v>
      </c>
      <c r="AD39" s="25">
        <f>IF(F39="",G39*4.11,F39*4.11)</f>
        <v>267.15000000000003</v>
      </c>
      <c r="AE39" s="25">
        <v>412.32</v>
      </c>
      <c r="AF39" s="25">
        <f>V39+Y39+Z39+AA39+AB39+AC39+AD39</f>
        <v>190042.49666666664</v>
      </c>
      <c r="AG39" s="25">
        <f>IFERROR(IFERROR((H39*W39*J39/15)-AE39,""),"")</f>
        <v>205748.36433333336</v>
      </c>
      <c r="AH39" s="26">
        <f>IFERROR(AG39-AF39,"")</f>
        <v>15705.867666666716</v>
      </c>
      <c r="AI39" s="6">
        <f>IF(F39="",(G39/$F$104)*$AL$23,(F39/$F$104)*$AL$23)</f>
        <v>53.620531622364808</v>
      </c>
      <c r="AJ39" s="6">
        <f>(AH39-AI39)*70%</f>
        <v>10956.572994531045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241.62873333333408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7.6335322118146254E-2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/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45124</v>
      </c>
      <c r="B44" s="21" t="s">
        <v>330</v>
      </c>
      <c r="C44" s="21" t="s">
        <v>601</v>
      </c>
      <c r="D44" s="44">
        <v>151596</v>
      </c>
      <c r="E44" s="44"/>
      <c r="F44" s="21">
        <v>100</v>
      </c>
      <c r="G44" s="21"/>
      <c r="H44" s="22">
        <v>55340</v>
      </c>
      <c r="I44" s="33">
        <v>0.55000000000000004</v>
      </c>
      <c r="J44" s="24">
        <f>IFERROR(K44/H44,"")</f>
        <v>0.57402421395012648</v>
      </c>
      <c r="K44" s="22">
        <v>31766.5</v>
      </c>
      <c r="L44" s="21">
        <v>3</v>
      </c>
      <c r="M44" s="21">
        <v>48</v>
      </c>
      <c r="N44" s="21">
        <v>42</v>
      </c>
      <c r="O44" s="21">
        <v>5</v>
      </c>
      <c r="P44" s="21">
        <v>2</v>
      </c>
      <c r="Q44" s="21"/>
      <c r="R44" s="21"/>
      <c r="S44" s="21"/>
      <c r="T44" s="21"/>
      <c r="U44" s="25">
        <v>235</v>
      </c>
      <c r="V44" s="25">
        <f>H44*U44*I44/15</f>
        <v>476846.33333333337</v>
      </c>
      <c r="W44" s="25">
        <v>263.27</v>
      </c>
      <c r="X44" s="25">
        <v>557548.88</v>
      </c>
      <c r="Y44" s="25">
        <f>(G44*60)+(F44*60)</f>
        <v>6000</v>
      </c>
      <c r="Z44" s="25">
        <v>16343.6</v>
      </c>
      <c r="AA44" s="25">
        <v>0</v>
      </c>
      <c r="AB44" s="25">
        <v>2350</v>
      </c>
      <c r="AC44" s="25">
        <f>G44*35+F44*38</f>
        <v>3800</v>
      </c>
      <c r="AD44" s="25">
        <f>IF(F44="",G44*4.11,F44*4.11)</f>
        <v>411.00000000000006</v>
      </c>
      <c r="AE44" s="25">
        <v>1115.0999999999999</v>
      </c>
      <c r="AF44" s="25">
        <f>V44+Y44+Z44+AA44+AB44+AC44+AD44</f>
        <v>505750.93333333335</v>
      </c>
      <c r="AG44" s="25">
        <f>IFERROR(IFERROR((H44*W44*J44/15)-AE44,""),"")</f>
        <v>556429.33033333335</v>
      </c>
      <c r="AH44" s="26">
        <f>IFERROR(AG44-AF44,"")</f>
        <v>50678.396999999997</v>
      </c>
      <c r="AI44" s="6">
        <f>IF(F44="",(G44/$F$104)*$AL$23,(F44/$F$104)*$AL$23)</f>
        <v>82.493125572868919</v>
      </c>
      <c r="AJ44" s="6">
        <f>(AH44-AI44)*70%</f>
        <v>35417.132712098988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506.78396999999995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9.1077867821311123E-2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/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x14ac:dyDescent="0.35">
      <c r="A49" s="20">
        <v>45124</v>
      </c>
      <c r="B49" s="21" t="s">
        <v>330</v>
      </c>
      <c r="C49" s="21" t="s">
        <v>602</v>
      </c>
      <c r="D49" s="44">
        <v>151597</v>
      </c>
      <c r="E49" s="44"/>
      <c r="F49" s="21"/>
      <c r="G49" s="21">
        <v>27</v>
      </c>
      <c r="H49" s="22">
        <v>11276</v>
      </c>
      <c r="I49" s="33">
        <v>0.5</v>
      </c>
      <c r="J49" s="24">
        <f>IFERROR(K49/H49,"")</f>
        <v>0.52607307555870875</v>
      </c>
      <c r="K49" s="22">
        <v>5932</v>
      </c>
      <c r="L49" s="21"/>
      <c r="M49" s="21"/>
      <c r="N49" s="21"/>
      <c r="O49" s="21"/>
      <c r="P49" s="21">
        <v>27</v>
      </c>
      <c r="Q49" s="21"/>
      <c r="R49" s="21"/>
      <c r="S49" s="21"/>
      <c r="T49" s="21"/>
      <c r="U49" s="25">
        <v>200</v>
      </c>
      <c r="V49" s="25">
        <f>H49*U49*I49/15</f>
        <v>75173.333333333328</v>
      </c>
      <c r="W49" s="25">
        <v>234.74</v>
      </c>
      <c r="X49" s="25">
        <v>92831.85</v>
      </c>
      <c r="Y49" s="25">
        <f>G49*60</f>
        <v>1620</v>
      </c>
      <c r="Z49" s="25">
        <v>5417.17</v>
      </c>
      <c r="AA49" s="25">
        <v>0</v>
      </c>
      <c r="AB49" s="25">
        <f>G49*20</f>
        <v>540</v>
      </c>
      <c r="AC49" s="25">
        <f>G49*35</f>
        <v>945</v>
      </c>
      <c r="AD49" s="25">
        <f>IF(F49="",G49*4.11,F49*4.11)</f>
        <v>110.97000000000001</v>
      </c>
      <c r="AE49" s="25">
        <v>185.67</v>
      </c>
      <c r="AF49" s="25">
        <f>V49+Y49+Z49+AA49+AB49+AC49+AD49</f>
        <v>83806.473333333328</v>
      </c>
      <c r="AG49" s="25">
        <f>IFERROR(IFERROR((H49*W49*J49/15)-AE49,""),"")</f>
        <v>92646.175333333347</v>
      </c>
      <c r="AH49" s="26">
        <f>IFERROR(AG49-AF49,"")</f>
        <v>8839.7020000000193</v>
      </c>
      <c r="AI49" s="6">
        <f>IF(F49="",(G49/$F$104)*$AL$23,(F49/$F$104)*$AL$23)</f>
        <v>22.273143904674612</v>
      </c>
      <c r="AJ49" s="6">
        <f>(AH49-AI49)*70%</f>
        <v>6172.200199266741</v>
      </c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327.39637037037107</v>
      </c>
    </row>
    <row r="51" spans="1:36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9.5413566379783044E-2</v>
      </c>
    </row>
    <row r="52" spans="1:36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3" spans="1:36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/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x14ac:dyDescent="0.35">
      <c r="A54" s="20">
        <v>45124</v>
      </c>
      <c r="B54" s="21" t="s">
        <v>330</v>
      </c>
      <c r="C54" s="21" t="s">
        <v>602</v>
      </c>
      <c r="D54" s="44">
        <v>152217</v>
      </c>
      <c r="E54" s="44"/>
      <c r="F54" s="21"/>
      <c r="G54" s="21">
        <v>30</v>
      </c>
      <c r="H54" s="22">
        <v>11664</v>
      </c>
      <c r="I54" s="33">
        <v>0.5</v>
      </c>
      <c r="J54" s="24">
        <f>IFERROR(K54/H54,"")</f>
        <v>0.47822359396433473</v>
      </c>
      <c r="K54" s="22">
        <v>5578</v>
      </c>
      <c r="L54" s="21">
        <v>2</v>
      </c>
      <c r="M54" s="21">
        <v>27</v>
      </c>
      <c r="N54" s="21">
        <v>1</v>
      </c>
      <c r="O54" s="21"/>
      <c r="P54" s="21"/>
      <c r="Q54" s="21"/>
      <c r="R54" s="21"/>
      <c r="S54" s="21"/>
      <c r="T54" s="21"/>
      <c r="U54" s="25">
        <v>220</v>
      </c>
      <c r="V54" s="25">
        <f>H54*U54*I54/15</f>
        <v>85536</v>
      </c>
      <c r="W54" s="25">
        <v>259.25</v>
      </c>
      <c r="X54" s="25">
        <v>96407.39</v>
      </c>
      <c r="Y54" s="25">
        <f>G54*60</f>
        <v>1800</v>
      </c>
      <c r="Z54" s="25">
        <v>6019.08</v>
      </c>
      <c r="AA54" s="25">
        <v>0</v>
      </c>
      <c r="AB54" s="25">
        <f>G54*22</f>
        <v>660</v>
      </c>
      <c r="AC54" s="25">
        <f>G54*35</f>
        <v>1050</v>
      </c>
      <c r="AD54" s="25">
        <f>IF(F54="",G54*4.11,F54*4.11)</f>
        <v>123.30000000000001</v>
      </c>
      <c r="AE54" s="25">
        <v>192.81</v>
      </c>
      <c r="AF54" s="25">
        <f>V54+Y54+Z54+AA54+AB54+AC54+AD54</f>
        <v>95188.38</v>
      </c>
      <c r="AG54" s="25">
        <f>IFERROR(IFERROR((H54*W54*J54/15)-AE54,""),"")</f>
        <v>96213.623333333337</v>
      </c>
      <c r="AH54" s="26">
        <f>IFERROR(AG54-AF54,"")</f>
        <v>1025.243333333332</v>
      </c>
      <c r="AI54" s="6">
        <f>IF(F54="",(G54/$F$104)*$AL$23,(F54/$F$104)*$AL$23)</f>
        <v>24.747937671860679</v>
      </c>
      <c r="AJ54" s="6">
        <f>(AH54-AI54)*70%</f>
        <v>700.34677696302992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34.174777777777734</v>
      </c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1.0655906074562469E-2</v>
      </c>
    </row>
    <row r="57" spans="1:36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6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/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6" x14ac:dyDescent="0.35">
      <c r="A59" s="20">
        <v>45124</v>
      </c>
      <c r="B59" s="21" t="s">
        <v>330</v>
      </c>
      <c r="C59" s="21" t="s">
        <v>603</v>
      </c>
      <c r="D59" s="44">
        <v>152218</v>
      </c>
      <c r="E59" s="44"/>
      <c r="F59" s="21"/>
      <c r="G59" s="21">
        <v>65</v>
      </c>
      <c r="H59" s="22">
        <v>23040</v>
      </c>
      <c r="I59" s="33">
        <v>0.5</v>
      </c>
      <c r="J59" s="24">
        <f>IFERROR(K59/H59,"")</f>
        <v>0.52944878472222223</v>
      </c>
      <c r="K59" s="22">
        <v>12198.5</v>
      </c>
      <c r="L59" s="21">
        <v>10</v>
      </c>
      <c r="M59" s="21">
        <v>48</v>
      </c>
      <c r="N59" s="21">
        <v>7</v>
      </c>
      <c r="O59" s="21"/>
      <c r="P59" s="21"/>
      <c r="Q59" s="21"/>
      <c r="R59" s="21"/>
      <c r="S59" s="21"/>
      <c r="T59" s="21"/>
      <c r="U59" s="25">
        <v>220</v>
      </c>
      <c r="V59" s="25">
        <f>H59*U59*I59/15</f>
        <v>168960</v>
      </c>
      <c r="W59" s="25">
        <v>259.75</v>
      </c>
      <c r="X59" s="25">
        <v>211233.4</v>
      </c>
      <c r="Y59" s="25">
        <f>G59*60</f>
        <v>3900</v>
      </c>
      <c r="Z59" s="25">
        <v>13041.34</v>
      </c>
      <c r="AA59" s="25">
        <v>0</v>
      </c>
      <c r="AB59" s="25">
        <f>G59*22</f>
        <v>1430</v>
      </c>
      <c r="AC59" s="25">
        <f>G59*35</f>
        <v>2275</v>
      </c>
      <c r="AD59" s="25">
        <f>IF(F59="",G59*4.11,F59*4.11)</f>
        <v>267.15000000000003</v>
      </c>
      <c r="AE59" s="25">
        <v>422.47</v>
      </c>
      <c r="AF59" s="25">
        <f>V59+Y59+Z59+AA59+AB59+AC59+AD59</f>
        <v>189873.49</v>
      </c>
      <c r="AG59" s="25">
        <f>IFERROR(IFERROR((H59*W59*J59/15)-AE59,""),"")</f>
        <v>210814.88833333334</v>
      </c>
      <c r="AH59" s="26">
        <f>IFERROR(AG59-AF59,"")</f>
        <v>20941.398333333345</v>
      </c>
      <c r="AI59" s="6">
        <f>IF(F59="",(G59/$F$104)*$AL$23,(F59/$F$104)*$AL$23)</f>
        <v>53.620531622364808</v>
      </c>
      <c r="AJ59" s="6">
        <f>(AH59-AI59)*70%</f>
        <v>14621.444461197685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322.17535897435914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9.9335480994214784E-2</v>
      </c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45125</v>
      </c>
      <c r="B64" s="21" t="s">
        <v>330</v>
      </c>
      <c r="C64" s="21" t="s">
        <v>286</v>
      </c>
      <c r="D64" s="44">
        <v>152278</v>
      </c>
      <c r="E64" s="44"/>
      <c r="F64" s="21"/>
      <c r="G64" s="117">
        <v>64</v>
      </c>
      <c r="H64" s="22">
        <v>25521.23</v>
      </c>
      <c r="I64" s="33">
        <v>0.5</v>
      </c>
      <c r="J64" s="24">
        <f>IFERROR(K64/H64,"")</f>
        <v>0.47293958794305763</v>
      </c>
      <c r="K64" s="22">
        <v>12070</v>
      </c>
      <c r="L64" s="21">
        <v>5</v>
      </c>
      <c r="M64" s="21">
        <v>23</v>
      </c>
      <c r="N64" s="21">
        <v>17</v>
      </c>
      <c r="O64" s="21">
        <v>15</v>
      </c>
      <c r="P64" s="21">
        <v>4</v>
      </c>
      <c r="Q64" s="21"/>
      <c r="R64" s="21"/>
      <c r="S64" s="21"/>
      <c r="T64" s="21"/>
      <c r="U64" s="25">
        <v>220</v>
      </c>
      <c r="V64" s="25">
        <f>H64*U64*I64/15</f>
        <v>187155.68666666665</v>
      </c>
      <c r="W64" s="25">
        <v>247.48</v>
      </c>
      <c r="X64" s="25">
        <v>199137.12</v>
      </c>
      <c r="Y64" s="25">
        <f>(G64*60)+(F64*60)</f>
        <v>3840</v>
      </c>
      <c r="Z64" s="25">
        <v>7522.22</v>
      </c>
      <c r="AA64" s="25">
        <v>0</v>
      </c>
      <c r="AB64" s="25">
        <v>1430</v>
      </c>
      <c r="AC64" s="25">
        <f>G64*35+F64*38</f>
        <v>2240</v>
      </c>
      <c r="AD64" s="25">
        <f>IF(F64="",G64*4.11,F64*4.11)</f>
        <v>263.04000000000002</v>
      </c>
      <c r="AE64" s="25">
        <v>398.26</v>
      </c>
      <c r="AF64" s="25">
        <f>V64+Y64+Z64+AA64+AB64+AC64+AD64</f>
        <v>202450.94666666666</v>
      </c>
      <c r="AG64" s="25">
        <f>IFERROR(IFERROR((H64*W64*J64/15)-AE64,""),"")</f>
        <v>198740.64666666664</v>
      </c>
      <c r="AH64" s="26">
        <f>IFERROR(AG64-AF64,"")</f>
        <v>-3710.3000000000175</v>
      </c>
      <c r="AI64" s="6">
        <f>IF(F64="",(G64/$F$104)*$AL$23,(F64/$F$104)*$AL$23)</f>
        <v>52.795600366636116</v>
      </c>
      <c r="AJ64" s="6">
        <f>(AH64-AI64)*70%</f>
        <v>-2634.1669202566577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-57.973437500000273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-1.8669054681214943E-2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/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45125</v>
      </c>
      <c r="B69" s="21" t="s">
        <v>330</v>
      </c>
      <c r="C69" s="21" t="s">
        <v>449</v>
      </c>
      <c r="D69" s="44">
        <v>151602</v>
      </c>
      <c r="E69" s="44"/>
      <c r="F69" s="21"/>
      <c r="G69" s="21">
        <v>60</v>
      </c>
      <c r="H69" s="22">
        <v>23400</v>
      </c>
      <c r="I69" s="33">
        <v>0.5</v>
      </c>
      <c r="J69" s="24">
        <f>IFERROR(K69/H69,"")</f>
        <v>0.50053418803418803</v>
      </c>
      <c r="K69" s="22">
        <v>11712.5</v>
      </c>
      <c r="L69" s="21">
        <v>8</v>
      </c>
      <c r="M69" s="21">
        <v>35</v>
      </c>
      <c r="N69" s="21">
        <v>13</v>
      </c>
      <c r="O69" s="21">
        <v>4</v>
      </c>
      <c r="P69" s="21"/>
      <c r="Q69" s="21"/>
      <c r="R69" s="21"/>
      <c r="S69" s="21"/>
      <c r="T69" s="21"/>
      <c r="U69" s="25">
        <v>215</v>
      </c>
      <c r="V69" s="25">
        <f>H69*U69*I69/15</f>
        <v>167700</v>
      </c>
      <c r="W69" s="25">
        <v>255.24</v>
      </c>
      <c r="X69" s="25">
        <v>199301.35</v>
      </c>
      <c r="Y69" s="25">
        <f>(G69*60)+(F69*60)</f>
        <v>3600</v>
      </c>
      <c r="Z69" s="25">
        <v>9566.2000000000007</v>
      </c>
      <c r="AA69" s="25">
        <v>0</v>
      </c>
      <c r="AB69" s="25">
        <v>1290</v>
      </c>
      <c r="AC69" s="25">
        <f>G69*35+F69*38</f>
        <v>2100</v>
      </c>
      <c r="AD69" s="25">
        <f>IF(F69="",G69*4.11,F69*4.11)</f>
        <v>246.60000000000002</v>
      </c>
      <c r="AE69" s="25">
        <v>398.6</v>
      </c>
      <c r="AF69" s="25">
        <f>V69+Y69+Z69+AA69+AB69+AC69+AD69</f>
        <v>184502.80000000002</v>
      </c>
      <c r="AG69" s="25">
        <f>IFERROR(IFERROR((H69*W69*J69/15)-AE69,""),"")</f>
        <v>198901.3</v>
      </c>
      <c r="AH69" s="26">
        <f>IFERROR(AG69-AF69,"")</f>
        <v>14398.499999999971</v>
      </c>
      <c r="AI69" s="6">
        <f>IF(F69="",(G69/$F$104)*$AL$23,(F69/$F$104)*$AL$23)</f>
        <v>49.495875343721359</v>
      </c>
      <c r="AJ69" s="6">
        <f>(AH69-AI69)*70%</f>
        <v>10044.302887259373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239.97499999999951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7.2390175428717521E-2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  <c r="AI72" s="47"/>
      <c r="AJ72" s="47"/>
    </row>
    <row r="73" spans="1:36" x14ac:dyDescent="0.35">
      <c r="A73" s="37" t="s">
        <v>1</v>
      </c>
      <c r="B73" s="37" t="s">
        <v>2</v>
      </c>
      <c r="C73" s="37" t="s">
        <v>110</v>
      </c>
      <c r="D73" s="37" t="s">
        <v>66</v>
      </c>
      <c r="E73" s="37"/>
      <c r="F73" s="37" t="s">
        <v>137</v>
      </c>
      <c r="G73" s="37" t="s">
        <v>138</v>
      </c>
      <c r="H73" s="37" t="s">
        <v>4</v>
      </c>
      <c r="I73" s="37" t="s">
        <v>5</v>
      </c>
      <c r="J73" s="37" t="s">
        <v>6</v>
      </c>
      <c r="K73" s="37" t="s">
        <v>7</v>
      </c>
      <c r="L73" s="37" t="s">
        <v>279</v>
      </c>
      <c r="M73" s="37" t="s">
        <v>280</v>
      </c>
      <c r="N73" s="37" t="s">
        <v>281</v>
      </c>
      <c r="O73" s="37" t="s">
        <v>282</v>
      </c>
      <c r="P73" s="37" t="s">
        <v>283</v>
      </c>
      <c r="Q73" s="37" t="s">
        <v>284</v>
      </c>
      <c r="R73" s="37" t="s">
        <v>904</v>
      </c>
      <c r="S73" s="37" t="s">
        <v>285</v>
      </c>
      <c r="T73" s="37" t="s">
        <v>289</v>
      </c>
      <c r="U73" s="37" t="s">
        <v>8</v>
      </c>
      <c r="V73" s="37" t="s">
        <v>9</v>
      </c>
      <c r="W73" s="37" t="s">
        <v>10</v>
      </c>
      <c r="X73" s="37" t="s">
        <v>100</v>
      </c>
      <c r="Y73" s="37" t="s">
        <v>106</v>
      </c>
      <c r="Z73" s="37" t="s">
        <v>12</v>
      </c>
      <c r="AA73" s="37" t="s">
        <v>258</v>
      </c>
      <c r="AB73" s="37" t="s">
        <v>13</v>
      </c>
      <c r="AC73" s="37" t="s">
        <v>74</v>
      </c>
      <c r="AD73" s="37" t="s">
        <v>21</v>
      </c>
      <c r="AE73" s="37" t="s">
        <v>14</v>
      </c>
      <c r="AF73" s="37" t="s">
        <v>15</v>
      </c>
      <c r="AG73" s="37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38">
        <v>45125</v>
      </c>
      <c r="B74" s="39" t="s">
        <v>330</v>
      </c>
      <c r="C74" s="39" t="s">
        <v>604</v>
      </c>
      <c r="D74" s="45">
        <v>151600</v>
      </c>
      <c r="E74" s="45"/>
      <c r="F74" s="39"/>
      <c r="G74" s="39">
        <v>65</v>
      </c>
      <c r="H74" s="40">
        <v>23440</v>
      </c>
      <c r="I74" s="53">
        <v>0.5</v>
      </c>
      <c r="J74" s="42">
        <f>IFERROR(K74/H74,"")</f>
        <v>0.51224402730375429</v>
      </c>
      <c r="K74" s="40">
        <v>12007</v>
      </c>
      <c r="L74" s="39">
        <v>31</v>
      </c>
      <c r="M74" s="39">
        <v>24</v>
      </c>
      <c r="N74" s="39">
        <v>9</v>
      </c>
      <c r="O74" s="39"/>
      <c r="P74" s="39">
        <v>1</v>
      </c>
      <c r="Q74" s="39"/>
      <c r="R74" s="39"/>
      <c r="S74" s="39"/>
      <c r="T74" s="39"/>
      <c r="U74" s="43">
        <v>220</v>
      </c>
      <c r="V74" s="43">
        <f>H74*U74*I74/15</f>
        <v>171893.33333333334</v>
      </c>
      <c r="W74" s="43">
        <v>254.77</v>
      </c>
      <c r="X74" s="43">
        <v>203932.74</v>
      </c>
      <c r="Y74" s="43">
        <f>(G74*60)+(F74*60)</f>
        <v>3900</v>
      </c>
      <c r="Z74" s="43">
        <v>8143.91</v>
      </c>
      <c r="AA74" s="43">
        <v>0</v>
      </c>
      <c r="AB74" s="43">
        <v>1430</v>
      </c>
      <c r="AC74" s="43">
        <f>G74*35+F74*38</f>
        <v>2275</v>
      </c>
      <c r="AD74" s="43">
        <f>IF(F74="",G74*4.11,F74*4.11)</f>
        <v>267.15000000000003</v>
      </c>
      <c r="AE74" s="43">
        <v>407.87</v>
      </c>
      <c r="AF74" s="43">
        <f>V74+Y74+Z74+AA74+AB74+AC74+AD74</f>
        <v>187909.39333333334</v>
      </c>
      <c r="AG74" s="43">
        <f>IFERROR(IFERROR((H74*W74*J74/15)-AE74,""),"")</f>
        <v>203527.02266666669</v>
      </c>
      <c r="AH74" s="26">
        <f>IFERROR(AG74-AF74,"")</f>
        <v>15617.629333333345</v>
      </c>
      <c r="AI74" s="6">
        <f>IF(F74="",(G74/$F$104)*$AL$23,(F74/$F$104)*$AL$23)</f>
        <v>53.620531622364808</v>
      </c>
      <c r="AJ74" s="6">
        <f>(AH74-AI74)*70%</f>
        <v>10894.806161197686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240.27122051282069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7.6734917696465538E-2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x14ac:dyDescent="0.35">
      <c r="A78" s="37" t="s">
        <v>1</v>
      </c>
      <c r="B78" s="37" t="s">
        <v>2</v>
      </c>
      <c r="C78" s="37" t="s">
        <v>110</v>
      </c>
      <c r="D78" s="37" t="s">
        <v>66</v>
      </c>
      <c r="E78" s="37"/>
      <c r="F78" s="37" t="s">
        <v>137</v>
      </c>
      <c r="G78" s="37" t="s">
        <v>138</v>
      </c>
      <c r="H78" s="37" t="s">
        <v>4</v>
      </c>
      <c r="I78" s="37" t="s">
        <v>5</v>
      </c>
      <c r="J78" s="37" t="s">
        <v>6</v>
      </c>
      <c r="K78" s="37" t="s">
        <v>7</v>
      </c>
      <c r="L78" s="37" t="s">
        <v>279</v>
      </c>
      <c r="M78" s="37" t="s">
        <v>280</v>
      </c>
      <c r="N78" s="37" t="s">
        <v>281</v>
      </c>
      <c r="O78" s="37" t="s">
        <v>282</v>
      </c>
      <c r="P78" s="37" t="s">
        <v>283</v>
      </c>
      <c r="Q78" s="37" t="s">
        <v>284</v>
      </c>
      <c r="R78" s="37" t="s">
        <v>904</v>
      </c>
      <c r="S78" s="37" t="s">
        <v>285</v>
      </c>
      <c r="T78" s="37" t="s">
        <v>289</v>
      </c>
      <c r="U78" s="37" t="s">
        <v>8</v>
      </c>
      <c r="V78" s="37" t="s">
        <v>9</v>
      </c>
      <c r="W78" s="37" t="s">
        <v>10</v>
      </c>
      <c r="X78" s="37" t="s">
        <v>100</v>
      </c>
      <c r="Y78" s="37" t="s">
        <v>106</v>
      </c>
      <c r="Z78" s="37" t="s">
        <v>12</v>
      </c>
      <c r="AA78" s="37" t="s">
        <v>258</v>
      </c>
      <c r="AB78" s="37" t="s">
        <v>13</v>
      </c>
      <c r="AC78" s="37" t="s">
        <v>74</v>
      </c>
      <c r="AD78" s="37" t="s">
        <v>21</v>
      </c>
      <c r="AE78" s="37" t="s">
        <v>14</v>
      </c>
      <c r="AF78" s="37" t="s">
        <v>15</v>
      </c>
      <c r="AG78" s="37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38">
        <v>45125</v>
      </c>
      <c r="B79" s="39" t="s">
        <v>330</v>
      </c>
      <c r="C79" s="39" t="s">
        <v>604</v>
      </c>
      <c r="D79" s="45">
        <v>151599</v>
      </c>
      <c r="E79" s="45"/>
      <c r="F79" s="39"/>
      <c r="G79" s="39">
        <v>63</v>
      </c>
      <c r="H79" s="40">
        <v>24720</v>
      </c>
      <c r="I79" s="53">
        <v>0.5</v>
      </c>
      <c r="J79" s="42">
        <f>IFERROR(K79/H79,"")</f>
        <v>0.5104773462783172</v>
      </c>
      <c r="K79" s="40">
        <v>12619</v>
      </c>
      <c r="L79" s="39">
        <v>7</v>
      </c>
      <c r="M79" s="39">
        <v>35</v>
      </c>
      <c r="N79" s="39">
        <v>14</v>
      </c>
      <c r="O79" s="39">
        <v>6</v>
      </c>
      <c r="P79" s="39">
        <v>1</v>
      </c>
      <c r="Q79" s="39"/>
      <c r="R79" s="39"/>
      <c r="S79" s="39"/>
      <c r="T79" s="39"/>
      <c r="U79" s="43">
        <v>220</v>
      </c>
      <c r="V79" s="43">
        <f>H79*U79*I79/15</f>
        <v>181280</v>
      </c>
      <c r="W79" s="43">
        <v>254.8</v>
      </c>
      <c r="X79" s="43">
        <v>214355.34</v>
      </c>
      <c r="Y79" s="43">
        <f>(G79*60)+(F79*60)</f>
        <v>3780</v>
      </c>
      <c r="Z79" s="43">
        <v>7893.39</v>
      </c>
      <c r="AA79" s="43">
        <v>0</v>
      </c>
      <c r="AB79" s="43">
        <f>G79*22</f>
        <v>1386</v>
      </c>
      <c r="AC79" s="43">
        <f>G79*35+F79*38</f>
        <v>2205</v>
      </c>
      <c r="AD79" s="43">
        <f>IF(F79="",G79*4.11,F79*4.11)</f>
        <v>258.93</v>
      </c>
      <c r="AE79" s="43">
        <v>428.71</v>
      </c>
      <c r="AF79" s="43">
        <f>V79+Y79+Z79+AA79+AB79+AC79+AD79</f>
        <v>196803.32</v>
      </c>
      <c r="AG79" s="43">
        <f>IFERROR(IFERROR((H79*W79*J79/15)-AE79,""),"")</f>
        <v>213926.03666666668</v>
      </c>
      <c r="AH79" s="26">
        <f>IFERROR(AG79-AF79,"")</f>
        <v>17122.716666666674</v>
      </c>
      <c r="AI79" s="6">
        <f>IF(F79="",(G79/$F$104)*$AL$23,(F79/$F$104)*$AL$23)</f>
        <v>51.970669110907423</v>
      </c>
      <c r="AJ79" s="6">
        <f>(AH79-AI79)*70%</f>
        <v>11949.522198289038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271.78915343915355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>
        <f>IFERROR(AH79/AG79,"")</f>
        <v>8.004035849711362E-2</v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/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>
        <v>45126</v>
      </c>
      <c r="B84" s="21" t="s">
        <v>330</v>
      </c>
      <c r="C84" s="21" t="s">
        <v>141</v>
      </c>
      <c r="D84" s="44">
        <v>151604</v>
      </c>
      <c r="E84" s="44"/>
      <c r="F84" s="21">
        <v>50</v>
      </c>
      <c r="G84" s="21"/>
      <c r="H84" s="22">
        <v>22200</v>
      </c>
      <c r="I84" s="33">
        <v>0.53</v>
      </c>
      <c r="J84" s="24">
        <f>IFERROR(K84/H84,"")</f>
        <v>0.56024774774774777</v>
      </c>
      <c r="K84" s="22">
        <v>12437.5</v>
      </c>
      <c r="L84" s="21">
        <v>43</v>
      </c>
      <c r="M84" s="21">
        <v>6</v>
      </c>
      <c r="N84" s="21">
        <v>1</v>
      </c>
      <c r="O84" s="21"/>
      <c r="P84" s="21"/>
      <c r="Q84" s="21"/>
      <c r="R84" s="21"/>
      <c r="S84" s="21"/>
      <c r="T84" s="21"/>
      <c r="U84" s="25">
        <v>235</v>
      </c>
      <c r="V84" s="25">
        <f>H84*U84*I84/15</f>
        <v>184334</v>
      </c>
      <c r="W84" s="25">
        <v>258.52999999999997</v>
      </c>
      <c r="X84" s="25">
        <v>214361.72</v>
      </c>
      <c r="Y84" s="25">
        <f>F84*60</f>
        <v>3000</v>
      </c>
      <c r="Z84" s="25">
        <v>7869.68</v>
      </c>
      <c r="AA84" s="25">
        <v>0</v>
      </c>
      <c r="AB84" s="25">
        <v>1150</v>
      </c>
      <c r="AC84" s="25">
        <f>F84*38</f>
        <v>1900</v>
      </c>
      <c r="AD84" s="25">
        <f>IF(F84="",G84*4.11,F84*4.11)</f>
        <v>205.50000000000003</v>
      </c>
      <c r="AE84" s="25">
        <v>428.72</v>
      </c>
      <c r="AF84" s="25">
        <f>V84+Y84+Z84+AA84+AB84+AC84+AD84</f>
        <v>198459.18</v>
      </c>
      <c r="AG84" s="25">
        <f>IFERROR(IFERROR((H84*W84*J84/15)-AE84,""),"")</f>
        <v>213935.73833333331</v>
      </c>
      <c r="AH84" s="26">
        <f>IFERROR(AG84-AF84,"")</f>
        <v>15476.55833333332</v>
      </c>
      <c r="AI84" s="6">
        <f>IF(F84="",(G84/$F$104)*$AL$23,(F84/$F$104)*$AL$23)</f>
        <v>41.24656278643446</v>
      </c>
      <c r="AJ84" s="6">
        <f>(AH84-AI84)*70%</f>
        <v>10804.718239382819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309.53116666666642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>
        <f>IFERROR(AH84/AG84,"")</f>
        <v>7.234208951670941E-2</v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  <c r="AI87" s="47"/>
      <c r="AJ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/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>
        <v>45126</v>
      </c>
      <c r="B89" s="21" t="s">
        <v>330</v>
      </c>
      <c r="C89" s="21" t="s">
        <v>116</v>
      </c>
      <c r="D89" s="44">
        <v>151626</v>
      </c>
      <c r="E89" s="44"/>
      <c r="F89" s="21"/>
      <c r="G89" s="21">
        <v>65</v>
      </c>
      <c r="H89" s="22">
        <v>24860</v>
      </c>
      <c r="I89" s="33">
        <v>0.5</v>
      </c>
      <c r="J89" s="24">
        <f>IFERROR(K89/H89,"")</f>
        <v>0.51786001609010457</v>
      </c>
      <c r="K89" s="22">
        <v>12874</v>
      </c>
      <c r="L89" s="21">
        <v>12</v>
      </c>
      <c r="M89" s="21">
        <v>42</v>
      </c>
      <c r="N89" s="21">
        <v>8</v>
      </c>
      <c r="O89" s="21">
        <v>2</v>
      </c>
      <c r="P89" s="21">
        <v>1</v>
      </c>
      <c r="Q89" s="21"/>
      <c r="R89" s="21"/>
      <c r="S89" s="21"/>
      <c r="T89" s="21"/>
      <c r="U89" s="25">
        <v>215</v>
      </c>
      <c r="V89" s="25">
        <f>H89*U89*I89/15</f>
        <v>178163.33333333334</v>
      </c>
      <c r="W89" s="25">
        <v>254.45</v>
      </c>
      <c r="X89" s="25">
        <v>218381.57</v>
      </c>
      <c r="Y89" s="25">
        <f>(G89*60)+(F89*60)</f>
        <v>3900</v>
      </c>
      <c r="Z89" s="25">
        <v>10477.98</v>
      </c>
      <c r="AA89" s="25">
        <v>0</v>
      </c>
      <c r="AB89" s="25">
        <v>1397.5</v>
      </c>
      <c r="AC89" s="25">
        <f>G89*35+F89*38</f>
        <v>2275</v>
      </c>
      <c r="AD89" s="25">
        <f>IF(F89="",G89*4.11,F89*4.11)</f>
        <v>267.15000000000003</v>
      </c>
      <c r="AE89" s="25">
        <v>436.76</v>
      </c>
      <c r="AF89" s="25">
        <f>V89+Y89+Z89+AA89+AB89+AC89+AD89</f>
        <v>196480.96333333335</v>
      </c>
      <c r="AG89" s="25">
        <f>IFERROR(IFERROR((H89*W89*J89/15)-AE89,""),"")</f>
        <v>217949.1933333333</v>
      </c>
      <c r="AH89" s="26">
        <f>IFERROR(AG89-AF89,"")</f>
        <v>21468.229999999952</v>
      </c>
      <c r="AI89" s="6">
        <f>IF(F89="",(G89/$F$104)*$AL$23,(F89/$F$104)*$AL$23)</f>
        <v>53.620531622364808</v>
      </c>
      <c r="AJ89" s="6">
        <f>(AH89-AI89)*70%</f>
        <v>14990.226627864311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330.28046153846083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>
        <f>IFERROR(AH89/AG89,"")</f>
        <v>9.8501075740006355E-2</v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/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>
        <v>45126</v>
      </c>
      <c r="B94" s="21" t="s">
        <v>330</v>
      </c>
      <c r="C94" s="21" t="s">
        <v>477</v>
      </c>
      <c r="D94" s="44">
        <v>152383</v>
      </c>
      <c r="E94" s="44"/>
      <c r="F94" s="21">
        <v>50</v>
      </c>
      <c r="G94" s="21"/>
      <c r="H94" s="22">
        <v>25370</v>
      </c>
      <c r="I94" s="33">
        <v>0.53</v>
      </c>
      <c r="J94" s="24">
        <f>IFERROR(K94/H94,"")</f>
        <v>0.57534489554592039</v>
      </c>
      <c r="K94" s="22">
        <v>14596.5</v>
      </c>
      <c r="L94" s="21">
        <v>4</v>
      </c>
      <c r="M94" s="21">
        <v>3</v>
      </c>
      <c r="N94" s="21">
        <v>2</v>
      </c>
      <c r="O94" s="21">
        <v>19</v>
      </c>
      <c r="P94" s="21">
        <v>22</v>
      </c>
      <c r="Q94" s="21"/>
      <c r="R94" s="21"/>
      <c r="S94" s="21"/>
      <c r="T94" s="21"/>
      <c r="U94" s="25">
        <v>230</v>
      </c>
      <c r="V94" s="25">
        <f>H94*U94*I94/15</f>
        <v>206173.53333333333</v>
      </c>
      <c r="W94" s="25">
        <v>243.31</v>
      </c>
      <c r="X94" s="25">
        <v>236761.48</v>
      </c>
      <c r="Y94" s="25">
        <f>(G94*60)+(F94*60)</f>
        <v>3000</v>
      </c>
      <c r="Z94" s="25">
        <v>8776.0400000000009</v>
      </c>
      <c r="AA94" s="25">
        <v>0</v>
      </c>
      <c r="AB94" s="25">
        <v>1150</v>
      </c>
      <c r="AC94" s="25">
        <f>G94*35+F94*38</f>
        <v>1900</v>
      </c>
      <c r="AD94" s="25">
        <f>IF(F94="",G94*4.11,F94*4.11)</f>
        <v>205.50000000000003</v>
      </c>
      <c r="AE94" s="25">
        <v>473.53</v>
      </c>
      <c r="AF94" s="25">
        <f>V94+Y94+Z94+AA94+AB94+AC94+AD94</f>
        <v>221205.07333333333</v>
      </c>
      <c r="AG94" s="25">
        <f>IFERROR(IFERROR((H94*W94*J94/15)-AE94,""),"")</f>
        <v>236291.43100000001</v>
      </c>
      <c r="AH94" s="26">
        <f>IFERROR(AG94-AF94,"")</f>
        <v>15086.357666666678</v>
      </c>
      <c r="AI94" s="6">
        <f>IF(F94="",(G94/$F$104)*$AL$23,(F94/$F$104)*$AL$23)</f>
        <v>41.24656278643446</v>
      </c>
      <c r="AJ94" s="6">
        <f>(AH94-AI94)*70%</f>
        <v>10531.577772716169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301.72715333333355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6.3846401889481458E-2</v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47"/>
      <c r="AJ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/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>
        <v>45126</v>
      </c>
      <c r="B99" s="21" t="s">
        <v>330</v>
      </c>
      <c r="C99" s="21" t="s">
        <v>477</v>
      </c>
      <c r="D99" s="44">
        <v>152384</v>
      </c>
      <c r="E99" s="44"/>
      <c r="F99" s="21"/>
      <c r="G99" s="21">
        <v>61</v>
      </c>
      <c r="H99" s="22">
        <v>22080</v>
      </c>
      <c r="I99" s="33">
        <v>0.5</v>
      </c>
      <c r="J99" s="24">
        <f>IFERROR(K99/H99,"")</f>
        <v>0.51564764492753623</v>
      </c>
      <c r="K99" s="22">
        <v>11385.5</v>
      </c>
      <c r="L99" s="21">
        <v>4</v>
      </c>
      <c r="M99" s="21">
        <v>31</v>
      </c>
      <c r="N99" s="21">
        <v>23</v>
      </c>
      <c r="O99" s="21">
        <v>2</v>
      </c>
      <c r="P99" s="21">
        <v>1</v>
      </c>
      <c r="Q99" s="21"/>
      <c r="R99" s="21"/>
      <c r="S99" s="21"/>
      <c r="T99" s="21"/>
      <c r="U99" s="25">
        <v>220</v>
      </c>
      <c r="V99" s="25">
        <f>H99*U99*I99/15</f>
        <v>161920</v>
      </c>
      <c r="W99" s="25">
        <v>252.7</v>
      </c>
      <c r="X99" s="25">
        <v>191807.08</v>
      </c>
      <c r="Y99" s="25">
        <f>(G99*60)+(F99*60)</f>
        <v>3660</v>
      </c>
      <c r="Z99" s="25">
        <v>6697.2</v>
      </c>
      <c r="AA99" s="25">
        <v>0</v>
      </c>
      <c r="AB99" s="25">
        <v>2632</v>
      </c>
      <c r="AC99" s="25">
        <f>G99*35+F99*38</f>
        <v>2135</v>
      </c>
      <c r="AD99" s="25">
        <f>IF(F99="",G99*4.11,F99*4.11)</f>
        <v>250.71</v>
      </c>
      <c r="AE99" s="25">
        <v>383.61</v>
      </c>
      <c r="AF99" s="25">
        <f>V99+Y99+Z99+AA99+AB99+AC99+AD99</f>
        <v>177294.91</v>
      </c>
      <c r="AG99" s="25">
        <f>IFERROR(IFERROR((H99*W99*J99/15)-AE99,""),"")</f>
        <v>191424.11333333334</v>
      </c>
      <c r="AH99" s="26">
        <f>IFERROR(AG99-AF99,"")</f>
        <v>14129.203333333338</v>
      </c>
      <c r="AI99" s="6">
        <f>IF(F99="",(G99/$F$104)*$AL$23,(F99/$F$104)*$AL$23)</f>
        <v>50.320806599450044</v>
      </c>
      <c r="AJ99" s="6">
        <f>(AH99-AI99)*70%</f>
        <v>9855.2177687137209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231.62628415300554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>
        <f>IFERROR(AH99/AG99,"")</f>
        <v>7.3810990095744489E-2</v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  <c r="AI102" s="47"/>
      <c r="AJ102" s="47"/>
    </row>
    <row r="103" spans="1:36" ht="15" thickBot="1" x14ac:dyDescent="0.4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47"/>
      <c r="AI103" s="47"/>
      <c r="AJ103" s="47"/>
    </row>
    <row r="104" spans="1:36" ht="16" thickBot="1" x14ac:dyDescent="0.4">
      <c r="A104" s="377" t="s">
        <v>595</v>
      </c>
      <c r="B104" s="378"/>
      <c r="C104" s="378"/>
      <c r="D104" s="378"/>
      <c r="E104" s="378"/>
      <c r="F104" s="30">
        <f>SUM(F4:G99)</f>
        <v>1091</v>
      </c>
      <c r="G104" s="30"/>
      <c r="H104" s="30"/>
      <c r="I104" s="30"/>
      <c r="J104" s="30"/>
      <c r="K104" s="30"/>
      <c r="L104" s="46"/>
      <c r="M104" s="46"/>
      <c r="N104" s="46"/>
      <c r="O104" s="46"/>
      <c r="P104" s="46"/>
      <c r="Q104" s="46"/>
      <c r="R104" s="46"/>
      <c r="S104" s="46"/>
      <c r="T104" s="46"/>
      <c r="U104" s="30"/>
      <c r="V104" s="31">
        <f>V4+V9+V14+V19+V24+V29+V34+V39+V44+V49+V54+V59+V64+V69+V74+V79+V84+V89+V94+V99</f>
        <v>3731683.6053999998</v>
      </c>
      <c r="W104" s="31"/>
      <c r="X104" s="31"/>
      <c r="Y104" s="31">
        <f t="shared" ref="Y104:AJ104" si="0">Y4+Y9+Y14+Y19+Y24+Y29+Y34+Y39+Y44+Y49+Y54+Y59+Y64+Y69+Y74+Y79+Y84+Y89+Y94+Y99</f>
        <v>65400</v>
      </c>
      <c r="Z104" s="31">
        <f t="shared" si="0"/>
        <v>167951.21000000002</v>
      </c>
      <c r="AA104" s="31">
        <f t="shared" si="0"/>
        <v>0</v>
      </c>
      <c r="AB104" s="31">
        <f t="shared" si="0"/>
        <v>25635.5</v>
      </c>
      <c r="AC104" s="31">
        <f t="shared" si="0"/>
        <v>39350</v>
      </c>
      <c r="AD104" s="31">
        <f t="shared" si="0"/>
        <v>4484.01</v>
      </c>
      <c r="AE104" s="31">
        <f t="shared" si="0"/>
        <v>8568.7700000000023</v>
      </c>
      <c r="AF104" s="31">
        <f t="shared" si="0"/>
        <v>4034504.3253999995</v>
      </c>
      <c r="AG104" s="31">
        <f t="shared" si="0"/>
        <v>4280084.5313333329</v>
      </c>
      <c r="AH104" s="31">
        <f t="shared" si="0"/>
        <v>245580.20593333329</v>
      </c>
      <c r="AI104" s="31">
        <f t="shared" si="0"/>
        <v>899.99999999999989</v>
      </c>
      <c r="AJ104" s="31">
        <f t="shared" si="0"/>
        <v>171276.1441533333</v>
      </c>
    </row>
  </sheetData>
  <mergeCells count="2">
    <mergeCell ref="U2:AC2"/>
    <mergeCell ref="A104:E10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9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4" width="12.26953125" customWidth="1"/>
    <col min="5" max="5" width="7.54296875" bestFit="1" customWidth="1"/>
    <col min="6" max="6" width="8.7265625" bestFit="1" customWidth="1"/>
    <col min="7" max="7" width="7.81640625" bestFit="1" customWidth="1"/>
    <col min="8" max="8" width="9" bestFit="1" customWidth="1"/>
    <col min="9" max="9" width="8" bestFit="1" customWidth="1"/>
    <col min="10" max="10" width="10.26953125" bestFit="1" customWidth="1"/>
    <col min="11" max="11" width="12.453125" bestFit="1" customWidth="1"/>
    <col min="12" max="16" width="6" bestFit="1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customWidth="1"/>
    <col min="39" max="39" width="18" customWidth="1"/>
    <col min="40" max="40" width="13.179687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32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AF109</f>
        <v>4761656.1352222217</v>
      </c>
      <c r="AM3" s="164">
        <f>AH109-AI109</f>
        <v>413913.68293777801</v>
      </c>
    </row>
    <row r="4" spans="1:40" x14ac:dyDescent="0.35">
      <c r="A4" s="20">
        <v>45128</v>
      </c>
      <c r="B4" s="21" t="s">
        <v>330</v>
      </c>
      <c r="C4" s="21" t="s">
        <v>609</v>
      </c>
      <c r="D4" s="44">
        <v>152254</v>
      </c>
      <c r="E4" s="44"/>
      <c r="F4" s="21">
        <v>50</v>
      </c>
      <c r="G4" s="21"/>
      <c r="H4" s="22">
        <v>25580</v>
      </c>
      <c r="I4" s="33">
        <v>0.52</v>
      </c>
      <c r="J4" s="24">
        <f>IFERROR(K4/H4,"")</f>
        <v>0.52900703674745897</v>
      </c>
      <c r="K4" s="22">
        <v>13532</v>
      </c>
      <c r="L4" s="21"/>
      <c r="M4" s="21">
        <v>14</v>
      </c>
      <c r="N4" s="21">
        <v>18</v>
      </c>
      <c r="O4" s="21">
        <v>17</v>
      </c>
      <c r="P4" s="21">
        <v>1</v>
      </c>
      <c r="Q4" s="21"/>
      <c r="R4" s="21"/>
      <c r="S4" s="21"/>
      <c r="T4" s="21"/>
      <c r="U4" s="25">
        <v>213.3</v>
      </c>
      <c r="V4" s="25">
        <f>H4*U4*I4/15</f>
        <v>189148.75200000001</v>
      </c>
      <c r="W4" s="25">
        <v>251.53</v>
      </c>
      <c r="X4" s="25">
        <v>226916.04</v>
      </c>
      <c r="Y4" s="25">
        <f>(G4*60)+(F4*60)</f>
        <v>3000</v>
      </c>
      <c r="Z4" s="25">
        <v>8480.73</v>
      </c>
      <c r="AA4" s="25">
        <v>0</v>
      </c>
      <c r="AB4" s="25">
        <v>1066.5</v>
      </c>
      <c r="AC4" s="25">
        <f>G4*35+F4*38</f>
        <v>1900</v>
      </c>
      <c r="AD4" s="25">
        <f>IF(F4="",G4*4.11,F4*4.11)</f>
        <v>205.50000000000003</v>
      </c>
      <c r="AE4" s="25">
        <v>453.83</v>
      </c>
      <c r="AF4" s="25">
        <f>V4+Y4+Z4+AA4+AB4+AC4+AD4</f>
        <v>203801.48200000002</v>
      </c>
      <c r="AG4" s="25">
        <f>IFERROR(IFERROR((H4*W4*J4/15)-AE4,""),"")</f>
        <v>226459.76733333338</v>
      </c>
      <c r="AH4" s="26">
        <f>IFERROR(AG4-AF4,"")</f>
        <v>22658.285333333362</v>
      </c>
      <c r="AI4" s="6">
        <f>IF(F4="",(G4/$F$109)*$AL$22,(F4/$F$109)*$AL$22)</f>
        <v>321.34745762711862</v>
      </c>
      <c r="AJ4" s="6">
        <f>(AH4-AI4)*70%</f>
        <v>15635.856512994369</v>
      </c>
      <c r="AL4" s="166" t="s">
        <v>749</v>
      </c>
      <c r="AM4" s="167">
        <f>AM3/AL3</f>
        <v>8.6926411984275101E-2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453.16570666666723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0.10005435225932166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/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45128</v>
      </c>
      <c r="B9" s="21" t="s">
        <v>330</v>
      </c>
      <c r="C9" s="21" t="s">
        <v>609</v>
      </c>
      <c r="D9" s="44">
        <v>152458</v>
      </c>
      <c r="E9" s="44"/>
      <c r="F9" s="21">
        <v>50</v>
      </c>
      <c r="G9" s="21"/>
      <c r="H9" s="22">
        <v>25580</v>
      </c>
      <c r="I9" s="33">
        <v>0.52</v>
      </c>
      <c r="J9" s="24">
        <f>IFERROR(K9/H9,"")</f>
        <v>0.52601641907740426</v>
      </c>
      <c r="K9" s="22">
        <v>13455.5</v>
      </c>
      <c r="L9" s="21"/>
      <c r="M9" s="21">
        <v>13</v>
      </c>
      <c r="N9" s="21">
        <v>19</v>
      </c>
      <c r="O9" s="21">
        <v>17</v>
      </c>
      <c r="P9" s="21">
        <v>1</v>
      </c>
      <c r="Q9" s="21"/>
      <c r="R9" s="21"/>
      <c r="S9" s="21"/>
      <c r="T9" s="21"/>
      <c r="U9" s="25">
        <v>213.3</v>
      </c>
      <c r="V9" s="25">
        <f>H9*U9*I9/15</f>
        <v>189148.75200000001</v>
      </c>
      <c r="W9" s="25">
        <v>251.67</v>
      </c>
      <c r="X9" s="25">
        <v>225755.4</v>
      </c>
      <c r="Y9" s="25">
        <f>(G9*60)+(F9*60)</f>
        <v>3000</v>
      </c>
      <c r="Z9" s="25">
        <v>8480.73</v>
      </c>
      <c r="AA9" s="25">
        <v>0</v>
      </c>
      <c r="AB9" s="25">
        <v>1066.5</v>
      </c>
      <c r="AC9" s="25">
        <f>G9*35+F9*38</f>
        <v>1900</v>
      </c>
      <c r="AD9" s="25">
        <f>IF(F9="",G9*4.11,F9*4.11)</f>
        <v>205.50000000000003</v>
      </c>
      <c r="AE9" s="25">
        <v>451.51</v>
      </c>
      <c r="AF9" s="25">
        <f>V9+Y9+Z9+AA9+AB9+AC9+AD9</f>
        <v>203801.48200000002</v>
      </c>
      <c r="AG9" s="25">
        <f>IFERROR(IFERROR((H9*W9*J9/15)-AE9,""),"")</f>
        <v>225304.86900000001</v>
      </c>
      <c r="AH9" s="26">
        <f>IFERROR(AG9-AF9,"")</f>
        <v>21503.386999999988</v>
      </c>
      <c r="AI9" s="6">
        <f>IF(F9="",(G9/$F$109)*$AL$22,(F9/$F$109)*$AL$22)</f>
        <v>321.34745762711862</v>
      </c>
      <c r="AJ9" s="6">
        <f>(AH9-AI9)*70%</f>
        <v>14827.427679661008</v>
      </c>
      <c r="AK9" t="s">
        <v>580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430.06773999999973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9.5441288488088499E-2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/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  <c r="AL13">
        <f>F4+G4+F9+G9+F14+G14+F19+G19+F24+G24+F29+G29+F34+G34+F39+G39+F44+G44+F49+G49+F59+G59+F64+G64+F54+G54+F69+G69+F74+G74+F79+G79+F84+G84+F89+G89+F94+G94+F99+G99+F104+G104</f>
        <v>1180</v>
      </c>
      <c r="AM13" s="50" t="s">
        <v>22</v>
      </c>
      <c r="AN13" t="s">
        <v>71</v>
      </c>
    </row>
    <row r="14" spans="1:40" x14ac:dyDescent="0.35">
      <c r="A14" s="20">
        <v>21</v>
      </c>
      <c r="B14" s="21" t="s">
        <v>330</v>
      </c>
      <c r="C14" s="21" t="s">
        <v>609</v>
      </c>
      <c r="D14" s="44">
        <v>152459</v>
      </c>
      <c r="E14" s="44"/>
      <c r="F14" s="21">
        <v>50</v>
      </c>
      <c r="G14" s="21"/>
      <c r="H14" s="22">
        <v>25580</v>
      </c>
      <c r="I14" s="33">
        <v>0.52</v>
      </c>
      <c r="J14" s="24">
        <f>IFERROR(K14/H14,"")</f>
        <v>0.54456606724003132</v>
      </c>
      <c r="K14" s="22">
        <v>13930</v>
      </c>
      <c r="L14" s="21">
        <v>1</v>
      </c>
      <c r="M14" s="21">
        <v>11</v>
      </c>
      <c r="N14" s="21">
        <v>23</v>
      </c>
      <c r="O14" s="21">
        <v>11</v>
      </c>
      <c r="P14" s="21">
        <v>4</v>
      </c>
      <c r="Q14" s="21"/>
      <c r="R14" s="21"/>
      <c r="S14" s="21"/>
      <c r="T14" s="21"/>
      <c r="U14" s="25">
        <v>213.3</v>
      </c>
      <c r="V14" s="25">
        <f>H14*U14*I14/15</f>
        <v>189148.75200000001</v>
      </c>
      <c r="W14" s="25">
        <v>251.1</v>
      </c>
      <c r="X14" s="25">
        <v>233191.87</v>
      </c>
      <c r="Y14" s="25">
        <f>(G14*60)+(F14*60)</f>
        <v>3000</v>
      </c>
      <c r="Z14" s="25">
        <v>8480.73</v>
      </c>
      <c r="AA14" s="25">
        <v>0</v>
      </c>
      <c r="AB14" s="25">
        <v>1066.5</v>
      </c>
      <c r="AC14" s="25">
        <f>G14*35+F14*38</f>
        <v>1900</v>
      </c>
      <c r="AD14" s="25">
        <f>IF(F14="",G14*4.11,F14*4.11)</f>
        <v>205.50000000000003</v>
      </c>
      <c r="AE14" s="25">
        <v>466.38</v>
      </c>
      <c r="AF14" s="25">
        <f>V14+Y14+Z14+AA14+AB14+AC14+AD14</f>
        <v>203801.48200000002</v>
      </c>
      <c r="AG14" s="25">
        <f>IFERROR(IFERROR((H14*W14*J14/15)-AE14,""),"")</f>
        <v>232721.82000000004</v>
      </c>
      <c r="AH14" s="26">
        <f>IFERROR(AG14-AF14,"")</f>
        <v>28920.338000000018</v>
      </c>
      <c r="AI14" s="6">
        <f>IF(F14="",(G14/$F$109)*$AL$22,(F14/$F$109)*$AL$22)</f>
        <v>321.34745762711862</v>
      </c>
      <c r="AJ14" s="6">
        <f>(AH14-AI14)*70%</f>
        <v>20019.293379661027</v>
      </c>
      <c r="AL14" s="11">
        <f>AH4+AH9+AH14+AH19+AH24+AH29+AH34+AH39+AH44+AH49+AH59+AH64+AH69+AH54+AH74+AH79+AH84+AH89+AH94+AH99+AH104</f>
        <v>421497.482937778</v>
      </c>
      <c r="AM14" s="11">
        <f>AL14*30%</f>
        <v>126449.24488133339</v>
      </c>
      <c r="AN14" s="2"/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578.4067600000003</v>
      </c>
      <c r="AL15" s="11"/>
      <c r="AM15" s="11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0.1242699889507568</v>
      </c>
    </row>
    <row r="17" spans="1:4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  <c r="AL17" s="180" t="s">
        <v>187</v>
      </c>
      <c r="AM17" s="211" t="s">
        <v>680</v>
      </c>
      <c r="AN17" s="190"/>
      <c r="AO17" s="191"/>
    </row>
    <row r="18" spans="1:4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/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78">
        <v>800</v>
      </c>
      <c r="AM18" s="6" t="s">
        <v>386</v>
      </c>
      <c r="AO18" s="174"/>
    </row>
    <row r="19" spans="1:41" x14ac:dyDescent="0.35">
      <c r="A19" s="20">
        <v>45128</v>
      </c>
      <c r="B19" s="21" t="s">
        <v>330</v>
      </c>
      <c r="C19" s="21" t="s">
        <v>609</v>
      </c>
      <c r="D19" s="44">
        <v>152460</v>
      </c>
      <c r="E19" s="44"/>
      <c r="F19" s="21">
        <v>50</v>
      </c>
      <c r="G19" s="21"/>
      <c r="H19" s="22">
        <v>25580</v>
      </c>
      <c r="I19" s="33">
        <v>0.52</v>
      </c>
      <c r="J19" s="24">
        <f>IFERROR(K19/H19,"")</f>
        <v>0.54603205629397966</v>
      </c>
      <c r="K19" s="22">
        <v>13967.5</v>
      </c>
      <c r="L19" s="21"/>
      <c r="M19" s="21">
        <v>9</v>
      </c>
      <c r="N19" s="21">
        <v>21</v>
      </c>
      <c r="O19" s="21">
        <v>19</v>
      </c>
      <c r="P19" s="21">
        <v>1</v>
      </c>
      <c r="Q19" s="21"/>
      <c r="R19" s="21"/>
      <c r="S19" s="21"/>
      <c r="T19" s="21"/>
      <c r="U19" s="25">
        <v>213.3</v>
      </c>
      <c r="V19" s="25">
        <f>H19*U19*I19/15</f>
        <v>189148.75200000001</v>
      </c>
      <c r="W19" s="25">
        <v>250.66</v>
      </c>
      <c r="X19" s="25">
        <v>233408.66</v>
      </c>
      <c r="Y19" s="25">
        <f>(G19*60)+(F19*60)</f>
        <v>3000</v>
      </c>
      <c r="Z19" s="25">
        <v>8480.73</v>
      </c>
      <c r="AA19" s="25">
        <v>0</v>
      </c>
      <c r="AB19" s="25">
        <v>1066.5</v>
      </c>
      <c r="AC19" s="25">
        <f>G19*35+F19*38</f>
        <v>1900</v>
      </c>
      <c r="AD19" s="25">
        <f>IF(F19="",G19*4.11,F19*4.11)</f>
        <v>205.50000000000003</v>
      </c>
      <c r="AE19" s="25">
        <v>466.82</v>
      </c>
      <c r="AF19" s="25">
        <f>V19+Y19+Z19+AA19+AB19+AC19+AD19</f>
        <v>203801.48200000002</v>
      </c>
      <c r="AG19" s="25">
        <f>IFERROR(IFERROR((H19*W19*J19/15)-AE19,""),"")</f>
        <v>232939.41666666666</v>
      </c>
      <c r="AH19" s="26">
        <f>IFERROR(AG19-AF19,"")</f>
        <v>29137.934666666639</v>
      </c>
      <c r="AI19" s="6">
        <f>IF(F19="",(G19/$F$109)*$AL$22,(F19/$F$109)*$AL$22)</f>
        <v>321.34745762711862</v>
      </c>
      <c r="AJ19" s="6">
        <f>(AH19-AI19)*70%</f>
        <v>20171.611046327664</v>
      </c>
      <c r="AL19" s="178">
        <v>1800</v>
      </c>
      <c r="AM19" s="6" t="s">
        <v>614</v>
      </c>
      <c r="AO19" s="174"/>
    </row>
    <row r="20" spans="1:4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582.75869333333276</v>
      </c>
      <c r="AL20" s="178">
        <v>4763.8</v>
      </c>
      <c r="AM20" s="6" t="s">
        <v>619</v>
      </c>
      <c r="AO20" s="174"/>
    </row>
    <row r="21" spans="1:41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0.12508803827032267</v>
      </c>
      <c r="AL21" s="178">
        <v>220</v>
      </c>
      <c r="AM21" s="6" t="s">
        <v>620</v>
      </c>
      <c r="AO21" s="174"/>
    </row>
    <row r="22" spans="1:41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3"/>
      <c r="AA22" s="21"/>
      <c r="AB22" s="21"/>
      <c r="AC22" s="21"/>
      <c r="AD22" s="21"/>
      <c r="AE22" s="21"/>
      <c r="AF22" s="21"/>
      <c r="AG22" s="21"/>
      <c r="AH22" s="24"/>
      <c r="AL22" s="214">
        <f>SUM(AL18:AL21)</f>
        <v>7583.8</v>
      </c>
      <c r="AM22" s="189" t="s">
        <v>682</v>
      </c>
      <c r="AN22" s="190"/>
      <c r="AO22" s="191"/>
    </row>
    <row r="23" spans="1:4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/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</row>
    <row r="24" spans="1:41" x14ac:dyDescent="0.35">
      <c r="A24" s="20">
        <v>45129</v>
      </c>
      <c r="B24" s="21" t="s">
        <v>330</v>
      </c>
      <c r="C24" s="21" t="s">
        <v>332</v>
      </c>
      <c r="D24" s="44">
        <v>152253</v>
      </c>
      <c r="E24" s="44"/>
      <c r="F24" s="21"/>
      <c r="G24" s="21">
        <v>59</v>
      </c>
      <c r="H24" s="22">
        <v>19960</v>
      </c>
      <c r="I24" s="33">
        <v>0.5</v>
      </c>
      <c r="J24" s="24">
        <f>IFERROR(K24/H24,"")</f>
        <v>0.52459919839679359</v>
      </c>
      <c r="K24" s="22">
        <v>10471</v>
      </c>
      <c r="L24" s="21">
        <v>54</v>
      </c>
      <c r="M24" s="21">
        <v>5</v>
      </c>
      <c r="N24" s="21"/>
      <c r="O24" s="21"/>
      <c r="P24" s="21"/>
      <c r="Q24" s="21"/>
      <c r="R24" s="21"/>
      <c r="S24" s="21"/>
      <c r="T24" s="21"/>
      <c r="U24" s="25">
        <v>215</v>
      </c>
      <c r="V24" s="25">
        <f>H24*U24*I24/15</f>
        <v>143046.66666666666</v>
      </c>
      <c r="W24" s="25">
        <v>251.17</v>
      </c>
      <c r="X24" s="25">
        <v>175331.36</v>
      </c>
      <c r="Y24" s="25">
        <f>(G24*60)+(F24*60)</f>
        <v>3540</v>
      </c>
      <c r="Z24" s="25">
        <v>9001.98</v>
      </c>
      <c r="AA24" s="25">
        <v>0</v>
      </c>
      <c r="AB24" s="25">
        <v>1268.5</v>
      </c>
      <c r="AC24" s="25">
        <f>G24*35+F24*38</f>
        <v>2065</v>
      </c>
      <c r="AD24" s="25">
        <f>IF(F24="",G24*4.11,F24*4.11)</f>
        <v>242.49</v>
      </c>
      <c r="AE24" s="25">
        <v>350.66</v>
      </c>
      <c r="AF24" s="25">
        <f>V24+Y24+Z24+AA24+AB24+AC24+AD24</f>
        <v>159164.63666666666</v>
      </c>
      <c r="AG24" s="25">
        <f>IFERROR(IFERROR((H24*W24*J24/15)-AE24,""),"")</f>
        <v>174982.74466666669</v>
      </c>
      <c r="AH24" s="26">
        <f>IFERROR(AG24-AF24,"")</f>
        <v>15818.108000000037</v>
      </c>
      <c r="AI24" s="6">
        <f>IF(F24="",(G24/$F$109)*$AL$22,(F24/$F$109)*$AL$22)</f>
        <v>379.19000000000005</v>
      </c>
      <c r="AJ24" s="6">
        <f>(AH24-AI24)*70%</f>
        <v>10807.242600000025</v>
      </c>
      <c r="AL24" s="11">
        <f>AL14-AL22</f>
        <v>413913.68293777801</v>
      </c>
      <c r="AM24" s="11" t="s">
        <v>471</v>
      </c>
    </row>
    <row r="25" spans="1:4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268.10352542372942</v>
      </c>
      <c r="AL25" s="59">
        <f>AL24*30%</f>
        <v>124174.10488133339</v>
      </c>
      <c r="AM25" s="130" t="s">
        <v>499</v>
      </c>
    </row>
    <row r="26" spans="1:4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9.0398101996472482E-2</v>
      </c>
    </row>
    <row r="27" spans="1:41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</row>
    <row r="28" spans="1:4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/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</row>
    <row r="29" spans="1:41" x14ac:dyDescent="0.35">
      <c r="A29" s="20">
        <v>45129</v>
      </c>
      <c r="B29" s="21" t="s">
        <v>330</v>
      </c>
      <c r="C29" s="21" t="s">
        <v>332</v>
      </c>
      <c r="D29" s="44">
        <v>152252</v>
      </c>
      <c r="E29" s="44"/>
      <c r="F29" s="21"/>
      <c r="G29" s="21">
        <v>59</v>
      </c>
      <c r="H29" s="22">
        <v>19960</v>
      </c>
      <c r="I29" s="33">
        <v>0.5</v>
      </c>
      <c r="J29" s="24">
        <f>IFERROR(K29/H29,"")</f>
        <v>0.51735971943887771</v>
      </c>
      <c r="K29" s="22">
        <v>10326.5</v>
      </c>
      <c r="L29" s="21">
        <v>57</v>
      </c>
      <c r="M29" s="21">
        <v>2</v>
      </c>
      <c r="N29" s="21"/>
      <c r="O29" s="21"/>
      <c r="P29" s="21"/>
      <c r="Q29" s="21"/>
      <c r="R29" s="21"/>
      <c r="S29" s="21"/>
      <c r="T29" s="21"/>
      <c r="U29" s="25">
        <v>215</v>
      </c>
      <c r="V29" s="25">
        <f>H29*U29*I29/15</f>
        <v>143046.66666666666</v>
      </c>
      <c r="W29" s="25">
        <v>252.7</v>
      </c>
      <c r="X29" s="25">
        <v>173969.35</v>
      </c>
      <c r="Y29" s="25">
        <f>(G29*60)+(F29*60)</f>
        <v>3540</v>
      </c>
      <c r="Z29" s="25">
        <v>9001.98</v>
      </c>
      <c r="AA29" s="25">
        <v>0</v>
      </c>
      <c r="AB29" s="25">
        <v>1268.5</v>
      </c>
      <c r="AC29" s="25">
        <f>G29*35+F29*38</f>
        <v>2065</v>
      </c>
      <c r="AD29" s="25">
        <f>IF(F29="",G29*4.11,F29*4.11)</f>
        <v>242.49</v>
      </c>
      <c r="AE29" s="25">
        <v>347.94</v>
      </c>
      <c r="AF29" s="25">
        <f>V29+Y29+Z29+AA29+AB29+AC29+AD29</f>
        <v>159164.63666666666</v>
      </c>
      <c r="AG29" s="25">
        <f>IFERROR(IFERROR((H29*W29*J29/15)-AE29,""),"")</f>
        <v>173619.16333333333</v>
      </c>
      <c r="AH29" s="26">
        <f>IFERROR(AG29-AF29,"")</f>
        <v>14454.526666666672</v>
      </c>
      <c r="AI29" s="6">
        <f>IF(F29="",(G29/$F$109)*$AL$22,(F29/$F$109)*$AL$22)</f>
        <v>379.19000000000005</v>
      </c>
      <c r="AJ29" s="6">
        <f>(AH29-AI29)*70%</f>
        <v>9852.7356666666692</v>
      </c>
      <c r="AL29" s="11">
        <f>AH4+AH9+AH14+AH19+AH24+AH29+AH34+AH39+AH44+AH49+AH54+AH59+AH64+AH99+AH104</f>
        <v>371429.09344444447</v>
      </c>
      <c r="AM29" s="150" t="s">
        <v>596</v>
      </c>
    </row>
    <row r="30" spans="1:4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244.99197740113004</v>
      </c>
      <c r="AL30" s="11">
        <f>AL29-AL22</f>
        <v>363845.29344444448</v>
      </c>
      <c r="AM30" s="1" t="s">
        <v>597</v>
      </c>
    </row>
    <row r="31" spans="1:4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8.325421220303468E-2</v>
      </c>
      <c r="AL31" s="148">
        <f>AL30*30%</f>
        <v>109153.58803333335</v>
      </c>
      <c r="AM31" s="149" t="s">
        <v>598</v>
      </c>
      <c r="AN31" t="s">
        <v>72</v>
      </c>
    </row>
    <row r="32" spans="1:4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151">
        <f>AH69+AH74+AH79+AH84+AH89+AH94</f>
        <v>50068.38949333351</v>
      </c>
      <c r="AM33" s="152" t="s">
        <v>599</v>
      </c>
      <c r="AN33" t="s">
        <v>72</v>
      </c>
    </row>
    <row r="34" spans="1:40" x14ac:dyDescent="0.35">
      <c r="A34" s="20">
        <v>45129</v>
      </c>
      <c r="B34" s="21" t="s">
        <v>330</v>
      </c>
      <c r="C34" s="21" t="s">
        <v>124</v>
      </c>
      <c r="D34" s="44">
        <v>152450</v>
      </c>
      <c r="E34" s="44"/>
      <c r="F34" s="21"/>
      <c r="G34" s="21">
        <v>60</v>
      </c>
      <c r="H34" s="22">
        <v>21690</v>
      </c>
      <c r="I34" s="33">
        <v>0.5</v>
      </c>
      <c r="J34" s="24">
        <f>IFERROR(K34/H34,"")</f>
        <v>0.57030889810972796</v>
      </c>
      <c r="K34" s="22">
        <v>12370</v>
      </c>
      <c r="L34" s="21">
        <v>60</v>
      </c>
      <c r="M34" s="21"/>
      <c r="N34" s="21"/>
      <c r="O34" s="21"/>
      <c r="P34" s="21"/>
      <c r="Q34" s="21"/>
      <c r="R34" s="21"/>
      <c r="S34" s="21"/>
      <c r="T34" s="21"/>
      <c r="U34" s="25">
        <v>220</v>
      </c>
      <c r="V34" s="25">
        <f>H34*U34*I34/15</f>
        <v>159060</v>
      </c>
      <c r="W34" s="25">
        <v>255.86</v>
      </c>
      <c r="X34" s="25">
        <v>211000.48</v>
      </c>
      <c r="Y34" s="25">
        <f>(G34*60)+(F34*60)</f>
        <v>3600</v>
      </c>
      <c r="Z34" s="25">
        <v>10334.26</v>
      </c>
      <c r="AA34" s="25">
        <v>0</v>
      </c>
      <c r="AB34" s="25">
        <v>1320</v>
      </c>
      <c r="AC34" s="25">
        <f>G34*35+F34*38</f>
        <v>2100</v>
      </c>
      <c r="AD34" s="25">
        <f>IF(F34="",G34*4.11,F34*4.11)</f>
        <v>246.60000000000002</v>
      </c>
      <c r="AE34" s="25">
        <v>422.01</v>
      </c>
      <c r="AF34" s="25">
        <f>V34+Y34+Z34+AA34+AB34+AC34+AD34</f>
        <v>176660.86000000002</v>
      </c>
      <c r="AG34" s="25">
        <f>IFERROR(IFERROR((H34*W34*J34/15)-AE34,""),"")</f>
        <v>210577.20333333334</v>
      </c>
      <c r="AH34" s="26">
        <f>IFERROR(AG34-AF34,"")</f>
        <v>33916.343333333323</v>
      </c>
      <c r="AI34" s="6">
        <f>IF(F34="",(G34/$F$109)*$AL$22,(F34/$F$109)*$AL$22)</f>
        <v>385.61694915254242</v>
      </c>
      <c r="AJ34" s="6">
        <f>(AH34-AI34)*70%</f>
        <v>23471.508468926546</v>
      </c>
      <c r="AL34" s="148">
        <f>AL33*30%</f>
        <v>15020.516848000052</v>
      </c>
      <c r="AM34" s="149" t="s">
        <v>525</v>
      </c>
      <c r="AN34" s="2">
        <v>45166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565.27238888888871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0.16106369918706454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/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45129</v>
      </c>
      <c r="B39" s="21" t="s">
        <v>330</v>
      </c>
      <c r="C39" s="21" t="s">
        <v>124</v>
      </c>
      <c r="D39" s="44">
        <v>152451</v>
      </c>
      <c r="E39" s="44"/>
      <c r="F39" s="21"/>
      <c r="G39" s="21">
        <v>60</v>
      </c>
      <c r="H39" s="22">
        <v>21690</v>
      </c>
      <c r="I39" s="33">
        <v>0.5</v>
      </c>
      <c r="J39" s="24">
        <f>IFERROR(K39/H39,"")</f>
        <v>0.54930843706777321</v>
      </c>
      <c r="K39" s="22">
        <v>11914.5</v>
      </c>
      <c r="L39" s="21">
        <v>54</v>
      </c>
      <c r="M39" s="21">
        <v>5</v>
      </c>
      <c r="N39" s="21">
        <v>1</v>
      </c>
      <c r="O39" s="21"/>
      <c r="P39" s="21"/>
      <c r="Q39" s="21"/>
      <c r="R39" s="21"/>
      <c r="S39" s="21"/>
      <c r="T39" s="21"/>
      <c r="U39" s="25">
        <v>220</v>
      </c>
      <c r="V39" s="25">
        <f>H39*U39*I39/15</f>
        <v>159060</v>
      </c>
      <c r="W39" s="25">
        <v>254.73</v>
      </c>
      <c r="X39" s="25">
        <v>202332.11</v>
      </c>
      <c r="Y39" s="25">
        <f>(G39*60)+(F39*60)</f>
        <v>3600</v>
      </c>
      <c r="Z39" s="25">
        <v>10334.26</v>
      </c>
      <c r="AA39" s="25">
        <v>0</v>
      </c>
      <c r="AB39" s="25">
        <v>1320</v>
      </c>
      <c r="AC39" s="25">
        <f>G39*35+F39*38</f>
        <v>2100</v>
      </c>
      <c r="AD39" s="25">
        <f>IF(F39="",G39*4.11,F39*4.11)</f>
        <v>246.60000000000002</v>
      </c>
      <c r="AE39" s="25">
        <v>404.67</v>
      </c>
      <c r="AF39" s="25">
        <f>V39+Y39+Z39+AA39+AB39+AC39+AD39</f>
        <v>176660.86000000002</v>
      </c>
      <c r="AG39" s="25">
        <f>IFERROR(IFERROR((H39*W39*J39/15)-AE39,""),"")</f>
        <v>201927.36900000001</v>
      </c>
      <c r="AH39" s="26">
        <f>IFERROR(AG39-AF39,"")</f>
        <v>25266.508999999991</v>
      </c>
      <c r="AI39" s="6">
        <f>IF(F39="",(G39/$F$109)*$AL$22,(F39/$F$109)*$AL$22)</f>
        <v>385.61694915254242</v>
      </c>
      <c r="AJ39" s="6">
        <f>(AH39-AI39)*70%</f>
        <v>17416.62443559321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421.1084833333332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0.12512671821123955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/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45129</v>
      </c>
      <c r="B44" s="21" t="s">
        <v>330</v>
      </c>
      <c r="C44" s="21" t="s">
        <v>116</v>
      </c>
      <c r="D44" s="44">
        <v>152452</v>
      </c>
      <c r="E44" s="44"/>
      <c r="F44" s="21"/>
      <c r="G44" s="21">
        <v>65</v>
      </c>
      <c r="H44" s="22">
        <v>24010</v>
      </c>
      <c r="I44" s="33">
        <v>0.5</v>
      </c>
      <c r="J44" s="24">
        <f>IFERROR(K44/H44,"")</f>
        <v>0.51720116618075807</v>
      </c>
      <c r="K44" s="22">
        <v>12418</v>
      </c>
      <c r="L44" s="21">
        <v>13</v>
      </c>
      <c r="M44" s="21">
        <v>40</v>
      </c>
      <c r="N44" s="21">
        <v>7</v>
      </c>
      <c r="O44" s="21">
        <v>4</v>
      </c>
      <c r="P44" s="21">
        <v>1</v>
      </c>
      <c r="Q44" s="21"/>
      <c r="R44" s="21"/>
      <c r="S44" s="21"/>
      <c r="T44" s="21"/>
      <c r="U44" s="25">
        <v>215</v>
      </c>
      <c r="V44" s="25">
        <f>H44*U44*I44/15</f>
        <v>172071.66666666666</v>
      </c>
      <c r="W44" s="25">
        <v>252.65</v>
      </c>
      <c r="X44" s="25">
        <v>209156.8</v>
      </c>
      <c r="Y44" s="25">
        <f>(G44*60)+(F44*60)</f>
        <v>3900</v>
      </c>
      <c r="Z44" s="25">
        <v>11262.72</v>
      </c>
      <c r="AA44" s="25">
        <v>0</v>
      </c>
      <c r="AB44" s="25">
        <v>1397.5</v>
      </c>
      <c r="AC44" s="25">
        <f>G44*35+F44*38</f>
        <v>2275</v>
      </c>
      <c r="AD44" s="25">
        <f>IF(F44="",G44*4.11,F44*4.11)</f>
        <v>267.15000000000003</v>
      </c>
      <c r="AE44" s="25">
        <v>418.31</v>
      </c>
      <c r="AF44" s="25">
        <f>V44+Y44+Z44+AA44+AB44+AC44+AD44</f>
        <v>191174.03666666665</v>
      </c>
      <c r="AG44" s="25">
        <f>IFERROR(IFERROR((H44*W44*J44/15)-AE44,""),"")</f>
        <v>208742.20333333334</v>
      </c>
      <c r="AH44" s="26">
        <f>IFERROR(AG44-AF44,"")</f>
        <v>17568.166666666686</v>
      </c>
      <c r="AI44" s="6">
        <f>IF(F44="",(G44/$F$109)*$AL$22,(F44/$F$109)*$AL$22)</f>
        <v>417.75169491525423</v>
      </c>
      <c r="AJ44" s="6">
        <f>(AH44-AI44)*70%</f>
        <v>12005.290480226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270.27948717948749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8.4162025628390424E-2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/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55" t="s">
        <v>106</v>
      </c>
      <c r="Z48" s="14" t="s">
        <v>12</v>
      </c>
      <c r="AA48" s="14" t="s">
        <v>258</v>
      </c>
      <c r="AB48" s="155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x14ac:dyDescent="0.35">
      <c r="A49" s="20">
        <v>45131</v>
      </c>
      <c r="B49" s="21" t="s">
        <v>610</v>
      </c>
      <c r="C49" s="21" t="s">
        <v>611</v>
      </c>
      <c r="D49" s="44">
        <v>152256</v>
      </c>
      <c r="E49" s="44"/>
      <c r="F49" s="21">
        <v>141</v>
      </c>
      <c r="G49" s="21"/>
      <c r="H49" s="22">
        <v>81826</v>
      </c>
      <c r="I49" s="33">
        <v>0.55000000000000004</v>
      </c>
      <c r="J49" s="24">
        <f>IFERROR(K49/H49,"")</f>
        <v>0.57574609537310883</v>
      </c>
      <c r="K49" s="22">
        <v>47111</v>
      </c>
      <c r="L49" s="21"/>
      <c r="M49" s="21">
        <v>68</v>
      </c>
      <c r="N49" s="21">
        <v>70</v>
      </c>
      <c r="O49" s="21">
        <v>3</v>
      </c>
      <c r="P49" s="21"/>
      <c r="Q49" s="21"/>
      <c r="R49" s="21"/>
      <c r="S49" s="21"/>
      <c r="T49" s="21"/>
      <c r="U49" s="25">
        <v>225</v>
      </c>
      <c r="V49" s="25">
        <f>H49*U49*I49/15</f>
        <v>675064.5</v>
      </c>
      <c r="W49" s="25">
        <v>256.49</v>
      </c>
      <c r="X49" s="25">
        <v>805572.61</v>
      </c>
      <c r="Y49" s="25">
        <f>F49*40</f>
        <v>5640</v>
      </c>
      <c r="Z49" s="25">
        <v>51672.54</v>
      </c>
      <c r="AA49" s="25">
        <v>0</v>
      </c>
      <c r="AB49" s="25">
        <v>4758.75</v>
      </c>
      <c r="AC49" s="25">
        <v>0</v>
      </c>
      <c r="AD49" s="25">
        <f>IF(F49="",G49*4.11,F49*4.11)</f>
        <v>579.51</v>
      </c>
      <c r="AE49" s="25">
        <v>1611.14</v>
      </c>
      <c r="AF49" s="25">
        <f>V49+Y49+Z49+AA49+AB49+AC49+AD49</f>
        <v>737715.3</v>
      </c>
      <c r="AG49" s="25">
        <f>IFERROR(IFERROR((H49*W49*J49/15)-AE49,""),"")</f>
        <v>803955.5526666668</v>
      </c>
      <c r="AH49" s="26">
        <f>IFERROR(AG49-AF49,"")</f>
        <v>66240.252666666755</v>
      </c>
      <c r="AI49" s="6">
        <f>IF(F49="",(G49/$F$109)*$AL$22,(F49/$F$109)*$AL$22)</f>
        <v>906.19983050847463</v>
      </c>
      <c r="AJ49" s="6">
        <f>(AH49-AI49)*70%</f>
        <v>45733.836985310794</v>
      </c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469.78902600472878</v>
      </c>
    </row>
    <row r="51" spans="1:36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8.2392928871443533E-2</v>
      </c>
    </row>
    <row r="52" spans="1:36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3" spans="1:36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/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x14ac:dyDescent="0.35">
      <c r="A54" s="20">
        <v>45131</v>
      </c>
      <c r="B54" s="21" t="s">
        <v>330</v>
      </c>
      <c r="C54" s="21" t="s">
        <v>141</v>
      </c>
      <c r="D54" s="44">
        <v>152257</v>
      </c>
      <c r="E54" s="44"/>
      <c r="F54" s="21"/>
      <c r="G54" s="21">
        <v>55</v>
      </c>
      <c r="H54" s="22">
        <v>28210</v>
      </c>
      <c r="I54" s="33">
        <v>0.5</v>
      </c>
      <c r="J54" s="24">
        <f>IFERROR(K54/H54,"")</f>
        <v>0.49225451967387451</v>
      </c>
      <c r="K54" s="22">
        <v>13886.5</v>
      </c>
      <c r="L54" s="21">
        <f>4+4</f>
        <v>8</v>
      </c>
      <c r="M54" s="21">
        <f>6+4</f>
        <v>10</v>
      </c>
      <c r="N54" s="21">
        <f>19+16</f>
        <v>35</v>
      </c>
      <c r="O54" s="21">
        <v>1</v>
      </c>
      <c r="P54" s="21">
        <v>1</v>
      </c>
      <c r="Q54" s="21"/>
      <c r="R54" s="21"/>
      <c r="S54" s="21"/>
      <c r="T54" s="21"/>
      <c r="U54" s="25">
        <v>220</v>
      </c>
      <c r="V54" s="25">
        <f>H54*U54*I54/15</f>
        <v>206873.33333333334</v>
      </c>
      <c r="W54" s="25">
        <v>256.13</v>
      </c>
      <c r="X54" s="25">
        <v>237112.53</v>
      </c>
      <c r="Y54" s="25">
        <f>(G54*60)+(F54*60)</f>
        <v>3300</v>
      </c>
      <c r="Z54" s="25">
        <v>7834.82</v>
      </c>
      <c r="AA54" s="25">
        <v>0</v>
      </c>
      <c r="AB54" s="25">
        <v>1210</v>
      </c>
      <c r="AC54" s="25">
        <f>G54*35+F54*38</f>
        <v>1925</v>
      </c>
      <c r="AD54" s="25">
        <f>IF(F54="",G54*4.11,F54*4.11)</f>
        <v>226.05</v>
      </c>
      <c r="AE54" s="25">
        <v>474.23</v>
      </c>
      <c r="AF54" s="25">
        <f>V54+Y54+Z54+AA54+AB54+AC54+AD54</f>
        <v>221369.20333333334</v>
      </c>
      <c r="AG54" s="25">
        <f>IFERROR(IFERROR((H54*W54*J54/15)-AE54,""),"")</f>
        <v>236642.38633333333</v>
      </c>
      <c r="AH54" s="26">
        <f>IFERROR(AG54-AF54,"")</f>
        <v>15273.18299999999</v>
      </c>
      <c r="AI54" s="6">
        <f>IF(F54="",(G54/$F$109)*$AL$22,(F54/$F$109)*$AL$22)</f>
        <v>353.48220338983054</v>
      </c>
      <c r="AJ54" s="6">
        <f>(AH54-AI54)*70%</f>
        <v>10443.790557627111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277.69423636363621</v>
      </c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6.4541197528688948E-2</v>
      </c>
    </row>
    <row r="57" spans="1:36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6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/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6" x14ac:dyDescent="0.35">
      <c r="A59" s="20">
        <v>45132</v>
      </c>
      <c r="B59" s="21" t="s">
        <v>330</v>
      </c>
      <c r="C59" s="21" t="s">
        <v>613</v>
      </c>
      <c r="D59" s="44">
        <v>152824</v>
      </c>
      <c r="E59" s="44"/>
      <c r="F59" s="98">
        <v>49</v>
      </c>
      <c r="G59" s="21"/>
      <c r="H59" s="22">
        <v>28740.133333333331</v>
      </c>
      <c r="I59" s="33">
        <v>0.55000000000000004</v>
      </c>
      <c r="J59" s="24">
        <f>IFERROR(K59/H59,"")</f>
        <v>0.59491721216788607</v>
      </c>
      <c r="K59" s="22">
        <v>17098</v>
      </c>
      <c r="L59" s="21">
        <v>14</v>
      </c>
      <c r="M59" s="21">
        <v>13</v>
      </c>
      <c r="N59" s="21">
        <v>19</v>
      </c>
      <c r="O59" s="21">
        <v>3</v>
      </c>
      <c r="P59" s="21">
        <v>0</v>
      </c>
      <c r="Q59" s="21"/>
      <c r="R59" s="21"/>
      <c r="S59" s="21"/>
      <c r="T59" s="21"/>
      <c r="U59" s="25">
        <v>230</v>
      </c>
      <c r="V59" s="25">
        <f>H59*U59*I59/15</f>
        <v>242375.12444444446</v>
      </c>
      <c r="W59" s="25">
        <v>254.68</v>
      </c>
      <c r="X59" s="25">
        <v>290303.68</v>
      </c>
      <c r="Y59" s="25">
        <f>F59*60</f>
        <v>2940</v>
      </c>
      <c r="Z59" s="25">
        <v>9162.66</v>
      </c>
      <c r="AA59" s="25">
        <v>0</v>
      </c>
      <c r="AB59" s="25">
        <v>1150</v>
      </c>
      <c r="AC59" s="25">
        <f>F59*35</f>
        <v>1715</v>
      </c>
      <c r="AD59" s="25">
        <f>IF(F59="",G59*4.11,F59*4.11)</f>
        <v>201.39000000000001</v>
      </c>
      <c r="AE59" s="25">
        <v>580.6</v>
      </c>
      <c r="AF59" s="25">
        <f>V59+Y59+Z59+AA59+AB59+AC59+AD59</f>
        <v>257544.17444444448</v>
      </c>
      <c r="AG59" s="25">
        <f>IFERROR(IFERROR((H59*W59*J59/15)-AE59,""),"")</f>
        <v>289720.64266666671</v>
      </c>
      <c r="AH59" s="26">
        <f>IFERROR(AG59-AF59,"")</f>
        <v>32176.468222222233</v>
      </c>
      <c r="AI59" s="6">
        <f>IF(F59="",(G59/$F$109)*$AL$22,(F59/$F$109)*$AL$22)</f>
        <v>314.92050847457625</v>
      </c>
      <c r="AJ59" s="6">
        <f>(AH59-AI59)*70%</f>
        <v>22303.083399623356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5"/>
      <c r="AC60" s="21"/>
      <c r="AD60" s="21"/>
      <c r="AE60" s="21"/>
      <c r="AF60" s="21"/>
      <c r="AG60" s="21"/>
      <c r="AH60" s="26">
        <f>IFERROR(AH59/F59,0)+IFERROR(AH59/G59,0)</f>
        <v>656.6626167800456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0.11106032323434521</v>
      </c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45132</v>
      </c>
      <c r="B64" s="21" t="s">
        <v>330</v>
      </c>
      <c r="C64" s="21" t="s">
        <v>288</v>
      </c>
      <c r="D64" s="44">
        <v>152259</v>
      </c>
      <c r="E64" s="44"/>
      <c r="F64" s="21">
        <v>50</v>
      </c>
      <c r="G64" s="21"/>
      <c r="H64" s="22">
        <v>24170</v>
      </c>
      <c r="I64" s="33">
        <v>0.52</v>
      </c>
      <c r="J64" s="24">
        <f>IFERROR(K64/H64,"")</f>
        <v>0.54555233760860566</v>
      </c>
      <c r="K64" s="22">
        <v>13186</v>
      </c>
      <c r="L64" s="21">
        <v>4</v>
      </c>
      <c r="M64" s="21">
        <f>1+26</f>
        <v>27</v>
      </c>
      <c r="N64" s="21">
        <v>14</v>
      </c>
      <c r="O64" s="21">
        <v>5</v>
      </c>
      <c r="P64" s="21">
        <v>0</v>
      </c>
      <c r="Q64" s="21"/>
      <c r="R64" s="21"/>
      <c r="S64" s="21"/>
      <c r="T64" s="21"/>
      <c r="U64" s="25">
        <v>218</v>
      </c>
      <c r="V64" s="25">
        <f>H64*U64*I64/15</f>
        <v>182660.74666666667</v>
      </c>
      <c r="W64" s="25">
        <v>253.66</v>
      </c>
      <c r="X64" s="25">
        <v>222985.86</v>
      </c>
      <c r="Y64" s="25">
        <f>(G64*60)+(F64*60)</f>
        <v>3000</v>
      </c>
      <c r="Z64" s="25">
        <v>11163.54</v>
      </c>
      <c r="AA64" s="25">
        <v>0</v>
      </c>
      <c r="AB64" s="25">
        <v>1090</v>
      </c>
      <c r="AC64" s="25">
        <f>G64*35+F64*38</f>
        <v>1900</v>
      </c>
      <c r="AD64" s="25">
        <f>IF(F64="",G64*4.11,F64*4.11)</f>
        <v>205.50000000000003</v>
      </c>
      <c r="AE64" s="25">
        <v>445.98</v>
      </c>
      <c r="AF64" s="25">
        <f>V64+Y64+Z64+AA64+AB64+AC64+AD64</f>
        <v>200019.78666666668</v>
      </c>
      <c r="AG64" s="25">
        <f>IFERROR(IFERROR((H64*W64*J64/15)-AE64,""),"")</f>
        <v>222538.07066666664</v>
      </c>
      <c r="AH64" s="26">
        <f>IFERROR(AG64-AF64,"")</f>
        <v>22518.283999999956</v>
      </c>
      <c r="AI64" s="6">
        <f>IF(F64="",(G64/$F$109)*$AL$22,(F64/$F$109)*$AL$22)</f>
        <v>321.34745762711862</v>
      </c>
      <c r="AJ64" s="6">
        <f>(AH64-AI64)*70%</f>
        <v>15537.855579660985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450.36567999999914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0.10118845702463847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/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45133</v>
      </c>
      <c r="B69" s="21" t="s">
        <v>330</v>
      </c>
      <c r="C69" s="21" t="s">
        <v>124</v>
      </c>
      <c r="D69" s="157">
        <v>152266</v>
      </c>
      <c r="E69" s="44"/>
      <c r="F69" s="21"/>
      <c r="G69" s="21">
        <v>60</v>
      </c>
      <c r="H69" s="22">
        <v>23100</v>
      </c>
      <c r="I69" s="33">
        <v>0.5</v>
      </c>
      <c r="J69" s="24">
        <f>IFERROR(K69/H69,"")</f>
        <v>0.49675324675324678</v>
      </c>
      <c r="K69" s="22">
        <v>11475</v>
      </c>
      <c r="L69" s="21">
        <v>6</v>
      </c>
      <c r="M69" s="21">
        <v>28</v>
      </c>
      <c r="N69" s="21">
        <v>19</v>
      </c>
      <c r="O69" s="21">
        <v>4</v>
      </c>
      <c r="P69" s="21">
        <v>3</v>
      </c>
      <c r="Q69" s="21"/>
      <c r="R69" s="21"/>
      <c r="S69" s="21"/>
      <c r="T69" s="21"/>
      <c r="U69" s="25">
        <v>215</v>
      </c>
      <c r="V69" s="25">
        <f>H69*U69*I69/15</f>
        <v>165550</v>
      </c>
      <c r="W69" s="142">
        <v>246.9</v>
      </c>
      <c r="X69" s="25">
        <v>188879.6</v>
      </c>
      <c r="Y69" s="25">
        <f>(G69*60)+(F69*60)</f>
        <v>3600</v>
      </c>
      <c r="Z69" s="25">
        <v>10201.9</v>
      </c>
      <c r="AA69" s="25">
        <v>0</v>
      </c>
      <c r="AB69" s="25">
        <v>1290</v>
      </c>
      <c r="AC69" s="25">
        <f>G69*35+F69*38</f>
        <v>2100</v>
      </c>
      <c r="AD69" s="25">
        <f>IF(F69="",G69*4.11,F69*4.11)</f>
        <v>246.60000000000002</v>
      </c>
      <c r="AE69" s="25">
        <v>377.77</v>
      </c>
      <c r="AF69" s="25">
        <f>V69+Y69+Z69+AA69+AB69+AC69+AD69</f>
        <v>182988.5</v>
      </c>
      <c r="AG69" s="25">
        <f>IFERROR(IFERROR((H69*W69*J69/15)-AE69,""),"")</f>
        <v>188500.73</v>
      </c>
      <c r="AH69" s="26">
        <f>IFERROR(AG69-AF69,"")</f>
        <v>5512.2300000000105</v>
      </c>
      <c r="AI69" s="6">
        <f>IF(F69="",(G69/$F$109)*$AL$22,(F69/$F$109)*$AL$22)</f>
        <v>385.61694915254242</v>
      </c>
      <c r="AJ69" s="6">
        <f>(AH69-AI69)*70%</f>
        <v>3588.6291355932271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91.870500000000177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2.9242486222732456E-2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/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45133</v>
      </c>
      <c r="B74" s="21" t="s">
        <v>330</v>
      </c>
      <c r="C74" s="21" t="s">
        <v>409</v>
      </c>
      <c r="D74" s="157">
        <v>152267</v>
      </c>
      <c r="E74" s="21">
        <v>60</v>
      </c>
      <c r="F74" s="21"/>
      <c r="G74" s="158">
        <v>59</v>
      </c>
      <c r="H74" s="22">
        <v>20591</v>
      </c>
      <c r="I74" s="33">
        <v>0.5</v>
      </c>
      <c r="J74" s="24">
        <f>IFERROR(K74/H74,"")</f>
        <v>0.48703316983147976</v>
      </c>
      <c r="K74" s="22">
        <v>10028.5</v>
      </c>
      <c r="L74" s="21">
        <v>2</v>
      </c>
      <c r="M74" s="21">
        <v>31</v>
      </c>
      <c r="N74" s="21">
        <v>23</v>
      </c>
      <c r="O74" s="21">
        <v>3</v>
      </c>
      <c r="P74" s="21"/>
      <c r="Q74" s="21"/>
      <c r="R74" s="21"/>
      <c r="S74" s="21"/>
      <c r="T74" s="21"/>
      <c r="U74" s="25">
        <v>199.95</v>
      </c>
      <c r="V74" s="25">
        <f>H74*U74*I74/15</f>
        <v>137239.01499999998</v>
      </c>
      <c r="W74" s="142">
        <v>246.24</v>
      </c>
      <c r="X74" s="25">
        <v>164626.99</v>
      </c>
      <c r="Y74" s="25">
        <f>(G74*60)+(F74*60)</f>
        <v>3540</v>
      </c>
      <c r="Z74" s="25">
        <v>10330.64</v>
      </c>
      <c r="AA74" s="25">
        <v>0</v>
      </c>
      <c r="AB74" s="25">
        <v>1179.71</v>
      </c>
      <c r="AC74" s="25">
        <f>G74*35+F74*38</f>
        <v>2065</v>
      </c>
      <c r="AD74" s="25">
        <f>IF(F74="",G74*4.11,F74*4.11)</f>
        <v>242.49</v>
      </c>
      <c r="AE74" s="25">
        <v>329.24</v>
      </c>
      <c r="AF74" s="25">
        <f>V74+Y74+Z74+AA74+AB74+AC74+AD74</f>
        <v>154596.85499999995</v>
      </c>
      <c r="AG74" s="25">
        <f>IFERROR(IFERROR((H74*W74*J74/15)-AE74,""),"")</f>
        <v>164298.61600000001</v>
      </c>
      <c r="AH74" s="26">
        <f>IFERROR(AG74-AF74,"")</f>
        <v>9701.7610000000568</v>
      </c>
      <c r="AI74" s="6">
        <f>IF(F74="",(G74/$F$109)*$AL$22,(F74/$F$109)*$AL$22)</f>
        <v>379.19000000000005</v>
      </c>
      <c r="AJ74" s="6">
        <f>(AH74-AI74)*70%</f>
        <v>6525.7997000000387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164.43662711864502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5.9049560100981349E-2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47"/>
      <c r="AJ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/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>
        <v>45133</v>
      </c>
      <c r="B79" s="21" t="s">
        <v>330</v>
      </c>
      <c r="C79" s="21" t="s">
        <v>460</v>
      </c>
      <c r="D79" s="157">
        <v>152264</v>
      </c>
      <c r="E79" s="44"/>
      <c r="F79" s="21">
        <v>100</v>
      </c>
      <c r="G79" s="21"/>
      <c r="H79" s="22">
        <v>58300</v>
      </c>
      <c r="I79" s="33">
        <v>0.54</v>
      </c>
      <c r="J79" s="24">
        <f>IFERROR(K79/H79,"")</f>
        <v>0.53745283018867929</v>
      </c>
      <c r="K79" s="22">
        <v>31333.5</v>
      </c>
      <c r="L79" s="21">
        <v>2</v>
      </c>
      <c r="M79" s="21">
        <v>64</v>
      </c>
      <c r="N79" s="21">
        <v>33</v>
      </c>
      <c r="O79" s="21">
        <v>1</v>
      </c>
      <c r="P79" s="21"/>
      <c r="Q79" s="21"/>
      <c r="R79" s="21"/>
      <c r="S79" s="21"/>
      <c r="T79" s="21"/>
      <c r="U79" s="25">
        <v>225</v>
      </c>
      <c r="V79" s="25">
        <f>H79*U79*I79/15</f>
        <v>472230.00000000006</v>
      </c>
      <c r="W79" s="142">
        <v>253.55</v>
      </c>
      <c r="X79" s="25">
        <v>529662.93000000005</v>
      </c>
      <c r="Y79" s="25">
        <f>(G79*60)+(F79*60)</f>
        <v>6000</v>
      </c>
      <c r="Z79" s="25">
        <v>27101.24</v>
      </c>
      <c r="AA79" s="25">
        <v>0</v>
      </c>
      <c r="AB79" s="25">
        <v>2250</v>
      </c>
      <c r="AC79" s="25">
        <f>G79*35+F79*38</f>
        <v>3800</v>
      </c>
      <c r="AD79" s="25">
        <f>IF(F79="",G79*4.11,F79*4.11)</f>
        <v>411.00000000000006</v>
      </c>
      <c r="AE79" s="25">
        <v>1059.32</v>
      </c>
      <c r="AF79" s="25">
        <f>V79+Y79+Z79+AA79+AB79+AC79+AD79</f>
        <v>511792.24000000005</v>
      </c>
      <c r="AG79" s="25">
        <f>IFERROR(IFERROR((H79*W79*J79/15)-AE79,""),"")</f>
        <v>528581.27500000014</v>
      </c>
      <c r="AH79" s="26">
        <f>IFERROR(AG79-AF79,"")</f>
        <v>16789.035000000091</v>
      </c>
      <c r="AI79" s="6">
        <f>IF(F79="",(G79/$F$109)*$AL$22,(F79/$F$109)*$AL$22)</f>
        <v>642.69491525423723</v>
      </c>
      <c r="AJ79" s="6">
        <f>(AH79-AI79)*70%</f>
        <v>11302.438059322098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167.89035000000092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>
        <f>IFERROR(AH79/AG79,"")</f>
        <v>3.1762447506298981E-2</v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/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>
        <v>45134</v>
      </c>
      <c r="B84" s="21" t="s">
        <v>615</v>
      </c>
      <c r="C84" s="21" t="s">
        <v>616</v>
      </c>
      <c r="D84" s="157">
        <v>152427</v>
      </c>
      <c r="E84" s="44"/>
      <c r="F84" s="21">
        <v>26</v>
      </c>
      <c r="G84" s="21"/>
      <c r="H84" s="22">
        <v>13930</v>
      </c>
      <c r="I84" s="33">
        <v>0.53</v>
      </c>
      <c r="J84" s="24">
        <f>IFERROR(K84/H84,"")</f>
        <v>0.55067910983488877</v>
      </c>
      <c r="K84" s="22">
        <v>7670.96</v>
      </c>
      <c r="L84" s="21">
        <v>3</v>
      </c>
      <c r="M84" s="21">
        <v>16</v>
      </c>
      <c r="N84" s="21">
        <v>5</v>
      </c>
      <c r="O84" s="21">
        <v>2</v>
      </c>
      <c r="P84" s="21"/>
      <c r="Q84" s="21"/>
      <c r="R84" s="21"/>
      <c r="S84" s="21"/>
      <c r="T84" s="21"/>
      <c r="U84" s="25">
        <v>235</v>
      </c>
      <c r="V84" s="25">
        <f>H84*U84*I84/15</f>
        <v>115665.43333333333</v>
      </c>
      <c r="W84" s="142">
        <v>251.76</v>
      </c>
      <c r="X84" s="25">
        <v>128752.02</v>
      </c>
      <c r="Y84" s="25">
        <v>0</v>
      </c>
      <c r="Z84" s="25">
        <v>770.37</v>
      </c>
      <c r="AA84" s="25">
        <v>0</v>
      </c>
      <c r="AB84" s="25">
        <v>611</v>
      </c>
      <c r="AC84" s="25">
        <v>0</v>
      </c>
      <c r="AD84" s="25">
        <f>IF(F84="",G84*4.11,F84*4.11)</f>
        <v>106.86000000000001</v>
      </c>
      <c r="AE84" s="25">
        <v>257.5</v>
      </c>
      <c r="AF84" s="25">
        <f>V84+Y84+Z84+AA84+AB84+AC84+AD84</f>
        <v>117153.66333333333</v>
      </c>
      <c r="AG84" s="25">
        <f>IFERROR(IFERROR((H84*W84*J84/15)-AE84,""),"")</f>
        <v>128491.89264000001</v>
      </c>
      <c r="AH84" s="26">
        <f>IFERROR(AG84-AF84,"")</f>
        <v>11338.229306666675</v>
      </c>
      <c r="AI84" s="6">
        <f>IF(F84="",(G84/$F$109)*$AL$22,(F84/$F$109)*$AL$22)</f>
        <v>167.1006779661017</v>
      </c>
      <c r="AJ84" s="6">
        <f>(AH84-AI84)*70%</f>
        <v>7819.7900400904009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436.08574256410287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>
        <f>IFERROR(AH84/AG84,"")</f>
        <v>8.8240814838282194E-2</v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/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>
        <v>45134</v>
      </c>
      <c r="B89" s="21" t="s">
        <v>615</v>
      </c>
      <c r="C89" s="21" t="s">
        <v>616</v>
      </c>
      <c r="D89" s="157">
        <v>152427</v>
      </c>
      <c r="E89" s="44"/>
      <c r="F89" s="21">
        <v>1</v>
      </c>
      <c r="G89" s="21"/>
      <c r="H89" s="22">
        <v>490</v>
      </c>
      <c r="I89" s="33">
        <v>0.5</v>
      </c>
      <c r="J89" s="24">
        <f>IFERROR(K89/H89,"")</f>
        <v>0.60210204081632646</v>
      </c>
      <c r="K89" s="22">
        <v>295.02999999999997</v>
      </c>
      <c r="L89" s="21"/>
      <c r="M89" s="21">
        <v>1</v>
      </c>
      <c r="N89" s="21"/>
      <c r="O89" s="21"/>
      <c r="P89" s="21"/>
      <c r="Q89" s="21"/>
      <c r="R89" s="21"/>
      <c r="S89" s="21"/>
      <c r="T89" s="21"/>
      <c r="U89" s="25">
        <v>220</v>
      </c>
      <c r="V89" s="25">
        <f>H89*U89*I89/15</f>
        <v>3593.3333333333335</v>
      </c>
      <c r="W89" s="142">
        <v>251.76</v>
      </c>
      <c r="X89" s="25">
        <v>4952</v>
      </c>
      <c r="Y89" s="25">
        <v>0</v>
      </c>
      <c r="Z89" s="25">
        <v>29.62</v>
      </c>
      <c r="AA89" s="25">
        <v>0</v>
      </c>
      <c r="AB89" s="25">
        <v>22</v>
      </c>
      <c r="AC89" s="25">
        <v>0</v>
      </c>
      <c r="AD89" s="25">
        <f>IF(F89="",G89*4.11,F89*4.11)</f>
        <v>4.1100000000000003</v>
      </c>
      <c r="AE89" s="25">
        <v>9.9</v>
      </c>
      <c r="AF89" s="25">
        <f>V89+Y89+Z89+AA89+AB89+AC89+AD89</f>
        <v>3649.0633333333335</v>
      </c>
      <c r="AG89" s="25">
        <f>IFERROR(IFERROR((H89*W89*J89/15)-AE89,""),"")</f>
        <v>4941.8835199999994</v>
      </c>
      <c r="AH89" s="26">
        <f>IFERROR(AG89-AF89,"")</f>
        <v>1292.8201866666659</v>
      </c>
      <c r="AI89" s="6">
        <f>IF(F89="",(G89/$F$109)*$AL$22,(F89/$F$109)*$AL$22)</f>
        <v>6.426949152542373</v>
      </c>
      <c r="AJ89" s="6">
        <f>(AH89-AI89)*70%</f>
        <v>900.47526625988633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1292.8201866666659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>
        <f>IFERROR(AH89/AG89,"")</f>
        <v>0.26160474673969369</v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/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>
        <v>45134</v>
      </c>
      <c r="B94" s="21" t="s">
        <v>617</v>
      </c>
      <c r="C94" s="21" t="s">
        <v>616</v>
      </c>
      <c r="D94" s="157">
        <v>152426</v>
      </c>
      <c r="E94" s="44"/>
      <c r="F94" s="21">
        <v>36</v>
      </c>
      <c r="G94" s="21"/>
      <c r="H94" s="22">
        <v>20050</v>
      </c>
      <c r="I94" s="33">
        <v>0.54</v>
      </c>
      <c r="J94" s="24">
        <f>IFERROR(K94/H94,"")</f>
        <v>0.53807980049875315</v>
      </c>
      <c r="K94" s="22">
        <v>10788.5</v>
      </c>
      <c r="L94" s="21"/>
      <c r="M94" s="21">
        <v>16</v>
      </c>
      <c r="N94" s="21">
        <v>12</v>
      </c>
      <c r="O94" s="21">
        <v>7</v>
      </c>
      <c r="P94" s="21"/>
      <c r="Q94" s="21">
        <v>1</v>
      </c>
      <c r="R94" s="14"/>
      <c r="S94" s="21"/>
      <c r="T94" s="21"/>
      <c r="U94" s="25">
        <v>235</v>
      </c>
      <c r="V94" s="25">
        <f>H94*U94*I94/15</f>
        <v>169623</v>
      </c>
      <c r="W94" s="142">
        <v>246.66</v>
      </c>
      <c r="X94" s="25">
        <v>177408.98</v>
      </c>
      <c r="Y94" s="25">
        <v>0</v>
      </c>
      <c r="Z94" s="25">
        <v>1000</v>
      </c>
      <c r="AA94" s="25">
        <v>0</v>
      </c>
      <c r="AB94" s="25">
        <v>846</v>
      </c>
      <c r="AC94" s="25">
        <v>0</v>
      </c>
      <c r="AD94" s="25">
        <f>IF(F94="",G94*4.11,F94*4.11)</f>
        <v>147.96</v>
      </c>
      <c r="AE94" s="25">
        <v>354.82</v>
      </c>
      <c r="AF94" s="25">
        <f>V94+Y94+Z94+AA94+AB94+AC94+AD94</f>
        <v>171616.96</v>
      </c>
      <c r="AG94" s="25">
        <f>IFERROR(IFERROR((H94*W94*J94/15)-AE94,""),"")</f>
        <v>177051.274</v>
      </c>
      <c r="AH94" s="26">
        <f>IFERROR(AG94-AF94,"")</f>
        <v>5434.314000000013</v>
      </c>
      <c r="AI94" s="6">
        <f>IF(F94="",(G94/$F$109)*$AL$22,(F94/$F$109)*$AL$22)</f>
        <v>231.37016949152544</v>
      </c>
      <c r="AJ94" s="6">
        <f>(AH94-AI94)*70%</f>
        <v>3642.0606813559411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150.95316666666702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3.0693447594169882E-2</v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47"/>
      <c r="AJ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/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>
        <v>45132</v>
      </c>
      <c r="B99" s="21" t="s">
        <v>330</v>
      </c>
      <c r="C99" s="21" t="s">
        <v>613</v>
      </c>
      <c r="D99" s="44">
        <v>152262</v>
      </c>
      <c r="E99" s="44"/>
      <c r="F99" s="98">
        <v>50</v>
      </c>
      <c r="G99" s="21"/>
      <c r="H99" s="22">
        <v>29326.666666666668</v>
      </c>
      <c r="I99" s="33">
        <v>0.55000000000000004</v>
      </c>
      <c r="J99" s="24">
        <f>IFERROR(K99/H99,"")</f>
        <v>0.58017162991589</v>
      </c>
      <c r="K99" s="22">
        <v>17014.5</v>
      </c>
      <c r="L99" s="21">
        <v>10</v>
      </c>
      <c r="M99" s="21">
        <v>20</v>
      </c>
      <c r="N99" s="21">
        <v>16</v>
      </c>
      <c r="O99" s="21">
        <v>3</v>
      </c>
      <c r="P99" s="21"/>
      <c r="Q99" s="21">
        <v>1</v>
      </c>
      <c r="R99" s="14"/>
      <c r="S99" s="21"/>
      <c r="T99" s="21"/>
      <c r="U99" s="25">
        <v>230</v>
      </c>
      <c r="V99" s="25">
        <f>H99*U99*I99/15</f>
        <v>247321.55555555559</v>
      </c>
      <c r="W99" s="25">
        <v>253.31</v>
      </c>
      <c r="X99" s="25">
        <v>287331.61</v>
      </c>
      <c r="Y99" s="25">
        <f>(G99*60)+(F99*60)</f>
        <v>3000</v>
      </c>
      <c r="Z99" s="25">
        <v>9162.66</v>
      </c>
      <c r="AA99" s="25">
        <v>0</v>
      </c>
      <c r="AB99" s="25">
        <v>1150</v>
      </c>
      <c r="AC99" s="25">
        <f>F99*35</f>
        <v>1750</v>
      </c>
      <c r="AD99" s="25">
        <f>IF(F99="",G99*4.11,F99*4.11)</f>
        <v>205.50000000000003</v>
      </c>
      <c r="AE99" s="25">
        <v>574.66999999999996</v>
      </c>
      <c r="AF99" s="25">
        <f>V99+Y99+Z99+AA99+AB99+AC99+AD99</f>
        <v>262589.71555555559</v>
      </c>
      <c r="AG99" s="25">
        <f>IFERROR(IFERROR((H99*W99*J99/15)-AE99,""),"")</f>
        <v>286754.86300000001</v>
      </c>
      <c r="AH99" s="26">
        <f>IFERROR(AG99-AF99,"")</f>
        <v>24165.147444444417</v>
      </c>
      <c r="AI99" s="6">
        <f>IF(F99="",(G99/$F$109)*$AL$22,(F99/$F$109)*$AL$22)</f>
        <v>321.34745762711862</v>
      </c>
      <c r="AJ99" s="6">
        <f>(AH99-AI99)*70%</f>
        <v>16690.65999077211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483.30294888888835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>
        <f>IFERROR(AH99/AG99,"")</f>
        <v>8.4271098985492759E-2</v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/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>
        <v>45132</v>
      </c>
      <c r="B104" s="21" t="s">
        <v>330</v>
      </c>
      <c r="C104" s="21" t="s">
        <v>613</v>
      </c>
      <c r="D104" s="44">
        <v>152825</v>
      </c>
      <c r="E104" s="44"/>
      <c r="F104" s="98">
        <v>50</v>
      </c>
      <c r="G104" s="21"/>
      <c r="H104" s="22">
        <v>29326.666666666668</v>
      </c>
      <c r="I104" s="33">
        <v>0.55000000000000004</v>
      </c>
      <c r="J104" s="24">
        <f>IFERROR(K104/H104,"")</f>
        <v>0.53117185724028182</v>
      </c>
      <c r="K104" s="22">
        <v>15577.5</v>
      </c>
      <c r="L104" s="21">
        <v>28</v>
      </c>
      <c r="M104" s="21">
        <v>19</v>
      </c>
      <c r="N104" s="21">
        <v>2</v>
      </c>
      <c r="O104" s="21">
        <v>1</v>
      </c>
      <c r="P104" s="21">
        <v>0</v>
      </c>
      <c r="Q104" s="21"/>
      <c r="R104" s="21"/>
      <c r="S104" s="21"/>
      <c r="T104" s="21"/>
      <c r="U104" s="25">
        <v>230</v>
      </c>
      <c r="V104" s="25">
        <f>H104*U104*I104/15</f>
        <v>247321.55555555559</v>
      </c>
      <c r="W104" s="25">
        <v>255.11</v>
      </c>
      <c r="X104" s="25">
        <v>264928.18</v>
      </c>
      <c r="Y104" s="25">
        <f>(G104*60)+(F104*60)</f>
        <v>3000</v>
      </c>
      <c r="Z104" s="25">
        <v>9162.66</v>
      </c>
      <c r="AA104" s="25">
        <v>0</v>
      </c>
      <c r="AB104" s="25">
        <v>1150</v>
      </c>
      <c r="AC104" s="25">
        <f>F104*35</f>
        <v>1750</v>
      </c>
      <c r="AD104" s="25">
        <f>IF(F104="",G104*4.11,F104*4.11)</f>
        <v>205.50000000000003</v>
      </c>
      <c r="AE104" s="25">
        <v>529.86</v>
      </c>
      <c r="AF104" s="25">
        <f>V104+Y104+Z104+AA104+AB104+AC104+AD104</f>
        <v>262589.71555555559</v>
      </c>
      <c r="AG104" s="25">
        <f>IFERROR(IFERROR((H104*W104*J104/15)-AE104,""),"")</f>
        <v>264401.875</v>
      </c>
      <c r="AH104" s="26">
        <f>IFERROR(AG104-AF104,"")</f>
        <v>1812.1594444444054</v>
      </c>
      <c r="AI104" s="6">
        <f>IF(F104="",(G104/$F$109)*$AL$22,(F104/$F$109)*$AL$22)</f>
        <v>321.34745762711862</v>
      </c>
      <c r="AJ104" s="6">
        <f>(AH104-AI104)*70%</f>
        <v>1043.5683907721007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36.243188888888106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>
        <f>IFERROR(AH104/AG104,"")</f>
        <v>6.8538070860670163E-3</v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ht="15" thickBot="1" x14ac:dyDescent="0.4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47"/>
    </row>
    <row r="109" spans="1:36" ht="16" thickBot="1" x14ac:dyDescent="0.4">
      <c r="A109" s="377" t="s">
        <v>607</v>
      </c>
      <c r="B109" s="378"/>
      <c r="C109" s="378"/>
      <c r="D109" s="378"/>
      <c r="E109" s="378"/>
      <c r="F109" s="30">
        <f>SUM(F4:G104)</f>
        <v>1180</v>
      </c>
      <c r="G109" s="30"/>
      <c r="H109" s="30"/>
      <c r="I109" s="30"/>
      <c r="J109" s="30"/>
      <c r="K109" s="30"/>
      <c r="L109" s="46"/>
      <c r="M109" s="46"/>
      <c r="N109" s="46"/>
      <c r="O109" s="46"/>
      <c r="P109" s="46"/>
      <c r="Q109" s="46"/>
      <c r="R109" s="46"/>
      <c r="S109" s="46"/>
      <c r="T109" s="46"/>
      <c r="U109" s="30"/>
      <c r="V109" s="31">
        <f>V4+V9+V14+V19+V24+V29+V34+V39+V44+V49+V54+V59+V64+V69+V74+V79+V84+V89+V94+V99+V104</f>
        <v>4398397.6052222233</v>
      </c>
      <c r="W109" s="31"/>
      <c r="X109" s="31"/>
      <c r="Y109" s="31">
        <f t="shared" ref="Y109:AJ109" si="0">Y4+Y9+Y14+Y19+Y24+Y29+Y34+Y39+Y44+Y49+Y54+Y59+Y64+Y69+Y74+Y79+Y84+Y89+Y94+Y99+Y104</f>
        <v>64200</v>
      </c>
      <c r="Z109" s="31">
        <f t="shared" si="0"/>
        <v>231450.77000000002</v>
      </c>
      <c r="AA109" s="31">
        <f t="shared" si="0"/>
        <v>0</v>
      </c>
      <c r="AB109" s="31">
        <f t="shared" si="0"/>
        <v>27547.96</v>
      </c>
      <c r="AC109" s="31">
        <f t="shared" si="0"/>
        <v>35210</v>
      </c>
      <c r="AD109" s="31">
        <f t="shared" si="0"/>
        <v>4849.7999999999993</v>
      </c>
      <c r="AE109" s="31">
        <f t="shared" si="0"/>
        <v>10387.16</v>
      </c>
      <c r="AF109" s="31">
        <f t="shared" si="0"/>
        <v>4761656.1352222217</v>
      </c>
      <c r="AG109" s="31">
        <f t="shared" si="0"/>
        <v>5183153.6181600001</v>
      </c>
      <c r="AH109" s="31">
        <f t="shared" si="0"/>
        <v>421497.482937778</v>
      </c>
      <c r="AI109" s="31">
        <f t="shared" si="0"/>
        <v>7583.7999999999993</v>
      </c>
      <c r="AJ109" s="31">
        <f t="shared" si="0"/>
        <v>289739.57805644453</v>
      </c>
    </row>
  </sheetData>
  <mergeCells count="2">
    <mergeCell ref="U2:AC2"/>
    <mergeCell ref="A109:E10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9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4" width="11.7265625" bestFit="1" customWidth="1"/>
    <col min="5" max="5" width="7.54296875" bestFit="1" customWidth="1"/>
    <col min="6" max="6" width="8.7265625" bestFit="1" customWidth="1"/>
    <col min="7" max="7" width="7.81640625" bestFit="1" customWidth="1"/>
    <col min="8" max="8" width="10" bestFit="1" customWidth="1"/>
    <col min="9" max="9" width="8" bestFit="1" customWidth="1"/>
    <col min="10" max="10" width="10.26953125" bestFit="1" customWidth="1"/>
    <col min="11" max="11" width="12.453125" bestFit="1" customWidth="1"/>
    <col min="12" max="16" width="6" bestFit="1" customWidth="1"/>
    <col min="17" max="18" width="11.26953125" bestFit="1" customWidth="1"/>
    <col min="19" max="19" width="3.7265625" bestFit="1" customWidth="1"/>
    <col min="20" max="20" width="2.81640625" bestFit="1" customWidth="1"/>
    <col min="21" max="21" width="15.1796875" bestFit="1" customWidth="1"/>
    <col min="22" max="22" width="15.7265625" bestFit="1" customWidth="1"/>
    <col min="23" max="23" width="13.453125" bestFit="1" customWidth="1"/>
    <col min="24" max="24" width="14.54296875" bestFit="1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customWidth="1"/>
    <col min="39" max="39" width="18" customWidth="1"/>
    <col min="40" max="40" width="13.179687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37" t="s">
        <v>1</v>
      </c>
      <c r="B3" s="37" t="s">
        <v>2</v>
      </c>
      <c r="C3" s="37" t="s">
        <v>110</v>
      </c>
      <c r="D3" s="37" t="s">
        <v>66</v>
      </c>
      <c r="E3" s="37" t="s">
        <v>32</v>
      </c>
      <c r="F3" s="37" t="s">
        <v>137</v>
      </c>
      <c r="G3" s="37" t="s">
        <v>138</v>
      </c>
      <c r="H3" s="37" t="s">
        <v>4</v>
      </c>
      <c r="I3" s="37" t="s">
        <v>5</v>
      </c>
      <c r="J3" s="37" t="s">
        <v>6</v>
      </c>
      <c r="K3" s="37" t="s">
        <v>7</v>
      </c>
      <c r="L3" s="37" t="s">
        <v>279</v>
      </c>
      <c r="M3" s="37" t="s">
        <v>280</v>
      </c>
      <c r="N3" s="37" t="s">
        <v>281</v>
      </c>
      <c r="O3" s="37" t="s">
        <v>282</v>
      </c>
      <c r="P3" s="37" t="s">
        <v>283</v>
      </c>
      <c r="Q3" s="37" t="s">
        <v>284</v>
      </c>
      <c r="R3" s="37" t="s">
        <v>904</v>
      </c>
      <c r="S3" s="37" t="s">
        <v>285</v>
      </c>
      <c r="T3" s="37" t="s">
        <v>289</v>
      </c>
      <c r="U3" s="37" t="s">
        <v>8</v>
      </c>
      <c r="V3" s="37" t="s">
        <v>9</v>
      </c>
      <c r="W3" s="37" t="s">
        <v>10</v>
      </c>
      <c r="X3" s="37" t="s">
        <v>100</v>
      </c>
      <c r="Y3" s="37" t="s">
        <v>106</v>
      </c>
      <c r="Z3" s="37" t="s">
        <v>12</v>
      </c>
      <c r="AA3" s="37" t="s">
        <v>258</v>
      </c>
      <c r="AB3" s="37" t="s">
        <v>13</v>
      </c>
      <c r="AC3" s="37" t="s">
        <v>74</v>
      </c>
      <c r="AD3" s="37" t="s">
        <v>21</v>
      </c>
      <c r="AE3" s="37" t="s">
        <v>14</v>
      </c>
      <c r="AF3" s="37" t="s">
        <v>15</v>
      </c>
      <c r="AG3" s="37" t="s">
        <v>16</v>
      </c>
      <c r="AH3" s="15" t="s">
        <v>17</v>
      </c>
      <c r="AI3" s="14" t="s">
        <v>679</v>
      </c>
      <c r="AJ3" s="14" t="s">
        <v>678</v>
      </c>
      <c r="AL3" s="164">
        <f>AF79</f>
        <v>3165831.0237666671</v>
      </c>
      <c r="AM3" s="164">
        <f>AH79-AI79</f>
        <v>283152.29167333321</v>
      </c>
    </row>
    <row r="4" spans="1:40" x14ac:dyDescent="0.35">
      <c r="A4" s="38">
        <v>45136</v>
      </c>
      <c r="B4" s="39" t="s">
        <v>330</v>
      </c>
      <c r="C4" s="39" t="s">
        <v>124</v>
      </c>
      <c r="D4" s="157">
        <v>152835</v>
      </c>
      <c r="E4" s="45"/>
      <c r="F4" s="39"/>
      <c r="G4" s="39">
        <v>64</v>
      </c>
      <c r="H4" s="40">
        <v>22760</v>
      </c>
      <c r="I4" s="53">
        <v>0.5</v>
      </c>
      <c r="J4" s="42">
        <f>IFERROR(K4/H4,"")</f>
        <v>0.51209929701230228</v>
      </c>
      <c r="K4" s="40">
        <v>11655.38</v>
      </c>
      <c r="L4" s="39">
        <v>34</v>
      </c>
      <c r="M4" s="39">
        <v>25</v>
      </c>
      <c r="N4" s="39">
        <v>5</v>
      </c>
      <c r="O4" s="39"/>
      <c r="P4" s="39"/>
      <c r="Q4" s="39"/>
      <c r="R4" s="39"/>
      <c r="S4" s="39"/>
      <c r="T4" s="39"/>
      <c r="U4" s="43">
        <v>210</v>
      </c>
      <c r="V4" s="43">
        <f>H4*U4*I4/15</f>
        <v>159320</v>
      </c>
      <c r="W4" s="142">
        <v>248.34</v>
      </c>
      <c r="X4" s="43">
        <v>192964.39</v>
      </c>
      <c r="Y4" s="43">
        <f>(G4*60)+(F4*60)</f>
        <v>3840</v>
      </c>
      <c r="Z4" s="43">
        <v>10219.92</v>
      </c>
      <c r="AA4" s="43">
        <v>0</v>
      </c>
      <c r="AB4" s="43">
        <v>1344</v>
      </c>
      <c r="AC4" s="43">
        <f>G4*35+F4*38</f>
        <v>2240</v>
      </c>
      <c r="AD4" s="43">
        <f>IF(F4="",G4*4.11,F4*4.11)</f>
        <v>263.04000000000002</v>
      </c>
      <c r="AE4" s="43">
        <v>385.92</v>
      </c>
      <c r="AF4" s="43">
        <f>V4+Y4+Z4+AA4+AB4+AC4+AD4</f>
        <v>177226.96000000002</v>
      </c>
      <c r="AG4" s="43">
        <f>IFERROR(IFERROR((H4*W4*J4/15)-AE4,""),"")</f>
        <v>192580.55128000001</v>
      </c>
      <c r="AH4" s="26">
        <f>IFERROR(AG4-AF4,"")</f>
        <v>15353.591279999993</v>
      </c>
      <c r="AI4" s="6">
        <f>IF(F4="",(G4/$F$79)*$AL$24,(F4/$F$79)*$AL$24)</f>
        <v>770.20418204182045</v>
      </c>
      <c r="AJ4" s="6">
        <f>(AH4-AI4)*70%</f>
        <v>10208.37096857072</v>
      </c>
      <c r="AL4" s="166" t="s">
        <v>749</v>
      </c>
      <c r="AM4" s="167">
        <f>AM3/AL3</f>
        <v>8.9440115264409176E-2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239.89986374999989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7.9725554724769873E-2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/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45136</v>
      </c>
      <c r="B9" s="21" t="s">
        <v>330</v>
      </c>
      <c r="C9" s="21" t="s">
        <v>124</v>
      </c>
      <c r="D9" s="157">
        <v>152836</v>
      </c>
      <c r="E9" s="44"/>
      <c r="F9" s="21"/>
      <c r="G9" s="21">
        <v>65</v>
      </c>
      <c r="H9" s="22">
        <v>26320</v>
      </c>
      <c r="I9" s="33">
        <v>0.5</v>
      </c>
      <c r="J9" s="24">
        <f>IFERROR(K9/H9,"")</f>
        <v>0.5207256838905775</v>
      </c>
      <c r="K9" s="22">
        <v>13705.5</v>
      </c>
      <c r="L9" s="21">
        <v>14</v>
      </c>
      <c r="M9" s="21">
        <v>38</v>
      </c>
      <c r="N9" s="21">
        <v>12</v>
      </c>
      <c r="O9" s="21">
        <v>1</v>
      </c>
      <c r="P9" s="21"/>
      <c r="Q9" s="21"/>
      <c r="R9" s="21"/>
      <c r="S9" s="21"/>
      <c r="T9" s="21"/>
      <c r="U9" s="25">
        <v>215</v>
      </c>
      <c r="V9" s="25">
        <f>H9*U9*I9/15</f>
        <v>188626.66666666666</v>
      </c>
      <c r="W9" s="142">
        <v>250.74</v>
      </c>
      <c r="X9" s="25">
        <v>229106.18</v>
      </c>
      <c r="Y9" s="25">
        <f>(G9*60)+(F9*60)</f>
        <v>3900</v>
      </c>
      <c r="Z9" s="25">
        <v>10309.879999999999</v>
      </c>
      <c r="AA9" s="25">
        <v>0</v>
      </c>
      <c r="AB9" s="25">
        <v>1397.5</v>
      </c>
      <c r="AC9" s="25">
        <f>G9*35+F9*38</f>
        <v>2275</v>
      </c>
      <c r="AD9" s="25">
        <f>IF(F9="",G9*4.11,F9*4.11)</f>
        <v>267.15000000000003</v>
      </c>
      <c r="AE9" s="25">
        <v>458.19</v>
      </c>
      <c r="AF9" s="25">
        <f>V9+Y9+Z9+AA9+AB9+AC9+AD9</f>
        <v>206776.19666666666</v>
      </c>
      <c r="AG9" s="25">
        <f>IFERROR(IFERROR((H9*W9*J9/15)-AE9,""),"")</f>
        <v>228642.94799999997</v>
      </c>
      <c r="AH9" s="26">
        <f>IFERROR(AG9-AF9,"")</f>
        <v>21866.751333333319</v>
      </c>
      <c r="AI9" s="6">
        <f>IF(F9="",(G9/$F$79)*$AL$24,(F9/$F$79)*$AL$24)</f>
        <v>782.23862238622382</v>
      </c>
      <c r="AJ9" s="6">
        <f>(AH9-AI9)*70%</f>
        <v>14759.158897662966</v>
      </c>
      <c r="AK9" t="s">
        <v>580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336.41155897435874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9.5637112469934227E-2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/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45136</v>
      </c>
      <c r="B14" s="21" t="s">
        <v>330</v>
      </c>
      <c r="C14" s="21" t="s">
        <v>124</v>
      </c>
      <c r="D14" s="157">
        <v>152958</v>
      </c>
      <c r="E14" s="44"/>
      <c r="F14" s="21"/>
      <c r="G14" s="21">
        <v>65</v>
      </c>
      <c r="H14" s="22">
        <v>26413.63</v>
      </c>
      <c r="I14" s="33">
        <v>0.5</v>
      </c>
      <c r="J14" s="24">
        <f>IFERROR(K14/H14,"")</f>
        <v>0.52506982190634155</v>
      </c>
      <c r="K14" s="22">
        <v>13869</v>
      </c>
      <c r="L14" s="21">
        <v>14</v>
      </c>
      <c r="M14" s="21">
        <v>37</v>
      </c>
      <c r="N14" s="21">
        <v>13</v>
      </c>
      <c r="O14" s="21">
        <v>1</v>
      </c>
      <c r="P14" s="21"/>
      <c r="Q14" s="21"/>
      <c r="R14" s="21"/>
      <c r="S14" s="21"/>
      <c r="T14" s="21"/>
      <c r="U14" s="25">
        <v>215</v>
      </c>
      <c r="V14" s="25">
        <f>H14*U14*I14/15</f>
        <v>189297.68166666667</v>
      </c>
      <c r="W14" s="142">
        <v>251.72</v>
      </c>
      <c r="X14" s="25">
        <v>232748.79999999999</v>
      </c>
      <c r="Y14" s="25">
        <f>(G14*60)+(F14*60)</f>
        <v>3900</v>
      </c>
      <c r="Z14" s="25">
        <v>10309.879999999999</v>
      </c>
      <c r="AA14" s="25">
        <v>0</v>
      </c>
      <c r="AB14" s="25">
        <v>1397.5</v>
      </c>
      <c r="AC14" s="25">
        <f>G14*35+F14*38</f>
        <v>2275</v>
      </c>
      <c r="AD14" s="25">
        <f>IF(F14="",G14*4.11,F14*4.11)</f>
        <v>267.15000000000003</v>
      </c>
      <c r="AE14" s="25">
        <v>465.49</v>
      </c>
      <c r="AF14" s="25">
        <f>V14+Y14+Z14+AA14+AB14+AC14+AD14</f>
        <v>207447.21166666667</v>
      </c>
      <c r="AG14" s="25">
        <f>IFERROR(IFERROR((H14*W14*J14/15)-AE14,""),"")</f>
        <v>232274.82200000001</v>
      </c>
      <c r="AH14" s="26">
        <f>IFERROR(AG14-AF14,"")</f>
        <v>24827.610333333345</v>
      </c>
      <c r="AI14" s="6">
        <f>IF(F14="",(G14/$F$79)*$AL$24,(F14/$F$79)*$AL$24)</f>
        <v>782.23862238622382</v>
      </c>
      <c r="AJ14" s="6">
        <f>(AH14-AI14)*70%</f>
        <v>16831.760197662985</v>
      </c>
      <c r="AL14">
        <f>F4+G4+F9+G9+F14+G14+F19+G19+F24+G24+F29+G29+F34+G34+F39+G39+F44+G44+F49+G49+F59+G59+F64+G64+F54+G54+F69+G69+F74+G74</f>
        <v>813</v>
      </c>
      <c r="AM14" s="50" t="s">
        <v>22</v>
      </c>
      <c r="AN14" t="s">
        <v>71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381.96323589743605</v>
      </c>
      <c r="AL15" s="11">
        <f>AH4+AH9+AH14+AH19+AH24+AH29+AH34+AH39+AH44+AH49+AH59+AH64+AH69+AH54+AH74</f>
        <v>292936.29167333321</v>
      </c>
      <c r="AM15" s="11">
        <f>AL15*30%</f>
        <v>87880.887501999954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0.10688894353488448</v>
      </c>
      <c r="AL16" s="11"/>
      <c r="AM16" s="11"/>
    </row>
    <row r="17" spans="1:4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/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211" t="s">
        <v>680</v>
      </c>
      <c r="AN18" s="190"/>
      <c r="AO18" s="191"/>
    </row>
    <row r="19" spans="1:41" x14ac:dyDescent="0.35">
      <c r="A19" s="20">
        <v>45136</v>
      </c>
      <c r="B19" s="21" t="s">
        <v>330</v>
      </c>
      <c r="C19" s="21" t="s">
        <v>124</v>
      </c>
      <c r="D19" s="157">
        <v>152835</v>
      </c>
      <c r="E19" s="44"/>
      <c r="F19" s="21"/>
      <c r="G19" s="21">
        <v>1</v>
      </c>
      <c r="H19" s="22">
        <v>406.36</v>
      </c>
      <c r="I19" s="33">
        <v>0.5</v>
      </c>
      <c r="J19" s="24">
        <f>IFERROR(K19/H19,"")</f>
        <v>0.44814942415592085</v>
      </c>
      <c r="K19" s="22">
        <v>182.11</v>
      </c>
      <c r="L19" s="21"/>
      <c r="M19" s="21"/>
      <c r="N19" s="21"/>
      <c r="O19" s="21"/>
      <c r="P19" s="21">
        <v>1</v>
      </c>
      <c r="Q19" s="21"/>
      <c r="R19" s="21"/>
      <c r="S19" s="21"/>
      <c r="T19" s="21"/>
      <c r="U19" s="25">
        <v>215</v>
      </c>
      <c r="V19" s="25">
        <f>H19*U19*I19/15</f>
        <v>2912.2466666666669</v>
      </c>
      <c r="W19" s="142">
        <v>248.34</v>
      </c>
      <c r="X19" s="25">
        <v>3015.06</v>
      </c>
      <c r="Y19" s="25">
        <f>(G19*60)+(F19*60)</f>
        <v>60</v>
      </c>
      <c r="Z19" s="25">
        <v>159.68</v>
      </c>
      <c r="AA19" s="25">
        <v>0</v>
      </c>
      <c r="AB19" s="25">
        <v>21.5</v>
      </c>
      <c r="AC19" s="25">
        <f>G19*35+F19*38</f>
        <v>35</v>
      </c>
      <c r="AD19" s="25">
        <f>IF(F19="",G19*4.11,F19*4.11)</f>
        <v>4.1100000000000003</v>
      </c>
      <c r="AE19" s="25">
        <v>6.03</v>
      </c>
      <c r="AF19" s="25">
        <f>V19+Y19+Z19+AA19+AB19+AC19+AD19</f>
        <v>3192.5366666666669</v>
      </c>
      <c r="AG19" s="25">
        <f>IFERROR(IFERROR((H19*W19*J19/15)-AE19,""),"")</f>
        <v>3008.9831599999998</v>
      </c>
      <c r="AH19" s="26">
        <f>IFERROR(AG19-AF19,"")</f>
        <v>-183.55350666666709</v>
      </c>
      <c r="AI19" s="6">
        <f>IF(F19="",(G19/$F$79)*$AL$24,(F19/$F$79)*$AL$24)</f>
        <v>12.034440344403444</v>
      </c>
      <c r="AJ19" s="6">
        <f>(AH19-AI19)*70%</f>
        <v>-136.91156290774936</v>
      </c>
      <c r="AL19" s="178">
        <v>8984</v>
      </c>
      <c r="AM19" s="6" t="s">
        <v>629</v>
      </c>
      <c r="AO19" s="174"/>
    </row>
    <row r="20" spans="1:4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-183.55350666666709</v>
      </c>
      <c r="AL20" s="178">
        <v>800</v>
      </c>
      <c r="AM20" s="6" t="s">
        <v>386</v>
      </c>
      <c r="AO20" s="174"/>
    </row>
    <row r="21" spans="1:41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-6.1001839128493864E-2</v>
      </c>
      <c r="AL21" s="178">
        <v>0</v>
      </c>
      <c r="AM21" s="6"/>
      <c r="AO21" s="174"/>
    </row>
    <row r="22" spans="1:41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3"/>
      <c r="AA22" s="21"/>
      <c r="AB22" s="21"/>
      <c r="AC22" s="21"/>
      <c r="AD22" s="21"/>
      <c r="AE22" s="21"/>
      <c r="AF22" s="21"/>
      <c r="AG22" s="21"/>
      <c r="AH22" s="24"/>
      <c r="AL22" s="178">
        <v>0</v>
      </c>
      <c r="AM22" s="6"/>
      <c r="AO22" s="174"/>
    </row>
    <row r="23" spans="1:4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/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/>
      <c r="AO23" s="174"/>
    </row>
    <row r="24" spans="1:41" x14ac:dyDescent="0.35">
      <c r="A24" s="20">
        <v>45138</v>
      </c>
      <c r="B24" s="21" t="s">
        <v>622</v>
      </c>
      <c r="C24" s="21" t="s">
        <v>623</v>
      </c>
      <c r="D24" s="44">
        <v>152845</v>
      </c>
      <c r="E24" s="44"/>
      <c r="F24" s="21">
        <v>200</v>
      </c>
      <c r="G24" s="21"/>
      <c r="H24" s="22">
        <v>108310</v>
      </c>
      <c r="I24" s="33">
        <v>0.55000000000000004</v>
      </c>
      <c r="J24" s="24">
        <f>IFERROR(K24/H24,"")</f>
        <v>0.55718770196657741</v>
      </c>
      <c r="K24" s="22">
        <v>60349</v>
      </c>
      <c r="L24" s="21">
        <v>15</v>
      </c>
      <c r="M24" s="21">
        <v>137</v>
      </c>
      <c r="N24" s="21">
        <v>42</v>
      </c>
      <c r="O24" s="21">
        <v>6</v>
      </c>
      <c r="P24" s="21"/>
      <c r="Q24" s="21"/>
      <c r="R24" s="21"/>
      <c r="S24" s="21"/>
      <c r="T24" s="21"/>
      <c r="U24" s="25">
        <v>212</v>
      </c>
      <c r="V24" s="25">
        <f>H24*U24*I24/15</f>
        <v>841929.73333333351</v>
      </c>
      <c r="W24" s="25">
        <v>253.51</v>
      </c>
      <c r="X24" s="25">
        <v>1019942.62</v>
      </c>
      <c r="Y24" s="25">
        <v>0</v>
      </c>
      <c r="Z24" s="25">
        <v>69924.45</v>
      </c>
      <c r="AA24" s="25">
        <v>0</v>
      </c>
      <c r="AB24" s="25">
        <v>4240</v>
      </c>
      <c r="AC24" s="25">
        <v>0</v>
      </c>
      <c r="AD24" s="25">
        <f>IF(F24="",G24*4.11,F24*4.11)</f>
        <v>822.00000000000011</v>
      </c>
      <c r="AE24" s="25">
        <v>2039.88</v>
      </c>
      <c r="AF24" s="25">
        <f>V24+Y24+Z24+AA24+AB24+AC24+AD24</f>
        <v>916916.18333333347</v>
      </c>
      <c r="AG24" s="25">
        <f>IFERROR(IFERROR((H24*W24*J24/15)-AE24,""),"")</f>
        <v>1017898.4526666666</v>
      </c>
      <c r="AH24" s="26">
        <f>IFERROR(AG24-AF24,"")</f>
        <v>100982.26933333313</v>
      </c>
      <c r="AI24" s="6">
        <f>IF(F24="",(G24/$F$79)*$AL$24,(F24/$F$79)*$AL$24)</f>
        <v>2406.8880688806889</v>
      </c>
      <c r="AJ24" s="6">
        <f>(AH24-AI24)*70%</f>
        <v>69002.766885116711</v>
      </c>
      <c r="AL24" s="214">
        <f>SUM(AL19:AL23)</f>
        <v>9784</v>
      </c>
      <c r="AM24" s="189" t="s">
        <v>682</v>
      </c>
      <c r="AN24" s="190"/>
      <c r="AO24" s="191"/>
    </row>
    <row r="25" spans="1:4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504.91134666666562</v>
      </c>
    </row>
    <row r="26" spans="1:4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9.9206624264711413E-2</v>
      </c>
      <c r="AL26" s="11">
        <f>AL15-AL24</f>
        <v>283152.29167333321</v>
      </c>
      <c r="AM26" s="11" t="s">
        <v>471</v>
      </c>
    </row>
    <row r="27" spans="1:41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59">
        <f>AL26*30%</f>
        <v>84945.687501999957</v>
      </c>
      <c r="AM27" s="130" t="s">
        <v>499</v>
      </c>
    </row>
    <row r="28" spans="1:4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/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</row>
    <row r="29" spans="1:41" x14ac:dyDescent="0.35">
      <c r="A29" s="20">
        <v>45138</v>
      </c>
      <c r="B29" s="21" t="s">
        <v>624</v>
      </c>
      <c r="C29" s="21" t="s">
        <v>616</v>
      </c>
      <c r="D29" s="44">
        <v>152842</v>
      </c>
      <c r="E29" s="44"/>
      <c r="F29" s="21">
        <v>60</v>
      </c>
      <c r="G29" s="21"/>
      <c r="H29" s="22">
        <v>28010</v>
      </c>
      <c r="I29" s="33">
        <v>0.52</v>
      </c>
      <c r="J29" s="24">
        <f>IFERROR(K29/H29,"")</f>
        <v>0.53761156729739379</v>
      </c>
      <c r="K29" s="22">
        <v>15058.5</v>
      </c>
      <c r="L29" s="21">
        <v>8</v>
      </c>
      <c r="M29" s="21">
        <f>1+27</f>
        <v>28</v>
      </c>
      <c r="N29" s="21">
        <f>1+18</f>
        <v>19</v>
      </c>
      <c r="O29" s="21">
        <v>5</v>
      </c>
      <c r="P29" s="21"/>
      <c r="Q29" s="21"/>
      <c r="R29" s="21"/>
      <c r="S29" s="21"/>
      <c r="T29" s="21"/>
      <c r="U29" s="25">
        <v>235</v>
      </c>
      <c r="V29" s="25">
        <f>H29*U29*I29/15</f>
        <v>228188.13333333333</v>
      </c>
      <c r="W29" s="25">
        <v>252.01</v>
      </c>
      <c r="X29" s="25">
        <v>252987.74</v>
      </c>
      <c r="Y29" s="25">
        <v>0</v>
      </c>
      <c r="Z29" s="25">
        <v>967</v>
      </c>
      <c r="AA29" s="25">
        <v>0</v>
      </c>
      <c r="AB29" s="25">
        <v>1410</v>
      </c>
      <c r="AC29" s="25">
        <v>0</v>
      </c>
      <c r="AD29" s="25">
        <f>IF(F29="",G29*4.11,F29*4.11)</f>
        <v>246.60000000000002</v>
      </c>
      <c r="AE29" s="25">
        <v>505.97</v>
      </c>
      <c r="AF29" s="25">
        <f>V29+Y29+Z29+AA29+AB29+AC29+AD29</f>
        <v>230811.73333333334</v>
      </c>
      <c r="AG29" s="25">
        <f>IFERROR(IFERROR((H29*W29*J29/15)-AE29,""),"")</f>
        <v>252486.86900000001</v>
      </c>
      <c r="AH29" s="26">
        <f>IFERROR(AG29-AF29,"")</f>
        <v>21675.135666666669</v>
      </c>
      <c r="AI29" s="6">
        <f>IF(F29="",(G29/$F$79)*$AL$24,(F29/$F$79)*$AL$24)</f>
        <v>722.06642066420659</v>
      </c>
      <c r="AJ29" s="6">
        <f>(AH29-AI29)*70%</f>
        <v>14667.148472201723</v>
      </c>
    </row>
    <row r="30" spans="1:4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361.25226111111112</v>
      </c>
    </row>
    <row r="31" spans="1:4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8.5846585814594062E-2</v>
      </c>
    </row>
    <row r="32" spans="1:4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L32" s="11">
        <f>AH24+AH29+AH34+AH39+AH44+AH49+AH54+AH59+AH64+AH69</f>
        <v>213964.10123333312</v>
      </c>
      <c r="AM32" s="150" t="s">
        <v>596</v>
      </c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/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11">
        <f>AL32-AL24</f>
        <v>204180.10123333312</v>
      </c>
      <c r="AM33" s="1" t="s">
        <v>597</v>
      </c>
    </row>
    <row r="34" spans="1:40" x14ac:dyDescent="0.35">
      <c r="A34" s="20">
        <v>45138</v>
      </c>
      <c r="B34" s="21" t="s">
        <v>625</v>
      </c>
      <c r="C34" s="21" t="s">
        <v>626</v>
      </c>
      <c r="D34" s="44">
        <v>152838</v>
      </c>
      <c r="E34" s="44"/>
      <c r="F34" s="21">
        <v>5</v>
      </c>
      <c r="G34" s="21"/>
      <c r="H34" s="22">
        <v>3027</v>
      </c>
      <c r="I34" s="33">
        <v>0.53</v>
      </c>
      <c r="J34" s="24">
        <f>IFERROR(K34/H34,"")</f>
        <v>0.53478835408856529</v>
      </c>
      <c r="K34" s="22">
        <f>7446.5/23*5</f>
        <v>1618.804347826087</v>
      </c>
      <c r="L34" s="21"/>
      <c r="M34" s="21"/>
      <c r="N34" s="21">
        <v>5</v>
      </c>
      <c r="O34" s="21"/>
      <c r="P34" s="21"/>
      <c r="Q34" s="21"/>
      <c r="R34" s="21"/>
      <c r="S34" s="21"/>
      <c r="T34" s="21"/>
      <c r="U34" s="25">
        <v>236.5</v>
      </c>
      <c r="V34" s="25">
        <f>H34*U34*I34/15</f>
        <v>25294.620999999999</v>
      </c>
      <c r="W34" s="25">
        <v>247.58</v>
      </c>
      <c r="X34" s="25">
        <f>122907.43/23*5</f>
        <v>26719.006521739131</v>
      </c>
      <c r="Y34" s="25">
        <v>0</v>
      </c>
      <c r="Z34" s="25">
        <v>173.91</v>
      </c>
      <c r="AA34" s="25">
        <v>0</v>
      </c>
      <c r="AB34" s="25">
        <v>118.25</v>
      </c>
      <c r="AC34" s="25">
        <v>0</v>
      </c>
      <c r="AD34" s="25">
        <f>IF(F34="",G34*4.11,F34*4.11)</f>
        <v>20.55</v>
      </c>
      <c r="AE34" s="25">
        <f>245.81/23*5</f>
        <v>53.436956521739134</v>
      </c>
      <c r="AF34" s="25">
        <f>V34+Y34+Z34+AA34+AB34+AC34+AD34</f>
        <v>25607.330999999998</v>
      </c>
      <c r="AG34" s="25">
        <f>IFERROR(IFERROR((H34*W34*J34/15)-AE34,""),"")</f>
        <v>26665.468405797106</v>
      </c>
      <c r="AH34" s="26">
        <f>IFERROR(AG34-AF34,"")</f>
        <v>1058.1374057971079</v>
      </c>
      <c r="AI34" s="6">
        <f>IF(F34="",(G34/$F$79)*$AL$24,(F34/$F$79)*$AL$24)</f>
        <v>60.172201722017221</v>
      </c>
      <c r="AJ34" s="6">
        <f>(AH34-AI34)*70%</f>
        <v>698.57564285256342</v>
      </c>
      <c r="AL34" s="148">
        <f>AL33*30%</f>
        <v>61254.030369999935</v>
      </c>
      <c r="AM34" s="149" t="s">
        <v>598</v>
      </c>
      <c r="AN34" t="s">
        <v>72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211.62748115942159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3.9681935816550946E-2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/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  <c r="AL38" s="151">
        <f>AH4+AH9+AH14+AH19+AH74</f>
        <v>78972.19044000002</v>
      </c>
      <c r="AM38" s="152" t="s">
        <v>599</v>
      </c>
      <c r="AN38" t="s">
        <v>72</v>
      </c>
    </row>
    <row r="39" spans="1:40" x14ac:dyDescent="0.35">
      <c r="A39" s="20">
        <v>45138</v>
      </c>
      <c r="B39" s="21" t="s">
        <v>627</v>
      </c>
      <c r="C39" s="21" t="s">
        <v>626</v>
      </c>
      <c r="D39" s="44">
        <v>152838</v>
      </c>
      <c r="E39" s="44"/>
      <c r="F39" s="21">
        <v>18</v>
      </c>
      <c r="G39" s="21"/>
      <c r="H39" s="22">
        <v>10627</v>
      </c>
      <c r="I39" s="33">
        <v>0.53</v>
      </c>
      <c r="J39" s="24">
        <f>IFERROR(K39/H39,"")</f>
        <v>0.54838577699952129</v>
      </c>
      <c r="K39" s="22">
        <f>7446.5/23*18</f>
        <v>5827.695652173913</v>
      </c>
      <c r="L39" s="21">
        <v>1</v>
      </c>
      <c r="M39" s="21">
        <v>11</v>
      </c>
      <c r="N39" s="21"/>
      <c r="O39" s="21">
        <v>2</v>
      </c>
      <c r="P39" s="21">
        <v>3</v>
      </c>
      <c r="Q39" s="21">
        <v>1</v>
      </c>
      <c r="R39" s="14"/>
      <c r="S39" s="21"/>
      <c r="T39" s="21"/>
      <c r="U39" s="25">
        <v>236.5</v>
      </c>
      <c r="V39" s="25">
        <f>H39*U39*I39/15</f>
        <v>88802.754333333345</v>
      </c>
      <c r="W39" s="25">
        <v>247.58</v>
      </c>
      <c r="X39" s="25">
        <f>122907.43/23*18</f>
        <v>96188.423478260869</v>
      </c>
      <c r="Y39" s="25">
        <v>0</v>
      </c>
      <c r="Z39" s="25">
        <v>626.08000000000004</v>
      </c>
      <c r="AA39" s="25">
        <v>0</v>
      </c>
      <c r="AB39" s="25">
        <v>425.7</v>
      </c>
      <c r="AC39" s="25">
        <v>0</v>
      </c>
      <c r="AD39" s="25">
        <f>IF(F39="",G39*4.11,F39*4.11)</f>
        <v>73.98</v>
      </c>
      <c r="AE39" s="25">
        <f>245.81/23*18</f>
        <v>192.37304347826088</v>
      </c>
      <c r="AF39" s="25">
        <f>V39+Y39+Z39+AA39+AB39+AC39+AD39</f>
        <v>89928.51433333334</v>
      </c>
      <c r="AG39" s="25">
        <f>IFERROR(IFERROR((H39*W39*J39/15)-AE39,""),"")</f>
        <v>95995.686260869552</v>
      </c>
      <c r="AH39" s="26">
        <f>IFERROR(AG39-AF39,"")</f>
        <v>6067.171927536212</v>
      </c>
      <c r="AI39" s="6">
        <f>IF(F39="",(G39/$F$79)*$AL$24,(F39/$F$79)*$AL$24)</f>
        <v>216.61992619926198</v>
      </c>
      <c r="AJ39" s="6">
        <f>(AH39-AI39)*70%</f>
        <v>4095.3864009358645</v>
      </c>
      <c r="AL39" s="148">
        <f>AL38*30%</f>
        <v>23691.657132000004</v>
      </c>
      <c r="AM39" s="149" t="s">
        <v>525</v>
      </c>
      <c r="AN39" s="2">
        <v>45173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337.06510708534512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6.3202547571237652E-2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/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45138</v>
      </c>
      <c r="B44" s="21" t="s">
        <v>628</v>
      </c>
      <c r="C44" s="21" t="s">
        <v>616</v>
      </c>
      <c r="D44" s="44">
        <v>152839</v>
      </c>
      <c r="E44" s="44"/>
      <c r="F44" s="21">
        <v>25</v>
      </c>
      <c r="G44" s="21"/>
      <c r="H44" s="22">
        <v>14410</v>
      </c>
      <c r="I44" s="33">
        <v>0.54</v>
      </c>
      <c r="J44" s="24">
        <f>IFERROR(K44/H44,"")</f>
        <v>0.535912560721721</v>
      </c>
      <c r="K44" s="22">
        <v>7722.5</v>
      </c>
      <c r="L44" s="21"/>
      <c r="M44" s="21">
        <v>4</v>
      </c>
      <c r="N44" s="21">
        <v>17</v>
      </c>
      <c r="O44" s="21">
        <v>4</v>
      </c>
      <c r="P44" s="21"/>
      <c r="Q44" s="21"/>
      <c r="R44" s="21"/>
      <c r="S44" s="21"/>
      <c r="T44" s="21"/>
      <c r="U44" s="25">
        <v>235</v>
      </c>
      <c r="V44" s="25">
        <f>H44*U44*I44/15</f>
        <v>121908.60000000002</v>
      </c>
      <c r="W44" s="25">
        <v>251.28</v>
      </c>
      <c r="X44" s="25">
        <v>129366.98</v>
      </c>
      <c r="Y44" s="25">
        <v>0</v>
      </c>
      <c r="Z44" s="25">
        <v>800</v>
      </c>
      <c r="AA44" s="25">
        <v>0</v>
      </c>
      <c r="AB44" s="25">
        <v>587.5</v>
      </c>
      <c r="AC44" s="25">
        <v>0</v>
      </c>
      <c r="AD44" s="25">
        <f>IF(F44="",G44*4.11,F44*4.11)</f>
        <v>102.75000000000001</v>
      </c>
      <c r="AE44" s="25">
        <v>258.73</v>
      </c>
      <c r="AF44" s="25">
        <f>V44+Y44+Z44+AA44+AB44+AC44+AD44</f>
        <v>123398.85000000002</v>
      </c>
      <c r="AG44" s="25">
        <f>IFERROR(IFERROR((H44*W44*J44/15)-AE44,""),"")</f>
        <v>129108.59</v>
      </c>
      <c r="AH44" s="26">
        <f>IFERROR(AG44-AF44,"")</f>
        <v>5709.7399999999761</v>
      </c>
      <c r="AI44" s="6">
        <f>IF(F44="",(G44/$F$79)*$AL$24,(F44/$F$79)*$AL$24)</f>
        <v>300.86100861008612</v>
      </c>
      <c r="AJ44" s="6">
        <f>(AH44-AI44)*70%</f>
        <v>3786.2152939729226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228.38959999999904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4.4224323106618828E-2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/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x14ac:dyDescent="0.35">
      <c r="A49" s="20">
        <v>45140</v>
      </c>
      <c r="B49" s="21" t="s">
        <v>330</v>
      </c>
      <c r="C49" s="21" t="s">
        <v>613</v>
      </c>
      <c r="D49" s="44">
        <v>152846</v>
      </c>
      <c r="E49" s="44"/>
      <c r="F49" s="21"/>
      <c r="G49" s="21">
        <v>65</v>
      </c>
      <c r="H49" s="22">
        <v>22680</v>
      </c>
      <c r="I49" s="33">
        <v>0.5</v>
      </c>
      <c r="J49" s="24">
        <f>IFERROR(K49/H49,"")</f>
        <v>0.49371693121693122</v>
      </c>
      <c r="K49" s="22">
        <v>11197.5</v>
      </c>
      <c r="L49" s="21">
        <f>1+47</f>
        <v>48</v>
      </c>
      <c r="M49" s="21">
        <v>14</v>
      </c>
      <c r="N49" s="21">
        <v>2</v>
      </c>
      <c r="O49" s="21"/>
      <c r="P49" s="21">
        <v>1</v>
      </c>
      <c r="Q49" s="21"/>
      <c r="R49" s="21"/>
      <c r="S49" s="21"/>
      <c r="T49" s="21"/>
      <c r="U49" s="25">
        <v>205</v>
      </c>
      <c r="V49" s="25">
        <f>H49*U49*I49/15</f>
        <v>154980</v>
      </c>
      <c r="W49" s="25">
        <v>241.2</v>
      </c>
      <c r="X49" s="25">
        <v>180051.81</v>
      </c>
      <c r="Y49" s="25">
        <f>G49*60</f>
        <v>3900</v>
      </c>
      <c r="Z49" s="25">
        <v>9044.94</v>
      </c>
      <c r="AA49" s="25">
        <v>0</v>
      </c>
      <c r="AB49" s="25">
        <v>1332.5</v>
      </c>
      <c r="AC49" s="25">
        <f>G49*35</f>
        <v>2275</v>
      </c>
      <c r="AD49" s="25">
        <f>IF(F49="",G49*4.11,F49*4.11)</f>
        <v>267.15000000000003</v>
      </c>
      <c r="AE49" s="25">
        <v>360.11</v>
      </c>
      <c r="AF49" s="25">
        <f>V49+Y49+Z49+AA49+AB49+AC49+AD49</f>
        <v>171799.59</v>
      </c>
      <c r="AG49" s="25">
        <f>IFERROR(IFERROR((H49*W49*J49/15)-AE49,""),"")</f>
        <v>179695.69</v>
      </c>
      <c r="AH49" s="26">
        <f>IFERROR(AG49-AF49,"")</f>
        <v>7896.1000000000058</v>
      </c>
      <c r="AI49" s="6">
        <f>IF(F49="",(G49/$F$79)*$AL$24,(F49/$F$79)*$AL$24)</f>
        <v>782.23862238622382</v>
      </c>
      <c r="AJ49" s="6">
        <f>(AH49-AI49)*70%</f>
        <v>4979.7029643296473</v>
      </c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121.47846153846163</v>
      </c>
    </row>
    <row r="51" spans="1:36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4.3941510227652122E-2</v>
      </c>
    </row>
    <row r="52" spans="1:36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3" spans="1:36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/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x14ac:dyDescent="0.35">
      <c r="A54" s="20">
        <v>45140</v>
      </c>
      <c r="B54" s="21" t="s">
        <v>330</v>
      </c>
      <c r="C54" s="21" t="s">
        <v>124</v>
      </c>
      <c r="D54" s="44">
        <v>152909</v>
      </c>
      <c r="E54" s="44"/>
      <c r="F54" s="21"/>
      <c r="G54" s="21">
        <v>63</v>
      </c>
      <c r="H54" s="22">
        <v>24580</v>
      </c>
      <c r="I54" s="33">
        <v>0.5</v>
      </c>
      <c r="J54" s="24">
        <f>IFERROR(K54/H54,"")</f>
        <v>0.51143205858421481</v>
      </c>
      <c r="K54" s="22">
        <v>12571</v>
      </c>
      <c r="L54" s="21">
        <v>9</v>
      </c>
      <c r="M54" s="21">
        <v>33</v>
      </c>
      <c r="N54" s="21">
        <v>20</v>
      </c>
      <c r="O54" s="21">
        <v>1</v>
      </c>
      <c r="P54" s="21"/>
      <c r="Q54" s="21"/>
      <c r="R54" s="21"/>
      <c r="S54" s="21"/>
      <c r="T54" s="21"/>
      <c r="U54" s="25">
        <v>205</v>
      </c>
      <c r="V54" s="25">
        <f>H54*U54*I54/15</f>
        <v>167963.33333333334</v>
      </c>
      <c r="W54" s="25">
        <v>245.1</v>
      </c>
      <c r="X54" s="25">
        <v>205411.16</v>
      </c>
      <c r="Y54" s="25">
        <f>(G54*60)+(F54*60)</f>
        <v>3780</v>
      </c>
      <c r="Z54" s="25">
        <v>10005.280000000001</v>
      </c>
      <c r="AA54" s="25">
        <v>0</v>
      </c>
      <c r="AB54" s="25">
        <v>1291.5</v>
      </c>
      <c r="AC54" s="25">
        <f>G54*35+F54*38</f>
        <v>2205</v>
      </c>
      <c r="AD54" s="25">
        <f>IF(F54="",G54*4.11,F54*4.11)</f>
        <v>258.93</v>
      </c>
      <c r="AE54" s="25">
        <v>410.82</v>
      </c>
      <c r="AF54" s="25">
        <f>V54+Y54+Z54+AA54+AB54+AC54+AD54</f>
        <v>185504.04333333333</v>
      </c>
      <c r="AG54" s="25">
        <f>IFERROR(IFERROR((H54*W54*J54/15)-AE54,""),"")</f>
        <v>204999.32</v>
      </c>
      <c r="AH54" s="26">
        <f>IFERROR(AG54-AF54,"")</f>
        <v>19495.276666666672</v>
      </c>
      <c r="AI54" s="6">
        <f>IF(F54="",(G54/$F$79)*$AL$24,(F54/$F$79)*$AL$24)</f>
        <v>758.16974169741707</v>
      </c>
      <c r="AJ54" s="6">
        <f>(AH54-AI54)*70%</f>
        <v>13115.974847478477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309.44883597883609</v>
      </c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9.5099226020196909E-2</v>
      </c>
    </row>
    <row r="57" spans="1:36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6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/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6" x14ac:dyDescent="0.35">
      <c r="A59" s="20">
        <v>45140</v>
      </c>
      <c r="B59" s="21" t="s">
        <v>330</v>
      </c>
      <c r="C59" s="21" t="s">
        <v>257</v>
      </c>
      <c r="D59" s="44">
        <v>152910</v>
      </c>
      <c r="E59" s="44"/>
      <c r="F59" s="21">
        <v>50</v>
      </c>
      <c r="G59" s="21"/>
      <c r="H59" s="22">
        <v>30280</v>
      </c>
      <c r="I59" s="33">
        <v>0.54</v>
      </c>
      <c r="J59" s="24">
        <f>IFERROR(K59/H59,"")</f>
        <v>0.54653236459709376</v>
      </c>
      <c r="K59" s="22">
        <v>16549</v>
      </c>
      <c r="L59" s="21"/>
      <c r="M59" s="21">
        <f>1+5+1</f>
        <v>7</v>
      </c>
      <c r="N59" s="21">
        <v>33</v>
      </c>
      <c r="O59" s="21">
        <f>1+7</f>
        <v>8</v>
      </c>
      <c r="P59" s="21">
        <v>1</v>
      </c>
      <c r="Q59" s="21">
        <v>1</v>
      </c>
      <c r="R59" s="21"/>
      <c r="S59" s="21"/>
      <c r="T59" s="21"/>
      <c r="U59" s="25">
        <v>215</v>
      </c>
      <c r="V59" s="25">
        <f>H59*U59*I59/15</f>
        <v>234367.2</v>
      </c>
      <c r="W59" s="25">
        <v>244.81</v>
      </c>
      <c r="X59" s="25">
        <v>270086.18</v>
      </c>
      <c r="Y59" s="25">
        <f>F59*60</f>
        <v>3000</v>
      </c>
      <c r="Z59" s="25">
        <v>12895.74</v>
      </c>
      <c r="AA59" s="25">
        <v>0</v>
      </c>
      <c r="AB59" s="25">
        <v>1075</v>
      </c>
      <c r="AC59" s="25">
        <f>F59*38</f>
        <v>1900</v>
      </c>
      <c r="AD59" s="25">
        <f>IF(F59="",G59*4.11,F59*4.11)</f>
        <v>205.50000000000003</v>
      </c>
      <c r="AE59" s="25">
        <v>540.19000000000005</v>
      </c>
      <c r="AF59" s="25">
        <f>V59+Y59+Z59+AA59+AB59+AC59+AD59</f>
        <v>253443.44</v>
      </c>
      <c r="AG59" s="25">
        <f>IFERROR(IFERROR((H59*W59*J59/15)-AE59,""),"")</f>
        <v>269550.52266666666</v>
      </c>
      <c r="AH59" s="26">
        <f>IFERROR(AG59-AF59,"")</f>
        <v>16107.082666666654</v>
      </c>
      <c r="AI59" s="6">
        <f>IF(F59="",(G59/$F$79)*$AL$24,(F59/$F$79)*$AL$24)</f>
        <v>601.72201722017223</v>
      </c>
      <c r="AJ59" s="6">
        <f>(AH59-AI59)*70%</f>
        <v>10853.752454612537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5"/>
      <c r="AC60" s="21"/>
      <c r="AD60" s="21"/>
      <c r="AE60" s="21"/>
      <c r="AF60" s="21"/>
      <c r="AG60" s="21"/>
      <c r="AH60" s="26">
        <f>IFERROR(AH59/F59,0)+IFERROR(AH59/G59,0)</f>
        <v>322.14165333333307</v>
      </c>
    </row>
    <row r="61" spans="1:36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5.9755338284337517E-2</v>
      </c>
    </row>
    <row r="62" spans="1:36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/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45141</v>
      </c>
      <c r="B64" s="21" t="s">
        <v>630</v>
      </c>
      <c r="C64" s="21" t="s">
        <v>631</v>
      </c>
      <c r="D64" s="44">
        <v>152911</v>
      </c>
      <c r="E64" s="44"/>
      <c r="F64" s="21">
        <v>7</v>
      </c>
      <c r="G64" s="21"/>
      <c r="H64" s="22">
        <v>3451.34</v>
      </c>
      <c r="I64" s="33">
        <v>0.53</v>
      </c>
      <c r="J64" s="24">
        <f>IFERROR(K64/H64,"")</f>
        <v>0.56167473729185702</v>
      </c>
      <c r="K64" s="22">
        <f>22708.5/82*7</f>
        <v>1938.530487804878</v>
      </c>
      <c r="L64" s="21">
        <v>3</v>
      </c>
      <c r="M64" s="21">
        <v>2</v>
      </c>
      <c r="N64" s="21">
        <v>2</v>
      </c>
      <c r="O64" s="21"/>
      <c r="P64" s="21"/>
      <c r="Q64" s="21"/>
      <c r="R64" s="21"/>
      <c r="S64" s="21"/>
      <c r="T64" s="21"/>
      <c r="U64" s="25">
        <v>220</v>
      </c>
      <c r="V64" s="25">
        <f>H64*U64*I64/15</f>
        <v>26828.416266666671</v>
      </c>
      <c r="W64" s="25">
        <v>246.79</v>
      </c>
      <c r="X64" s="25">
        <f>373616.74/82*7</f>
        <v>31894.111951219511</v>
      </c>
      <c r="Y64" s="25">
        <v>0</v>
      </c>
      <c r="Z64" s="25">
        <v>150.84</v>
      </c>
      <c r="AA64" s="25">
        <v>0</v>
      </c>
      <c r="AB64" s="25">
        <v>163.6</v>
      </c>
      <c r="AC64" s="25">
        <v>0</v>
      </c>
      <c r="AD64" s="25">
        <f>IF(F64="",G64*4.11,F64*4.11)</f>
        <v>28.770000000000003</v>
      </c>
      <c r="AE64" s="25">
        <f>747.22/82*7</f>
        <v>63.787073170731716</v>
      </c>
      <c r="AF64" s="25">
        <f>V64+Y64+Z64+AA64+AB64+AC64+AD64</f>
        <v>27171.62626666667</v>
      </c>
      <c r="AG64" s="25">
        <f>IFERROR(IFERROR((H64*W64*J64/15)-AE64,""),"")</f>
        <v>31830.208865853652</v>
      </c>
      <c r="AH64" s="26">
        <f>IFERROR(AG64-AF64,"")</f>
        <v>4658.5825991869824</v>
      </c>
      <c r="AI64" s="6">
        <f>IF(F64="",(G64/$F$79)*$AL$24,(F64/$F$79)*$AL$24)</f>
        <v>84.241082410824106</v>
      </c>
      <c r="AJ64" s="6">
        <f>(AH64-AI64)*70%</f>
        <v>3202.0390617433109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665.51179988385468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0.14635727396010112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/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45141</v>
      </c>
      <c r="B69" s="21" t="s">
        <v>630</v>
      </c>
      <c r="C69" s="21" t="s">
        <v>631</v>
      </c>
      <c r="D69" s="44">
        <v>152911</v>
      </c>
      <c r="E69" s="44"/>
      <c r="F69" s="21">
        <v>75</v>
      </c>
      <c r="G69" s="21"/>
      <c r="H69" s="22">
        <v>36978.65</v>
      </c>
      <c r="I69" s="33">
        <v>0.53</v>
      </c>
      <c r="J69" s="24">
        <f>IFERROR(K69/H69,"")</f>
        <v>0.56167462879783669</v>
      </c>
      <c r="K69" s="22">
        <f>22708.5/82*75</f>
        <v>20769.969512195123</v>
      </c>
      <c r="L69" s="21">
        <v>33</v>
      </c>
      <c r="M69" s="21">
        <v>22</v>
      </c>
      <c r="N69" s="21">
        <v>15</v>
      </c>
      <c r="O69" s="21">
        <v>5</v>
      </c>
      <c r="P69" s="21"/>
      <c r="Q69" s="21"/>
      <c r="R69" s="21"/>
      <c r="S69" s="21"/>
      <c r="T69" s="21"/>
      <c r="U69" s="25">
        <v>235</v>
      </c>
      <c r="V69" s="25">
        <f>H69*U69*I69/15</f>
        <v>307046.05716666667</v>
      </c>
      <c r="W69" s="25">
        <v>246.79</v>
      </c>
      <c r="X69" s="25">
        <f>373616.74/82*75</f>
        <v>341722.62804878049</v>
      </c>
      <c r="Y69" s="25">
        <v>0</v>
      </c>
      <c r="Z69" s="25">
        <v>1616.15</v>
      </c>
      <c r="AA69" s="25">
        <v>0</v>
      </c>
      <c r="AB69" s="25">
        <v>1752.89</v>
      </c>
      <c r="AC69" s="25">
        <v>0</v>
      </c>
      <c r="AD69" s="25">
        <f>IF(F69="",G69*4.11,F69*4.11)</f>
        <v>308.25</v>
      </c>
      <c r="AE69" s="25">
        <f>747.22/82*75</f>
        <v>683.43292682926835</v>
      </c>
      <c r="AF69" s="25">
        <f>V69+Y69+Z69+AA69+AB69+AC69+AD69</f>
        <v>310723.3471666667</v>
      </c>
      <c r="AG69" s="25">
        <f>IFERROR(IFERROR((H69*W69*J69/15)-AE69,""),"")</f>
        <v>341037.95213414641</v>
      </c>
      <c r="AH69" s="26">
        <f>IFERROR(AG69-AF69,"")</f>
        <v>30314.60496747971</v>
      </c>
      <c r="AI69" s="6">
        <f>IF(F69="",(G69/$F$79)*$AL$24,(F69/$F$79)*$AL$24)</f>
        <v>902.58302583025829</v>
      </c>
      <c r="AJ69" s="6">
        <f>(AH69-AI69)*70%</f>
        <v>20588.415359154613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404.19473289972944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8.8889241733294058E-2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/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45142</v>
      </c>
      <c r="B74" s="21" t="s">
        <v>632</v>
      </c>
      <c r="C74" s="21" t="s">
        <v>633</v>
      </c>
      <c r="D74" s="157">
        <v>153226</v>
      </c>
      <c r="E74" s="44"/>
      <c r="F74" s="21">
        <v>50</v>
      </c>
      <c r="G74" s="21"/>
      <c r="H74" s="22">
        <v>26340</v>
      </c>
      <c r="I74" s="33">
        <v>0.55000000000000004</v>
      </c>
      <c r="J74" s="24">
        <f>IFERROR(K74/H74,"")</f>
        <v>0.5799734244495065</v>
      </c>
      <c r="K74" s="22">
        <v>15276.5</v>
      </c>
      <c r="L74" s="21">
        <v>36</v>
      </c>
      <c r="M74" s="21">
        <v>12</v>
      </c>
      <c r="N74" s="21">
        <v>1</v>
      </c>
      <c r="O74" s="21">
        <v>1</v>
      </c>
      <c r="P74" s="21"/>
      <c r="Q74" s="21"/>
      <c r="R74" s="21"/>
      <c r="S74" s="21"/>
      <c r="T74" s="21"/>
      <c r="U74" s="25">
        <v>220</v>
      </c>
      <c r="V74" s="25">
        <f>H74*U74*I74/15</f>
        <v>212476.00000000003</v>
      </c>
      <c r="W74" s="142">
        <v>248.91</v>
      </c>
      <c r="X74" s="25">
        <v>253501.38</v>
      </c>
      <c r="Y74" s="25">
        <f>F74*40</f>
        <v>2000</v>
      </c>
      <c r="Z74" s="25">
        <v>20101.96</v>
      </c>
      <c r="AA74" s="25">
        <v>0</v>
      </c>
      <c r="AB74" s="25">
        <v>1100</v>
      </c>
      <c r="AC74" s="25">
        <v>0</v>
      </c>
      <c r="AD74" s="25">
        <f>IF(F74="",G74*4.11,F74*4.11)</f>
        <v>205.50000000000003</v>
      </c>
      <c r="AE74" s="25">
        <v>506.99</v>
      </c>
      <c r="AF74" s="25">
        <f>V74+Y74+Z74+AA74+AB74+AC74+AD74</f>
        <v>235883.46000000002</v>
      </c>
      <c r="AG74" s="25">
        <f>IFERROR(IFERROR((H74*W74*J74/15)-AE74,""),"")</f>
        <v>252991.25100000005</v>
      </c>
      <c r="AH74" s="26">
        <f>IFERROR(AG74-AF74,"")</f>
        <v>17107.791000000027</v>
      </c>
      <c r="AI74" s="6">
        <f>IF(F74="",(G74/$F$79)*$AL$24,(F74/$F$79)*$AL$24)</f>
        <v>601.72201722017223</v>
      </c>
      <c r="AJ74" s="6">
        <f>(AH74-AI74)*70%</f>
        <v>11554.248287945898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342.15582000000052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6.7622065713252758E-2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47"/>
      <c r="AJ77" s="47"/>
    </row>
    <row r="78" spans="1:36" ht="15" customHeight="1" thickBot="1" x14ac:dyDescent="0.4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47"/>
      <c r="AI78" s="47"/>
      <c r="AJ78" s="47"/>
    </row>
    <row r="79" spans="1:36" ht="16" thickBot="1" x14ac:dyDescent="0.4">
      <c r="A79" s="377" t="s">
        <v>621</v>
      </c>
      <c r="B79" s="378"/>
      <c r="C79" s="378"/>
      <c r="D79" s="378"/>
      <c r="E79" s="378"/>
      <c r="F79" s="30">
        <f>SUM(F4:G74)</f>
        <v>813</v>
      </c>
      <c r="G79" s="30"/>
      <c r="H79" s="30"/>
      <c r="I79" s="30"/>
      <c r="J79" s="30"/>
      <c r="K79" s="30"/>
      <c r="L79" s="46"/>
      <c r="M79" s="46"/>
      <c r="N79" s="46"/>
      <c r="O79" s="46"/>
      <c r="P79" s="46"/>
      <c r="Q79" s="46"/>
      <c r="R79" s="46"/>
      <c r="S79" s="46"/>
      <c r="T79" s="46"/>
      <c r="U79" s="30"/>
      <c r="V79" s="31">
        <f>V4+V9+V14+V19+V24+V29+V34+V39+V44+V49+V54+V59+V64+V69+V74</f>
        <v>2949941.4437666675</v>
      </c>
      <c r="W79" s="31"/>
      <c r="X79" s="31"/>
      <c r="Y79" s="31">
        <f t="shared" ref="Y79:AJ79" si="0">Y4+Y9+Y14+Y19+Y24+Y29+Y34+Y39+Y44+Y49+Y54+Y59+Y64+Y69+Y74</f>
        <v>24380</v>
      </c>
      <c r="Z79" s="31">
        <f t="shared" si="0"/>
        <v>157305.71</v>
      </c>
      <c r="AA79" s="31">
        <f t="shared" si="0"/>
        <v>0</v>
      </c>
      <c r="AB79" s="31">
        <f t="shared" si="0"/>
        <v>17657.440000000002</v>
      </c>
      <c r="AC79" s="31">
        <f t="shared" si="0"/>
        <v>13205</v>
      </c>
      <c r="AD79" s="31">
        <f t="shared" si="0"/>
        <v>3341.4300000000003</v>
      </c>
      <c r="AE79" s="31">
        <f t="shared" si="0"/>
        <v>6931.3499999999995</v>
      </c>
      <c r="AF79" s="31">
        <f t="shared" si="0"/>
        <v>3165831.0237666671</v>
      </c>
      <c r="AG79" s="31">
        <f t="shared" si="0"/>
        <v>3458767.3154399996</v>
      </c>
      <c r="AH79" s="31">
        <f t="shared" si="0"/>
        <v>292936.29167333321</v>
      </c>
      <c r="AI79" s="31">
        <f t="shared" si="0"/>
        <v>9784.0000000000018</v>
      </c>
      <c r="AJ79" s="31">
        <f t="shared" si="0"/>
        <v>198206.60417133319</v>
      </c>
    </row>
  </sheetData>
  <mergeCells count="2">
    <mergeCell ref="U2:AC2"/>
    <mergeCell ref="A79:E7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6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5" width="12.453125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customWidth="1"/>
    <col min="39" max="39" width="18" customWidth="1"/>
    <col min="40" max="40" width="13.179687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AF44</f>
        <v>1403514.554</v>
      </c>
      <c r="AM3" s="164">
        <f>AH44-AI44</f>
        <v>117914.35466666677</v>
      </c>
    </row>
    <row r="4" spans="1:40" x14ac:dyDescent="0.35">
      <c r="A4" s="20">
        <v>45143</v>
      </c>
      <c r="B4" s="21" t="s">
        <v>330</v>
      </c>
      <c r="C4" s="21" t="s">
        <v>125</v>
      </c>
      <c r="D4" s="157">
        <v>153227</v>
      </c>
      <c r="E4" s="44" t="s">
        <v>641</v>
      </c>
      <c r="F4" s="21"/>
      <c r="G4" s="21">
        <v>61</v>
      </c>
      <c r="H4" s="22">
        <v>24391</v>
      </c>
      <c r="I4" s="33">
        <v>0.5</v>
      </c>
      <c r="J4" s="24">
        <f>IFERROR(K4/H4,"")</f>
        <v>0.51368127588044776</v>
      </c>
      <c r="K4" s="22">
        <v>12529.2</v>
      </c>
      <c r="L4" s="21"/>
      <c r="M4" s="21"/>
      <c r="N4" s="21">
        <v>1</v>
      </c>
      <c r="O4" s="21"/>
      <c r="P4" s="21">
        <v>1</v>
      </c>
      <c r="Q4" s="21"/>
      <c r="R4" s="21"/>
      <c r="S4" s="21"/>
      <c r="T4" s="21"/>
      <c r="U4" s="25">
        <v>205</v>
      </c>
      <c r="V4" s="25">
        <f>H4*U4*I4/15</f>
        <v>166671.83333333334</v>
      </c>
      <c r="W4" s="142">
        <v>245.61</v>
      </c>
      <c r="X4" s="25">
        <v>205161.29</v>
      </c>
      <c r="Y4" s="25">
        <f>(G4*60)+(F4*60)</f>
        <v>3660</v>
      </c>
      <c r="Z4" s="25">
        <v>9969.85</v>
      </c>
      <c r="AA4" s="25">
        <v>0</v>
      </c>
      <c r="AB4" s="25">
        <v>1246.74</v>
      </c>
      <c r="AC4" s="25">
        <f>G4*35+F4*38</f>
        <v>2135</v>
      </c>
      <c r="AD4" s="25">
        <f>IF(F4="",G4*4.11,F4*4.11)</f>
        <v>250.71</v>
      </c>
      <c r="AE4" s="25">
        <v>410.31</v>
      </c>
      <c r="AF4" s="25">
        <f>V4+Y4+Z4+AA4+AB4+AC4+AD4</f>
        <v>183934.13333333333</v>
      </c>
      <c r="AG4" s="25">
        <f>IFERROR(IFERROR((H4*W4*J4/15)-AE4,""),"")</f>
        <v>204742.81080000006</v>
      </c>
      <c r="AH4" s="26">
        <f>IFERROR(AG4-AF4,"")</f>
        <v>20808.677466666733</v>
      </c>
      <c r="AI4" s="6">
        <f>IF(F4="",(G4/$F$44)*$AL$22,(F4/$F$44)*$AL$22)</f>
        <v>503.77092063492069</v>
      </c>
      <c r="AJ4" s="6">
        <f>(AH4-AI4)*70%</f>
        <v>14213.434582222268</v>
      </c>
      <c r="AL4" s="166" t="s">
        <v>749</v>
      </c>
      <c r="AM4" s="167">
        <f>AM3/AL3</f>
        <v>8.4013631586941681E-2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341.12586010929073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0.10163325093252421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45143</v>
      </c>
      <c r="B9" s="21" t="s">
        <v>330</v>
      </c>
      <c r="C9" s="21" t="s">
        <v>125</v>
      </c>
      <c r="D9" s="157">
        <v>153528</v>
      </c>
      <c r="E9" s="44" t="s">
        <v>641</v>
      </c>
      <c r="F9" s="21">
        <v>2</v>
      </c>
      <c r="G9" s="21"/>
      <c r="H9" s="22">
        <v>972</v>
      </c>
      <c r="I9" s="33">
        <v>0.5</v>
      </c>
      <c r="J9" s="24">
        <f>IFERROR(K9/H9,"")</f>
        <v>0.50514403292181065</v>
      </c>
      <c r="K9" s="22">
        <v>491</v>
      </c>
      <c r="L9" s="21"/>
      <c r="M9" s="21"/>
      <c r="N9" s="21"/>
      <c r="O9" s="21">
        <v>2</v>
      </c>
      <c r="P9" s="21"/>
      <c r="Q9" s="21"/>
      <c r="R9" s="21"/>
      <c r="S9" s="21"/>
      <c r="T9" s="21"/>
      <c r="U9" s="25">
        <v>205</v>
      </c>
      <c r="V9" s="25">
        <f>H9*U9*I9/15</f>
        <v>6642</v>
      </c>
      <c r="W9" s="142">
        <v>227.21</v>
      </c>
      <c r="X9" s="25">
        <v>7437.3</v>
      </c>
      <c r="Y9" s="25">
        <f>(G9*60)+(F9*60)</f>
        <v>120</v>
      </c>
      <c r="Z9" s="25">
        <v>326.88</v>
      </c>
      <c r="AA9" s="25">
        <v>0</v>
      </c>
      <c r="AB9" s="25">
        <v>40.869999999999997</v>
      </c>
      <c r="AC9" s="25">
        <f>G9*35+F9*38</f>
        <v>76</v>
      </c>
      <c r="AD9" s="25">
        <f>IF(F9="",G9*4.11,F9*4.11)</f>
        <v>8.2200000000000006</v>
      </c>
      <c r="AE9" s="25">
        <v>14.87</v>
      </c>
      <c r="AF9" s="25">
        <f>V9+Y9+Z9+AA9+AB9+AC9+AD9</f>
        <v>7213.97</v>
      </c>
      <c r="AG9" s="25">
        <f>IFERROR(IFERROR((H9*W9*J9/15)-AE9,""),"")</f>
        <v>7422.4706666666661</v>
      </c>
      <c r="AH9" s="26">
        <f>IFERROR(AG9-AF9,"")</f>
        <v>208.50066666666589</v>
      </c>
      <c r="AI9" s="6">
        <f>IF(F9="",(G9/$F$44)*$AL$22,(F9/$F$44)*$AL$22)</f>
        <v>16.517079365079365</v>
      </c>
      <c r="AJ9" s="6">
        <f>(AH9-AI9)*70%</f>
        <v>134.38851111111057</v>
      </c>
      <c r="AK9" t="s">
        <v>580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104.25033333333295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2.8090466911915839E-2</v>
      </c>
      <c r="AL11">
        <f>F4+G4+F9+G9+F14+G14+F19+G19+F24+G24+F29+G29+F34+G34+F39+G39</f>
        <v>315</v>
      </c>
      <c r="AM11" s="50" t="s">
        <v>22</v>
      </c>
      <c r="AN11" t="s">
        <v>71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  <c r="AL12" s="11">
        <f>AH4+AH9+AH14+AH19+AH24+AH29+AH34+AH39</f>
        <v>120515.79466666677</v>
      </c>
      <c r="AM12" s="11">
        <f>AL12*30%</f>
        <v>36154.738400000031</v>
      </c>
      <c r="AN12" s="2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  <c r="AL13" s="11"/>
      <c r="AM13" s="11"/>
    </row>
    <row r="14" spans="1:40" x14ac:dyDescent="0.35">
      <c r="A14" s="20">
        <v>45143</v>
      </c>
      <c r="B14" s="21" t="s">
        <v>330</v>
      </c>
      <c r="C14" s="21" t="s">
        <v>125</v>
      </c>
      <c r="D14" s="157">
        <v>153227</v>
      </c>
      <c r="E14" s="44" t="s">
        <v>641</v>
      </c>
      <c r="F14" s="21"/>
      <c r="G14" s="21">
        <v>2</v>
      </c>
      <c r="H14" s="22">
        <v>917</v>
      </c>
      <c r="I14" s="33">
        <v>0.5</v>
      </c>
      <c r="J14" s="24">
        <f>IFERROR(K14/H14,"")</f>
        <v>0.44798255179934571</v>
      </c>
      <c r="K14" s="22">
        <v>410.8</v>
      </c>
      <c r="L14" s="21">
        <v>10</v>
      </c>
      <c r="M14" s="21">
        <v>43</v>
      </c>
      <c r="N14" s="21">
        <v>8</v>
      </c>
      <c r="O14" s="21"/>
      <c r="P14" s="21"/>
      <c r="Q14" s="21"/>
      <c r="R14" s="21"/>
      <c r="S14" s="21"/>
      <c r="T14" s="21"/>
      <c r="U14" s="25">
        <v>185</v>
      </c>
      <c r="V14" s="25">
        <f>H14*U14*I14/15</f>
        <v>5654.833333333333</v>
      </c>
      <c r="W14" s="142">
        <v>245.61</v>
      </c>
      <c r="X14" s="25">
        <v>6726.6</v>
      </c>
      <c r="Y14" s="25">
        <f>(G14*60)+(F14*60)</f>
        <v>120</v>
      </c>
      <c r="Z14" s="25">
        <v>326.88</v>
      </c>
      <c r="AA14" s="25">
        <v>0</v>
      </c>
      <c r="AB14" s="25">
        <v>40.869999999999997</v>
      </c>
      <c r="AC14" s="25">
        <f>G14*35+F14*38</f>
        <v>70</v>
      </c>
      <c r="AD14" s="25">
        <f>IF(F14="",G14*4.11,F14*4.11)</f>
        <v>8.2200000000000006</v>
      </c>
      <c r="AE14" s="25">
        <v>13.45</v>
      </c>
      <c r="AF14" s="25">
        <f>V14+Y14+Z14+AA14+AB14+AC14+AD14</f>
        <v>6220.8033333333333</v>
      </c>
      <c r="AG14" s="25">
        <f>IFERROR(IFERROR((H14*W14*J14/15)-AE14,""),"")</f>
        <v>6712.9892000000018</v>
      </c>
      <c r="AH14" s="26">
        <f>IFERROR(AG14-AF14,"")</f>
        <v>492.18586666666852</v>
      </c>
      <c r="AI14" s="6">
        <f>IF(F14="",(G14/$F$44)*$AL$22,(F14/$F$44)*$AL$22)</f>
        <v>16.517079365079365</v>
      </c>
      <c r="AJ14" s="6">
        <f>(AH14-AI14)*70%</f>
        <v>332.96815111111238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246.09293333333426</v>
      </c>
      <c r="AL15" s="183" t="s">
        <v>187</v>
      </c>
      <c r="AM15" s="211" t="s">
        <v>680</v>
      </c>
      <c r="AN15" s="191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7.3318435648111635E-2</v>
      </c>
      <c r="AL16" s="178">
        <v>100</v>
      </c>
      <c r="AM16" s="185" t="s">
        <v>386</v>
      </c>
      <c r="AN16" s="174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  <c r="AL17" s="178">
        <v>21.19</v>
      </c>
      <c r="AM17" s="185" t="s">
        <v>635</v>
      </c>
      <c r="AN17" s="174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78">
        <v>138.27000000000001</v>
      </c>
      <c r="AM18" s="185" t="s">
        <v>636</v>
      </c>
      <c r="AN18" s="174"/>
    </row>
    <row r="19" spans="1:40" x14ac:dyDescent="0.35">
      <c r="A19" s="20">
        <v>45143</v>
      </c>
      <c r="B19" s="21" t="s">
        <v>632</v>
      </c>
      <c r="C19" s="21" t="s">
        <v>611</v>
      </c>
      <c r="D19" s="157">
        <v>153225</v>
      </c>
      <c r="E19" s="44" t="s">
        <v>641</v>
      </c>
      <c r="F19" s="21">
        <v>150</v>
      </c>
      <c r="G19" s="21"/>
      <c r="H19" s="22">
        <v>84278</v>
      </c>
      <c r="I19" s="33">
        <v>0.55000000000000004</v>
      </c>
      <c r="J19" s="24">
        <f>IFERROR(K19/H19,"")</f>
        <v>0.5736965756187854</v>
      </c>
      <c r="K19" s="22">
        <v>48350</v>
      </c>
      <c r="L19" s="21">
        <v>15</v>
      </c>
      <c r="M19" s="21">
        <v>46</v>
      </c>
      <c r="N19" s="21">
        <v>86</v>
      </c>
      <c r="O19" s="21">
        <v>3</v>
      </c>
      <c r="P19" s="21"/>
      <c r="Q19" s="21"/>
      <c r="R19" s="21"/>
      <c r="S19" s="21"/>
      <c r="T19" s="21"/>
      <c r="U19" s="25">
        <v>220</v>
      </c>
      <c r="V19" s="25">
        <f>H19*U19*I19/15</f>
        <v>679842.53333333333</v>
      </c>
      <c r="W19" s="142">
        <v>248.85</v>
      </c>
      <c r="X19" s="25">
        <v>802147.92</v>
      </c>
      <c r="Y19" s="25">
        <f>F19*40</f>
        <v>6000</v>
      </c>
      <c r="Z19" s="25">
        <v>51706.33</v>
      </c>
      <c r="AA19" s="25">
        <v>0</v>
      </c>
      <c r="AB19" s="25">
        <v>4950</v>
      </c>
      <c r="AC19" s="25">
        <v>0</v>
      </c>
      <c r="AD19" s="25">
        <f>IF(F19="",G19*4.11,F19*4.11)</f>
        <v>616.5</v>
      </c>
      <c r="AE19" s="25">
        <v>1604.28</v>
      </c>
      <c r="AF19" s="25">
        <f>V19+Y19+Z19+AA19+AB19+AC19+AD19</f>
        <v>743115.36333333328</v>
      </c>
      <c r="AG19" s="25">
        <f>IFERROR(IFERROR((H19*W19*J19/15)-AE19,""),"")</f>
        <v>800522.22</v>
      </c>
      <c r="AH19" s="26">
        <f>IFERROR(AG19-AF19,"")</f>
        <v>57406.856666666688</v>
      </c>
      <c r="AI19" s="6">
        <f>IF(F19="",(G19/$F$44)*$AL$22,(F19/$F$44)*$AL$22)</f>
        <v>1238.7809523809524</v>
      </c>
      <c r="AJ19" s="6">
        <f>(AH19-AI19)*70%</f>
        <v>39317.653000000013</v>
      </c>
      <c r="AL19" s="178">
        <v>400</v>
      </c>
      <c r="AM19" s="185" t="s">
        <v>386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382.71237777777793</v>
      </c>
      <c r="AL20" s="205">
        <v>1721.98</v>
      </c>
      <c r="AM20" s="185" t="s">
        <v>640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7.1711759189728289E-2</v>
      </c>
      <c r="AL21" s="178">
        <v>220</v>
      </c>
      <c r="AM21" s="185" t="s">
        <v>530</v>
      </c>
      <c r="AN21" s="174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3"/>
      <c r="AA22" s="21"/>
      <c r="AB22" s="21"/>
      <c r="AC22" s="21"/>
      <c r="AD22" s="21"/>
      <c r="AE22" s="21"/>
      <c r="AF22" s="21"/>
      <c r="AG22" s="21"/>
      <c r="AH22" s="24"/>
      <c r="AL22" s="188">
        <f>SUM(AL16:AL21)</f>
        <v>2601.44</v>
      </c>
      <c r="AM22" s="189" t="s">
        <v>682</v>
      </c>
      <c r="AN22" s="191"/>
    </row>
    <row r="23" spans="1:40" x14ac:dyDescent="0.35">
      <c r="A23" s="37" t="s">
        <v>1</v>
      </c>
      <c r="B23" s="37" t="s">
        <v>2</v>
      </c>
      <c r="C23" s="37" t="s">
        <v>110</v>
      </c>
      <c r="D23" s="37" t="s">
        <v>66</v>
      </c>
      <c r="E23" s="37" t="s">
        <v>638</v>
      </c>
      <c r="F23" s="37" t="s">
        <v>137</v>
      </c>
      <c r="G23" s="37" t="s">
        <v>138</v>
      </c>
      <c r="H23" s="37" t="s">
        <v>4</v>
      </c>
      <c r="I23" s="37" t="s">
        <v>5</v>
      </c>
      <c r="J23" s="37" t="s">
        <v>6</v>
      </c>
      <c r="K23" s="37" t="s">
        <v>7</v>
      </c>
      <c r="L23" s="37" t="s">
        <v>279</v>
      </c>
      <c r="M23" s="37" t="s">
        <v>280</v>
      </c>
      <c r="N23" s="37" t="s">
        <v>281</v>
      </c>
      <c r="O23" s="37" t="s">
        <v>282</v>
      </c>
      <c r="P23" s="37" t="s">
        <v>283</v>
      </c>
      <c r="Q23" s="37" t="s">
        <v>284</v>
      </c>
      <c r="R23" s="37" t="s">
        <v>904</v>
      </c>
      <c r="S23" s="37" t="s">
        <v>285</v>
      </c>
      <c r="T23" s="37" t="s">
        <v>289</v>
      </c>
      <c r="U23" s="37" t="s">
        <v>8</v>
      </c>
      <c r="V23" s="37" t="s">
        <v>9</v>
      </c>
      <c r="W23" s="37" t="s">
        <v>10</v>
      </c>
      <c r="X23" s="37" t="s">
        <v>100</v>
      </c>
      <c r="Y23" s="37" t="s">
        <v>106</v>
      </c>
      <c r="Z23" s="37" t="s">
        <v>12</v>
      </c>
      <c r="AA23" s="37" t="s">
        <v>258</v>
      </c>
      <c r="AB23" s="37" t="s">
        <v>13</v>
      </c>
      <c r="AC23" s="37" t="s">
        <v>74</v>
      </c>
      <c r="AD23" s="37" t="s">
        <v>21</v>
      </c>
      <c r="AE23" s="37" t="s">
        <v>14</v>
      </c>
      <c r="AF23" s="37" t="s">
        <v>15</v>
      </c>
      <c r="AG23" s="37" t="s">
        <v>16</v>
      </c>
      <c r="AH23" s="15" t="s">
        <v>17</v>
      </c>
      <c r="AI23" s="14" t="s">
        <v>679</v>
      </c>
      <c r="AJ23" s="14" t="s">
        <v>678</v>
      </c>
    </row>
    <row r="24" spans="1:40" x14ac:dyDescent="0.35">
      <c r="A24" s="38">
        <v>45146</v>
      </c>
      <c r="B24" s="39" t="s">
        <v>632</v>
      </c>
      <c r="C24" s="39" t="s">
        <v>637</v>
      </c>
      <c r="D24" s="45">
        <v>153230</v>
      </c>
      <c r="E24" s="45" t="s">
        <v>641</v>
      </c>
      <c r="F24" s="39">
        <v>10</v>
      </c>
      <c r="G24" s="39"/>
      <c r="H24" s="40">
        <v>5987</v>
      </c>
      <c r="I24" s="53">
        <v>0.55000000000000004</v>
      </c>
      <c r="J24" s="42">
        <f>IFERROR(K24/H24,"")</f>
        <v>0.52737598129280105</v>
      </c>
      <c r="K24" s="40">
        <v>3157.4</v>
      </c>
      <c r="L24" s="39"/>
      <c r="M24" s="39"/>
      <c r="N24" s="39">
        <v>10</v>
      </c>
      <c r="O24" s="39"/>
      <c r="P24" s="39"/>
      <c r="Q24" s="39"/>
      <c r="R24" s="39"/>
      <c r="S24" s="39"/>
      <c r="T24" s="39"/>
      <c r="U24" s="43">
        <v>210</v>
      </c>
      <c r="V24" s="43">
        <f>H24*U24*I24/15</f>
        <v>46099.9</v>
      </c>
      <c r="W24" s="43">
        <v>247.26</v>
      </c>
      <c r="X24" s="43">
        <v>52045.91</v>
      </c>
      <c r="Y24" s="43">
        <f>F24*40</f>
        <v>400</v>
      </c>
      <c r="Z24" s="43">
        <v>2530.71</v>
      </c>
      <c r="AA24" s="43">
        <v>0</v>
      </c>
      <c r="AB24" s="43">
        <v>315</v>
      </c>
      <c r="AC24" s="43">
        <v>0</v>
      </c>
      <c r="AD24" s="43">
        <f>IF(F24="",G24*4.11,F24*4.11)</f>
        <v>41.1</v>
      </c>
      <c r="AE24" s="43">
        <v>104.09</v>
      </c>
      <c r="AF24" s="43">
        <f>V24+Y24+Z24+AA24+AB24+AC24+AD24</f>
        <v>49386.71</v>
      </c>
      <c r="AG24" s="43">
        <f>IFERROR(IFERROR((H24*W24*J24/15)-AE24,""),"")</f>
        <v>51942.491600000001</v>
      </c>
      <c r="AH24" s="26">
        <f>IFERROR(AG24-AF24,"")</f>
        <v>2555.7816000000021</v>
      </c>
      <c r="AI24" s="6">
        <f>IF(F24="",(G24/$F$44)*$AL$22,(F24/$F$44)*$AL$22)</f>
        <v>82.585396825396828</v>
      </c>
      <c r="AJ24" s="6">
        <f>(AH24-AI24)*70%</f>
        <v>1731.2373422222236</v>
      </c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255.5781600000002</v>
      </c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4.9204062440470257E-2</v>
      </c>
      <c r="AL26" s="11">
        <f>AL12-AL22</f>
        <v>117914.35466666677</v>
      </c>
      <c r="AM26" s="11" t="s">
        <v>471</v>
      </c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59">
        <f>AL26*30%</f>
        <v>35374.30640000003</v>
      </c>
      <c r="AM27" s="130" t="s">
        <v>499</v>
      </c>
    </row>
    <row r="28" spans="1:40" x14ac:dyDescent="0.35">
      <c r="A28" s="37" t="s">
        <v>1</v>
      </c>
      <c r="B28" s="37" t="s">
        <v>2</v>
      </c>
      <c r="C28" s="37" t="s">
        <v>110</v>
      </c>
      <c r="D28" s="37" t="s">
        <v>66</v>
      </c>
      <c r="E28" s="37" t="s">
        <v>638</v>
      </c>
      <c r="F28" s="37" t="s">
        <v>137</v>
      </c>
      <c r="G28" s="37" t="s">
        <v>138</v>
      </c>
      <c r="H28" s="37" t="s">
        <v>4</v>
      </c>
      <c r="I28" s="37" t="s">
        <v>5</v>
      </c>
      <c r="J28" s="37" t="s">
        <v>6</v>
      </c>
      <c r="K28" s="37" t="s">
        <v>7</v>
      </c>
      <c r="L28" s="37" t="s">
        <v>279</v>
      </c>
      <c r="M28" s="37" t="s">
        <v>280</v>
      </c>
      <c r="N28" s="37" t="s">
        <v>281</v>
      </c>
      <c r="O28" s="37" t="s">
        <v>282</v>
      </c>
      <c r="P28" s="37" t="s">
        <v>283</v>
      </c>
      <c r="Q28" s="37" t="s">
        <v>284</v>
      </c>
      <c r="R28" s="37" t="s">
        <v>904</v>
      </c>
      <c r="S28" s="37" t="s">
        <v>285</v>
      </c>
      <c r="T28" s="37" t="s">
        <v>289</v>
      </c>
      <c r="U28" s="37" t="s">
        <v>8</v>
      </c>
      <c r="V28" s="37" t="s">
        <v>9</v>
      </c>
      <c r="W28" s="37" t="s">
        <v>10</v>
      </c>
      <c r="X28" s="37" t="s">
        <v>100</v>
      </c>
      <c r="Y28" s="37" t="s">
        <v>106</v>
      </c>
      <c r="Z28" s="37" t="s">
        <v>12</v>
      </c>
      <c r="AA28" s="37" t="s">
        <v>258</v>
      </c>
      <c r="AB28" s="37" t="s">
        <v>13</v>
      </c>
      <c r="AC28" s="37" t="s">
        <v>74</v>
      </c>
      <c r="AD28" s="37" t="s">
        <v>21</v>
      </c>
      <c r="AE28" s="37" t="s">
        <v>14</v>
      </c>
      <c r="AF28" s="37" t="s">
        <v>15</v>
      </c>
      <c r="AG28" s="37" t="s">
        <v>16</v>
      </c>
      <c r="AH28" s="15" t="s">
        <v>17</v>
      </c>
      <c r="AI28" s="14" t="s">
        <v>679</v>
      </c>
      <c r="AJ28" s="14" t="s">
        <v>678</v>
      </c>
    </row>
    <row r="29" spans="1:40" x14ac:dyDescent="0.35">
      <c r="A29" s="38">
        <v>45146</v>
      </c>
      <c r="B29" s="39" t="s">
        <v>632</v>
      </c>
      <c r="C29" s="39" t="s">
        <v>637</v>
      </c>
      <c r="D29" s="45">
        <v>153230</v>
      </c>
      <c r="E29" s="45" t="s">
        <v>641</v>
      </c>
      <c r="F29" s="39">
        <v>40</v>
      </c>
      <c r="G29" s="39"/>
      <c r="H29" s="40">
        <v>22823</v>
      </c>
      <c r="I29" s="53">
        <v>0.55000000000000004</v>
      </c>
      <c r="J29" s="42">
        <f>IFERROR(K29/H29,"")</f>
        <v>0.55337159882574594</v>
      </c>
      <c r="K29" s="40">
        <v>12629.6</v>
      </c>
      <c r="L29" s="39"/>
      <c r="M29" s="39">
        <v>28</v>
      </c>
      <c r="N29" s="39">
        <v>9</v>
      </c>
      <c r="O29" s="39">
        <v>3</v>
      </c>
      <c r="P29" s="39"/>
      <c r="Q29" s="39"/>
      <c r="R29" s="39"/>
      <c r="S29" s="39"/>
      <c r="T29" s="39"/>
      <c r="U29" s="43">
        <v>210</v>
      </c>
      <c r="V29" s="43">
        <v>175737.1</v>
      </c>
      <c r="W29" s="43">
        <v>247.26</v>
      </c>
      <c r="X29" s="43">
        <v>208183.65</v>
      </c>
      <c r="Y29" s="43">
        <f>F29*40</f>
        <v>1600</v>
      </c>
      <c r="Z29" s="43">
        <v>10122.84</v>
      </c>
      <c r="AA29" s="43">
        <v>0</v>
      </c>
      <c r="AB29" s="43">
        <v>1260</v>
      </c>
      <c r="AC29" s="43">
        <v>0</v>
      </c>
      <c r="AD29" s="43">
        <f>IF(F29="",G29*4.11,F29*4.11)</f>
        <v>164.4</v>
      </c>
      <c r="AE29" s="43">
        <v>416.36</v>
      </c>
      <c r="AF29" s="43">
        <f>V29+Y29+Z29+AA29+AB29+AC29+AD29</f>
        <v>188884.34</v>
      </c>
      <c r="AG29" s="43">
        <f>IFERROR(IFERROR((H29*W29*J29/15)-AE29,""),"")</f>
        <v>207769.9664</v>
      </c>
      <c r="AH29" s="26">
        <f>IFERROR(AG29-AF29,"")</f>
        <v>18885.626400000008</v>
      </c>
      <c r="AI29" s="6">
        <f>IF(F29="",(G29/$F$44)*$AL$22,(F29/$F$44)*$AL$22)</f>
        <v>330.34158730158731</v>
      </c>
      <c r="AJ29" s="6">
        <f>(AH29-AI29)*70%</f>
        <v>12988.699368888894</v>
      </c>
      <c r="AL29" s="11">
        <f>AH24+AH29+AH34+AH39</f>
        <v>41599.574000000022</v>
      </c>
      <c r="AM29" s="150" t="s">
        <v>596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472.1406600000002</v>
      </c>
      <c r="AL30" s="11">
        <f>AL29-AL22</f>
        <v>38998.13400000002</v>
      </c>
      <c r="AM30" s="1" t="s">
        <v>597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9.0896806344191658E-2</v>
      </c>
      <c r="AL31" s="148">
        <f>AL30*30%</f>
        <v>11699.440200000006</v>
      </c>
      <c r="AM31" s="149" t="s">
        <v>598</v>
      </c>
      <c r="AN31" t="s">
        <v>72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40" x14ac:dyDescent="0.35">
      <c r="A33" s="37" t="s">
        <v>1</v>
      </c>
      <c r="B33" s="37" t="s">
        <v>2</v>
      </c>
      <c r="C33" s="37" t="s">
        <v>110</v>
      </c>
      <c r="D33" s="37" t="s">
        <v>66</v>
      </c>
      <c r="E33" s="37" t="s">
        <v>638</v>
      </c>
      <c r="F33" s="37" t="s">
        <v>137</v>
      </c>
      <c r="G33" s="37" t="s">
        <v>138</v>
      </c>
      <c r="H33" s="37" t="s">
        <v>4</v>
      </c>
      <c r="I33" s="37" t="s">
        <v>5</v>
      </c>
      <c r="J33" s="37" t="s">
        <v>6</v>
      </c>
      <c r="K33" s="37" t="s">
        <v>7</v>
      </c>
      <c r="L33" s="37" t="s">
        <v>279</v>
      </c>
      <c r="M33" s="37" t="s">
        <v>280</v>
      </c>
      <c r="N33" s="37" t="s">
        <v>281</v>
      </c>
      <c r="O33" s="37" t="s">
        <v>282</v>
      </c>
      <c r="P33" s="37" t="s">
        <v>283</v>
      </c>
      <c r="Q33" s="37" t="s">
        <v>284</v>
      </c>
      <c r="R33" s="37" t="s">
        <v>904</v>
      </c>
      <c r="S33" s="37" t="s">
        <v>285</v>
      </c>
      <c r="T33" s="37" t="s">
        <v>289</v>
      </c>
      <c r="U33" s="37" t="s">
        <v>8</v>
      </c>
      <c r="V33" s="37" t="s">
        <v>9</v>
      </c>
      <c r="W33" s="37" t="s">
        <v>10</v>
      </c>
      <c r="X33" s="37" t="s">
        <v>100</v>
      </c>
      <c r="Y33" s="37" t="s">
        <v>106</v>
      </c>
      <c r="Z33" s="37" t="s">
        <v>12</v>
      </c>
      <c r="AA33" s="37" t="s">
        <v>258</v>
      </c>
      <c r="AB33" s="37" t="s">
        <v>13</v>
      </c>
      <c r="AC33" s="37" t="s">
        <v>74</v>
      </c>
      <c r="AD33" s="37" t="s">
        <v>21</v>
      </c>
      <c r="AE33" s="37" t="s">
        <v>14</v>
      </c>
      <c r="AF33" s="37" t="s">
        <v>15</v>
      </c>
      <c r="AG33" s="37" t="s">
        <v>16</v>
      </c>
      <c r="AH33" s="15" t="s">
        <v>17</v>
      </c>
      <c r="AI33" s="14" t="s">
        <v>679</v>
      </c>
      <c r="AJ33" s="14" t="s">
        <v>678</v>
      </c>
    </row>
    <row r="34" spans="1:40" x14ac:dyDescent="0.35">
      <c r="A34" s="38">
        <v>45146</v>
      </c>
      <c r="B34" s="39" t="s">
        <v>330</v>
      </c>
      <c r="C34" s="39" t="s">
        <v>639</v>
      </c>
      <c r="D34" s="45">
        <v>153979</v>
      </c>
      <c r="E34" s="45" t="s">
        <v>641</v>
      </c>
      <c r="F34" s="39">
        <v>44</v>
      </c>
      <c r="G34" s="39"/>
      <c r="H34" s="40">
        <v>23997.599999999999</v>
      </c>
      <c r="I34" s="53">
        <v>0.54</v>
      </c>
      <c r="J34" s="42">
        <f>IFERROR(K34/H34,"")</f>
        <v>0.54895489548954901</v>
      </c>
      <c r="K34" s="40">
        <v>13173.6</v>
      </c>
      <c r="L34" s="39">
        <v>1</v>
      </c>
      <c r="M34" s="39">
        <v>25</v>
      </c>
      <c r="N34" s="39">
        <v>11</v>
      </c>
      <c r="O34" s="39">
        <v>6</v>
      </c>
      <c r="P34" s="39">
        <v>1</v>
      </c>
      <c r="Q34" s="39"/>
      <c r="R34" s="39"/>
      <c r="S34" s="39"/>
      <c r="T34" s="39"/>
      <c r="U34" s="43">
        <v>215</v>
      </c>
      <c r="V34" s="43">
        <f>H34*U34*I34/15</f>
        <v>185741.42400000003</v>
      </c>
      <c r="W34" s="43">
        <v>245.9</v>
      </c>
      <c r="X34" s="43">
        <v>215954.68</v>
      </c>
      <c r="Y34" s="43">
        <f>F34*60</f>
        <v>2640</v>
      </c>
      <c r="Z34" s="43">
        <v>8170.83</v>
      </c>
      <c r="AA34" s="43">
        <v>0</v>
      </c>
      <c r="AB34" s="43">
        <v>938.08</v>
      </c>
      <c r="AC34" s="43">
        <f>F34*38</f>
        <v>1672</v>
      </c>
      <c r="AD34" s="43">
        <f>IF(F34="",G34*4.11,F34*4.11)</f>
        <v>180.84</v>
      </c>
      <c r="AE34" s="43">
        <v>431.91</v>
      </c>
      <c r="AF34" s="43">
        <f>V34+Y34+Z34+AA34+AB34+AC34+AD34</f>
        <v>199343.174</v>
      </c>
      <c r="AG34" s="43">
        <f>IFERROR(IFERROR((H34*W34*J34/15)-AE34,""),"")</f>
        <v>215527.30600000001</v>
      </c>
      <c r="AH34" s="26">
        <f>IFERROR(AG34-AF34,"")</f>
        <v>16184.132000000012</v>
      </c>
      <c r="AI34" s="6">
        <f>IF(F34="",(G34/$F$44)*$AL$22,(F34/$F$44)*$AL$22)</f>
        <v>363.37574603174608</v>
      </c>
      <c r="AJ34" s="6">
        <f>(AH34-AI34)*70%</f>
        <v>11074.529377777786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367.82118181818208</v>
      </c>
      <c r="AL35" s="151">
        <f>AH4+AH9+AH14+AH19+AH81</f>
        <v>78916.220666666748</v>
      </c>
      <c r="AM35" s="152" t="s">
        <v>599</v>
      </c>
      <c r="AN35" t="s">
        <v>72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7.5090865748584132E-2</v>
      </c>
      <c r="AL36" s="148">
        <f>AL35*30%</f>
        <v>23674.866200000022</v>
      </c>
      <c r="AM36" s="149" t="s">
        <v>525</v>
      </c>
      <c r="AN36" s="156">
        <v>45177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40" x14ac:dyDescent="0.35">
      <c r="A38" s="37" t="s">
        <v>1</v>
      </c>
      <c r="B38" s="37" t="s">
        <v>2</v>
      </c>
      <c r="C38" s="37" t="s">
        <v>110</v>
      </c>
      <c r="D38" s="37" t="s">
        <v>66</v>
      </c>
      <c r="E38" s="37" t="s">
        <v>638</v>
      </c>
      <c r="F38" s="37" t="s">
        <v>137</v>
      </c>
      <c r="G38" s="37" t="s">
        <v>138</v>
      </c>
      <c r="H38" s="37" t="s">
        <v>4</v>
      </c>
      <c r="I38" s="37" t="s">
        <v>5</v>
      </c>
      <c r="J38" s="37" t="s">
        <v>6</v>
      </c>
      <c r="K38" s="37" t="s">
        <v>7</v>
      </c>
      <c r="L38" s="37" t="s">
        <v>279</v>
      </c>
      <c r="M38" s="37" t="s">
        <v>280</v>
      </c>
      <c r="N38" s="37" t="s">
        <v>281</v>
      </c>
      <c r="O38" s="37" t="s">
        <v>282</v>
      </c>
      <c r="P38" s="37" t="s">
        <v>283</v>
      </c>
      <c r="Q38" s="37" t="s">
        <v>284</v>
      </c>
      <c r="R38" s="37" t="s">
        <v>904</v>
      </c>
      <c r="S38" s="37" t="s">
        <v>285</v>
      </c>
      <c r="T38" s="37" t="s">
        <v>289</v>
      </c>
      <c r="U38" s="37" t="s">
        <v>8</v>
      </c>
      <c r="V38" s="37" t="s">
        <v>9</v>
      </c>
      <c r="W38" s="37" t="s">
        <v>10</v>
      </c>
      <c r="X38" s="37" t="s">
        <v>100</v>
      </c>
      <c r="Y38" s="37" t="s">
        <v>106</v>
      </c>
      <c r="Z38" s="37" t="s">
        <v>12</v>
      </c>
      <c r="AA38" s="37" t="s">
        <v>258</v>
      </c>
      <c r="AB38" s="37" t="s">
        <v>13</v>
      </c>
      <c r="AC38" s="37" t="s">
        <v>74</v>
      </c>
      <c r="AD38" s="37" t="s">
        <v>21</v>
      </c>
      <c r="AE38" s="37" t="s">
        <v>14</v>
      </c>
      <c r="AF38" s="37" t="s">
        <v>15</v>
      </c>
      <c r="AG38" s="37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38">
        <v>45146</v>
      </c>
      <c r="B39" s="39" t="s">
        <v>330</v>
      </c>
      <c r="C39" s="39" t="s">
        <v>639</v>
      </c>
      <c r="D39" s="45">
        <v>153979</v>
      </c>
      <c r="E39" s="45" t="s">
        <v>641</v>
      </c>
      <c r="F39" s="39">
        <v>6</v>
      </c>
      <c r="G39" s="39"/>
      <c r="H39" s="40">
        <v>3272.4</v>
      </c>
      <c r="I39" s="53">
        <v>0.54</v>
      </c>
      <c r="J39" s="42">
        <f>IFERROR(K39/H39,"")</f>
        <v>0.54895489548954901</v>
      </c>
      <c r="K39" s="40">
        <v>1796.4</v>
      </c>
      <c r="L39" s="39"/>
      <c r="M39" s="39">
        <v>6</v>
      </c>
      <c r="N39" s="39"/>
      <c r="O39" s="39"/>
      <c r="P39" s="39"/>
      <c r="Q39" s="39"/>
      <c r="R39" s="39"/>
      <c r="S39" s="39"/>
      <c r="T39" s="39"/>
      <c r="U39" s="43">
        <v>200</v>
      </c>
      <c r="V39" s="43">
        <f>H39*U39*I39/15</f>
        <v>23561.280000000002</v>
      </c>
      <c r="W39" s="43">
        <v>245.9</v>
      </c>
      <c r="X39" s="43">
        <v>29448.36</v>
      </c>
      <c r="Y39" s="43">
        <f>F39*60</f>
        <v>360</v>
      </c>
      <c r="Z39" s="43">
        <v>1114.2</v>
      </c>
      <c r="AA39" s="43">
        <v>0</v>
      </c>
      <c r="AB39" s="43">
        <v>127.92</v>
      </c>
      <c r="AC39" s="43">
        <f>G39*35+F39*38</f>
        <v>228</v>
      </c>
      <c r="AD39" s="43">
        <f>IF(F39="",G39*4.11,F39*4.11)</f>
        <v>24.660000000000004</v>
      </c>
      <c r="AE39" s="43">
        <v>58.89</v>
      </c>
      <c r="AF39" s="43">
        <f>V39+Y39+Z39+AA39+AB39+AC39+AD39</f>
        <v>25416.06</v>
      </c>
      <c r="AG39" s="43">
        <f>IFERROR(IFERROR((H39*W39*J39/15)-AE39,""),"")</f>
        <v>29390.094000000005</v>
      </c>
      <c r="AH39" s="26">
        <f>IFERROR(AG39-AF39,"")</f>
        <v>3974.0340000000033</v>
      </c>
      <c r="AI39" s="6">
        <f>IF(F39="",(G39/$F$44)*$AL$22,(F39/$F$44)*$AL$22)</f>
        <v>49.551238095238098</v>
      </c>
      <c r="AJ39" s="6">
        <f>(AH39-AI39)*70%</f>
        <v>2747.1379333333352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662.33900000000051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0.13521678426751554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</row>
    <row r="43" spans="1:40" ht="15" thickBot="1" x14ac:dyDescent="0.4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47"/>
    </row>
    <row r="44" spans="1:40" ht="16" thickBot="1" x14ac:dyDescent="0.4">
      <c r="A44" s="377" t="s">
        <v>634</v>
      </c>
      <c r="B44" s="378"/>
      <c r="C44" s="378"/>
      <c r="D44" s="378"/>
      <c r="E44" s="378"/>
      <c r="F44" s="30">
        <f>SUM(F4:G39)</f>
        <v>315</v>
      </c>
      <c r="G44" s="30"/>
      <c r="H44" s="30"/>
      <c r="I44" s="30"/>
      <c r="J44" s="30"/>
      <c r="K44" s="30"/>
      <c r="L44" s="46"/>
      <c r="M44" s="46"/>
      <c r="N44" s="46"/>
      <c r="O44" s="46"/>
      <c r="P44" s="46"/>
      <c r="Q44" s="46"/>
      <c r="R44" s="46"/>
      <c r="S44" s="46"/>
      <c r="T44" s="46"/>
      <c r="U44" s="30"/>
      <c r="V44" s="31">
        <f>V4+V9+V14+V19+V24+V29+V34+V39</f>
        <v>1289950.9040000001</v>
      </c>
      <c r="W44" s="31"/>
      <c r="X44" s="31"/>
      <c r="Y44" s="31">
        <f t="shared" ref="Y44:AJ44" si="0">Y4+Y9+Y14+Y19+Y24+Y29+Y34+Y39</f>
        <v>14900</v>
      </c>
      <c r="Z44" s="31">
        <f t="shared" si="0"/>
        <v>84268.52</v>
      </c>
      <c r="AA44" s="31">
        <f t="shared" si="0"/>
        <v>0</v>
      </c>
      <c r="AB44" s="31">
        <f t="shared" si="0"/>
        <v>8919.48</v>
      </c>
      <c r="AC44" s="31">
        <f t="shared" si="0"/>
        <v>4181</v>
      </c>
      <c r="AD44" s="31">
        <f t="shared" si="0"/>
        <v>1294.6500000000001</v>
      </c>
      <c r="AE44" s="31">
        <f t="shared" si="0"/>
        <v>3054.16</v>
      </c>
      <c r="AF44" s="31">
        <f t="shared" si="0"/>
        <v>1403514.554</v>
      </c>
      <c r="AG44" s="31">
        <f t="shared" si="0"/>
        <v>1524030.348666667</v>
      </c>
      <c r="AH44" s="31">
        <f t="shared" si="0"/>
        <v>120515.79466666677</v>
      </c>
      <c r="AI44" s="31">
        <f t="shared" si="0"/>
        <v>2601.44</v>
      </c>
      <c r="AJ44" s="31">
        <f t="shared" si="0"/>
        <v>82540.048266666738</v>
      </c>
    </row>
    <row r="46" spans="1:40" x14ac:dyDescent="0.35">
      <c r="AH46" s="6"/>
    </row>
  </sheetData>
  <mergeCells count="2">
    <mergeCell ref="U2:AC2"/>
    <mergeCell ref="A44:E4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4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customWidth="1"/>
    <col min="38" max="38" width="16.453125" customWidth="1"/>
    <col min="39" max="39" width="18" customWidth="1"/>
    <col min="40" max="40" width="13.179687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AF49</f>
        <v>3389130.1599750007</v>
      </c>
      <c r="AM3" s="164">
        <f>AH49-AI49</f>
        <v>103691.41954499963</v>
      </c>
    </row>
    <row r="4" spans="1:40" x14ac:dyDescent="0.35">
      <c r="A4" s="20">
        <v>45148</v>
      </c>
      <c r="B4" s="21" t="s">
        <v>330</v>
      </c>
      <c r="C4" s="21" t="s">
        <v>293</v>
      </c>
      <c r="D4" s="44">
        <v>1811</v>
      </c>
      <c r="E4" s="44" t="s">
        <v>643</v>
      </c>
      <c r="F4" s="21">
        <v>76</v>
      </c>
      <c r="G4" s="21"/>
      <c r="H4" s="22">
        <v>38268.230000000003</v>
      </c>
      <c r="I4" s="33">
        <v>0.54</v>
      </c>
      <c r="J4" s="24">
        <f>IFERROR(K4/H4,"")</f>
        <v>0.5224020029146893</v>
      </c>
      <c r="K4" s="22">
        <v>19991.400000000001</v>
      </c>
      <c r="L4" s="21">
        <v>3</v>
      </c>
      <c r="M4" s="21">
        <v>39</v>
      </c>
      <c r="N4" s="21">
        <v>34</v>
      </c>
      <c r="O4" s="21"/>
      <c r="P4" s="21"/>
      <c r="Q4" s="21"/>
      <c r="R4" s="21"/>
      <c r="S4" s="21"/>
      <c r="T4" s="21"/>
      <c r="U4" s="25">
        <v>220</v>
      </c>
      <c r="V4" s="25">
        <f>H4*U4*I4/15</f>
        <v>303084.38160000008</v>
      </c>
      <c r="W4" s="25">
        <v>249.02</v>
      </c>
      <c r="X4" s="25">
        <v>331880.53999999998</v>
      </c>
      <c r="Y4" s="25">
        <f>F4*60</f>
        <v>4560</v>
      </c>
      <c r="Z4" s="25">
        <v>15753.22</v>
      </c>
      <c r="AA4" s="25">
        <v>0</v>
      </c>
      <c r="AB4" s="25">
        <v>1672</v>
      </c>
      <c r="AC4" s="25">
        <f>G4*35+F4*38</f>
        <v>2888</v>
      </c>
      <c r="AD4" s="25">
        <f>IF(F4="",G4*4.11,F4*4.11)</f>
        <v>312.36</v>
      </c>
      <c r="AE4" s="25">
        <v>663.76</v>
      </c>
      <c r="AF4" s="25">
        <f>V4+Y4+Z4+AA4+AB4+AC4+AD4</f>
        <v>328269.96160000004</v>
      </c>
      <c r="AG4" s="25">
        <f>IFERROR(IFERROR((H4*W4*J4/15)-AE4,""),"")</f>
        <v>331220.13520000002</v>
      </c>
      <c r="AH4" s="26">
        <f>IFERROR(AG4-AF4,"")</f>
        <v>2950.1735999999801</v>
      </c>
      <c r="AI4" s="6">
        <f>IF(F4="",(G4/$F$49)*$AL$19,(F4/$F$49)*$AL$19)</f>
        <v>0</v>
      </c>
      <c r="AJ4" s="6">
        <f>(AH4-AI4)*70%</f>
        <v>2065.121519999986</v>
      </c>
      <c r="AL4" s="166" t="s">
        <v>749</v>
      </c>
      <c r="AM4" s="167">
        <f>AM3/AL3</f>
        <v>3.0595289838547982E-2</v>
      </c>
    </row>
    <row r="5" spans="1:40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38.818073684210262</v>
      </c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8.9069874879997325E-3</v>
      </c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</row>
    <row r="9" spans="1:40" x14ac:dyDescent="0.35">
      <c r="A9" s="20">
        <v>45148</v>
      </c>
      <c r="B9" s="21" t="s">
        <v>330</v>
      </c>
      <c r="C9" s="21" t="s">
        <v>293</v>
      </c>
      <c r="D9" s="44">
        <v>1813</v>
      </c>
      <c r="E9" s="44" t="s">
        <v>643</v>
      </c>
      <c r="F9" s="21">
        <v>26</v>
      </c>
      <c r="G9" s="21"/>
      <c r="H9" s="22">
        <v>13091.76</v>
      </c>
      <c r="I9" s="33">
        <v>0.54</v>
      </c>
      <c r="J9" s="24">
        <f>IFERROR(K9/H9,"")</f>
        <v>0.62276195102873866</v>
      </c>
      <c r="K9" s="22">
        <v>8153.05</v>
      </c>
      <c r="L9" s="21">
        <v>4</v>
      </c>
      <c r="M9" s="21">
        <v>12</v>
      </c>
      <c r="N9" s="21">
        <v>10</v>
      </c>
      <c r="O9" s="21"/>
      <c r="P9" s="21"/>
      <c r="Q9" s="21"/>
      <c r="R9" s="21"/>
      <c r="S9" s="21"/>
      <c r="T9" s="21"/>
      <c r="U9" s="25">
        <v>220</v>
      </c>
      <c r="V9" s="25">
        <f>H9*U9*I9/15</f>
        <v>103686.73920000001</v>
      </c>
      <c r="W9" s="25">
        <v>243.2</v>
      </c>
      <c r="X9" s="25">
        <v>132186.9</v>
      </c>
      <c r="Y9" s="25">
        <f>(G9*60)+(F9*60)</f>
        <v>1560</v>
      </c>
      <c r="Z9" s="25">
        <v>5389.25</v>
      </c>
      <c r="AA9" s="25">
        <v>0</v>
      </c>
      <c r="AB9" s="25">
        <v>572</v>
      </c>
      <c r="AC9" s="25">
        <f>G9*35+F9*38</f>
        <v>988</v>
      </c>
      <c r="AD9" s="25">
        <f>IF(F9="",G9*4.11,F9*4.11)</f>
        <v>106.86000000000001</v>
      </c>
      <c r="AE9" s="25">
        <v>264.37</v>
      </c>
      <c r="AF9" s="25">
        <f>V9+Y9+Z9+AA9+AB9+AC9+AD9</f>
        <v>112302.84920000001</v>
      </c>
      <c r="AG9" s="25">
        <f>IFERROR(IFERROR((H9*W9*J9/15)-AE9,""),"")</f>
        <v>131923.74733333333</v>
      </c>
      <c r="AH9" s="26">
        <f>IFERROR(AG9-AF9,"")</f>
        <v>19620.898133333321</v>
      </c>
      <c r="AI9" s="6">
        <f>IF(F9="",(G9/$F$49)*$AL$19,(F9/$F$49)*$AL$19)</f>
        <v>0</v>
      </c>
      <c r="AJ9" s="6">
        <f>(AH9-AI9)*70%</f>
        <v>13734.628693333325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754.64992820512771</v>
      </c>
      <c r="AL10">
        <f>F4+G4+F9+G9+F14+G14+F19+G19+F24+G24+F29+G29+F34+G34+F39+G39+F44+G44</f>
        <v>710</v>
      </c>
      <c r="AM10" s="50" t="s">
        <v>22</v>
      </c>
      <c r="AN10" t="s">
        <v>71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0.14872908426226675</v>
      </c>
      <c r="AL11" s="11">
        <f>AH4+AH9+AH14+AH19+AH24+AH29+AH34+AH39+AH44</f>
        <v>103691.41954499963</v>
      </c>
      <c r="AM11" s="11">
        <f>AL11*30%</f>
        <v>31107.425863499888</v>
      </c>
      <c r="AN11" s="2"/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  <c r="AL12" s="11"/>
      <c r="AM12" s="11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  <c r="AL13" s="11"/>
    </row>
    <row r="14" spans="1:40" x14ac:dyDescent="0.35">
      <c r="A14" s="20">
        <v>45148</v>
      </c>
      <c r="B14" s="21" t="s">
        <v>330</v>
      </c>
      <c r="C14" s="21" t="s">
        <v>288</v>
      </c>
      <c r="D14" s="44">
        <v>1865842</v>
      </c>
      <c r="E14" s="44" t="s">
        <v>644</v>
      </c>
      <c r="F14" s="21">
        <v>60</v>
      </c>
      <c r="G14" s="21"/>
      <c r="H14" s="22">
        <v>33756</v>
      </c>
      <c r="I14" s="33">
        <v>0.55000000000000004</v>
      </c>
      <c r="J14" s="24">
        <f>IFERROR(K14/H14,"")</f>
        <v>0.54403661571276218</v>
      </c>
      <c r="K14" s="22">
        <v>18364.5</v>
      </c>
      <c r="L14" s="21">
        <v>8</v>
      </c>
      <c r="M14" s="21">
        <v>40</v>
      </c>
      <c r="N14" s="21">
        <v>11</v>
      </c>
      <c r="O14" s="21">
        <v>1</v>
      </c>
      <c r="P14" s="21"/>
      <c r="Q14" s="21"/>
      <c r="R14" s="21"/>
      <c r="S14" s="21"/>
      <c r="T14" s="21"/>
      <c r="U14" s="25">
        <v>220</v>
      </c>
      <c r="V14" s="25">
        <f>H14*U14*I14/15</f>
        <v>272298.40000000002</v>
      </c>
      <c r="W14" s="25">
        <v>244.66</v>
      </c>
      <c r="X14" s="25">
        <v>309134.61</v>
      </c>
      <c r="Y14" s="25">
        <f>(G14*60)+(F14*60)</f>
        <v>3600</v>
      </c>
      <c r="Z14" s="25">
        <v>13668.64</v>
      </c>
      <c r="AA14" s="25">
        <v>0</v>
      </c>
      <c r="AB14" s="25">
        <v>1320</v>
      </c>
      <c r="AC14" s="25">
        <f>G14*35+F14*38</f>
        <v>2280</v>
      </c>
      <c r="AD14" s="25">
        <f>IF(F14="",G14*4.11,F14*4.11)</f>
        <v>246.60000000000002</v>
      </c>
      <c r="AE14" s="25">
        <v>618.27</v>
      </c>
      <c r="AF14" s="25">
        <f>V14+Y14+Z14+AA14+AB14+AC14+AD14</f>
        <v>293413.64</v>
      </c>
      <c r="AG14" s="25">
        <f>IFERROR(IFERROR((H14*W14*J14/15)-AE14,""),"")</f>
        <v>298918.96799999999</v>
      </c>
      <c r="AH14" s="26">
        <f>IFERROR(AG14-AF14,"")</f>
        <v>5505.3279999999795</v>
      </c>
      <c r="AI14" s="6">
        <f>IF(F14="",(G14/$F$49)*$AL$19,(F14/$F$49)*$AL$19)</f>
        <v>0</v>
      </c>
      <c r="AJ14" s="6">
        <f>(AH14-AI14)*70%</f>
        <v>3853.7295999999856</v>
      </c>
      <c r="AL14" s="180" t="s">
        <v>187</v>
      </c>
      <c r="AM14" s="211" t="s">
        <v>680</v>
      </c>
      <c r="AN14" s="191"/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91.755466666666322</v>
      </c>
      <c r="AL15" s="178">
        <v>0</v>
      </c>
      <c r="AM15" s="6"/>
      <c r="AN15" s="174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1.8417459543751603E-2</v>
      </c>
      <c r="AL16" s="178">
        <v>0</v>
      </c>
      <c r="AM16" s="6"/>
      <c r="AN16" s="174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  <c r="AL17" s="178">
        <v>0</v>
      </c>
      <c r="AM17" s="6"/>
      <c r="AN17" s="174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205"/>
      <c r="AM18" s="6"/>
      <c r="AN18" s="174"/>
    </row>
    <row r="19" spans="1:40" x14ac:dyDescent="0.35">
      <c r="A19" s="20">
        <v>45148</v>
      </c>
      <c r="B19" s="21" t="s">
        <v>330</v>
      </c>
      <c r="C19" s="21" t="s">
        <v>288</v>
      </c>
      <c r="D19" s="44">
        <v>1813</v>
      </c>
      <c r="E19" s="44" t="s">
        <v>643</v>
      </c>
      <c r="F19" s="21">
        <v>40</v>
      </c>
      <c r="G19" s="21"/>
      <c r="H19" s="22">
        <v>22504</v>
      </c>
      <c r="I19" s="33">
        <v>0.55000000000000004</v>
      </c>
      <c r="J19" s="24">
        <f>IFERROR(K19/H19,"")</f>
        <v>0.55741823675790969</v>
      </c>
      <c r="K19" s="22">
        <v>12544.14</v>
      </c>
      <c r="L19" s="21">
        <v>5</v>
      </c>
      <c r="M19" s="21">
        <v>20</v>
      </c>
      <c r="N19" s="21">
        <v>15</v>
      </c>
      <c r="O19" s="21"/>
      <c r="P19" s="21"/>
      <c r="Q19" s="21"/>
      <c r="R19" s="21"/>
      <c r="S19" s="21"/>
      <c r="T19" s="21"/>
      <c r="U19" s="25">
        <v>220</v>
      </c>
      <c r="V19" s="25">
        <f>H19*U19*I19/15</f>
        <v>181532.26666666666</v>
      </c>
      <c r="W19" s="51">
        <v>243.2</v>
      </c>
      <c r="X19" s="25">
        <v>203364.47</v>
      </c>
      <c r="Y19" s="25">
        <f>F19*60</f>
        <v>2400</v>
      </c>
      <c r="Z19" s="25">
        <v>9112.43</v>
      </c>
      <c r="AA19" s="25">
        <v>0</v>
      </c>
      <c r="AB19" s="25">
        <v>880</v>
      </c>
      <c r="AC19" s="25">
        <f>G19*35+F19*38</f>
        <v>1520</v>
      </c>
      <c r="AD19" s="25">
        <f>IF(F19="",G19*4.11,F19*4.11)</f>
        <v>164.4</v>
      </c>
      <c r="AE19" s="25">
        <v>406.72</v>
      </c>
      <c r="AF19" s="25">
        <f>V19+Y19+Z19+AA19+AB19+AC19+AD19</f>
        <v>195609.09666666665</v>
      </c>
      <c r="AG19" s="25">
        <f>IFERROR(IFERROR((H19*W19*J19/15)-AE19,""),"")</f>
        <v>202975.60319999998</v>
      </c>
      <c r="AH19" s="26">
        <f>IFERROR(AG19-AF19,"")</f>
        <v>7366.5065333333332</v>
      </c>
      <c r="AI19" s="6">
        <f>IF(F19="",(G19/$F$49)*$AL$19,(F19/$F$49)*$AL$19)</f>
        <v>0</v>
      </c>
      <c r="AJ19" s="6">
        <f>(AH19-AI19)*70%</f>
        <v>5156.5545733333329</v>
      </c>
      <c r="AL19" s="213">
        <f>SUM(AL15:AL18)</f>
        <v>0</v>
      </c>
      <c r="AM19" s="189" t="s">
        <v>682</v>
      </c>
      <c r="AN19" s="191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5"/>
      <c r="AC20" s="21"/>
      <c r="AD20" s="21"/>
      <c r="AE20" s="21"/>
      <c r="AF20" s="21"/>
      <c r="AG20" s="21"/>
      <c r="AH20" s="26">
        <f>IFERROR(AH19/F19,0)+IFERROR(AH19/G19,0)</f>
        <v>184.16266333333334</v>
      </c>
      <c r="AL20" s="57"/>
      <c r="AM20" s="6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3.6292571211500819E-2</v>
      </c>
      <c r="AL21" s="57"/>
      <c r="AM21" s="6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57"/>
      <c r="AM22" s="6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95">
        <f>SUM(AL15:AL22)</f>
        <v>0</v>
      </c>
      <c r="AM23" s="11" t="s">
        <v>434</v>
      </c>
    </row>
    <row r="24" spans="1:40" x14ac:dyDescent="0.35">
      <c r="A24" s="20">
        <v>45148</v>
      </c>
      <c r="B24" s="21" t="s">
        <v>330</v>
      </c>
      <c r="C24" s="21" t="s">
        <v>319</v>
      </c>
      <c r="D24" s="44">
        <v>1865842</v>
      </c>
      <c r="E24" s="44" t="s">
        <v>644</v>
      </c>
      <c r="F24" s="21">
        <v>100</v>
      </c>
      <c r="G24" s="21"/>
      <c r="H24" s="22">
        <v>57380</v>
      </c>
      <c r="I24" s="33">
        <v>0.55000000000000004</v>
      </c>
      <c r="J24" s="24">
        <f>IFERROR(K24/H24,"")</f>
        <v>0.56077030324154753</v>
      </c>
      <c r="K24" s="22">
        <v>32177</v>
      </c>
      <c r="L24" s="21">
        <v>87</v>
      </c>
      <c r="M24" s="21">
        <v>13</v>
      </c>
      <c r="N24" s="21"/>
      <c r="O24" s="21"/>
      <c r="P24" s="21"/>
      <c r="Q24" s="21"/>
      <c r="R24" s="21"/>
      <c r="S24" s="21"/>
      <c r="T24" s="21"/>
      <c r="U24" s="25">
        <v>220</v>
      </c>
      <c r="V24" s="25">
        <f>H24*U24*I24/15</f>
        <v>462865.33333333337</v>
      </c>
      <c r="W24" s="25">
        <v>244.66</v>
      </c>
      <c r="X24" s="25">
        <v>515224.35</v>
      </c>
      <c r="Y24" s="25">
        <f>F24*60</f>
        <v>6000</v>
      </c>
      <c r="Z24" s="25">
        <v>16960.28</v>
      </c>
      <c r="AA24" s="25">
        <v>0</v>
      </c>
      <c r="AB24" s="25">
        <v>2200</v>
      </c>
      <c r="AC24" s="25">
        <f>G24*35+F24*38</f>
        <v>3800</v>
      </c>
      <c r="AD24" s="25">
        <f>IF(F24="",G24*4.11,F24*4.11)</f>
        <v>411.00000000000006</v>
      </c>
      <c r="AE24" s="25">
        <v>1030.45</v>
      </c>
      <c r="AF24" s="25">
        <f>V24+Y24+Z24+AA24+AB24+AC24+AD24</f>
        <v>492236.6133333334</v>
      </c>
      <c r="AG24" s="25">
        <f>IFERROR(IFERROR((H24*W24*J24/15)-AE24,""),"")</f>
        <v>523797.87133333326</v>
      </c>
      <c r="AH24" s="26">
        <f>IFERROR(AG24-AF24,"")</f>
        <v>31561.257999999856</v>
      </c>
      <c r="AI24" s="6">
        <f>IF(F24="",(G24/$F$49)*$AL$19,(F24/$F$49)*$AL$19)</f>
        <v>0</v>
      </c>
      <c r="AJ24" s="6">
        <f>(AH24-AI24)*70%</f>
        <v>22092.880599999899</v>
      </c>
      <c r="AL24" s="11">
        <f>AL11-AL23</f>
        <v>103691.41954499963</v>
      </c>
      <c r="AM24" s="11" t="s">
        <v>471</v>
      </c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315.61257999999856</v>
      </c>
      <c r="AL25" s="59">
        <f>AL24*30%</f>
        <v>31107.425863499888</v>
      </c>
      <c r="AM25" s="130" t="s">
        <v>499</v>
      </c>
      <c r="AN25" t="s">
        <v>72</v>
      </c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6.0254651130330725E-2</v>
      </c>
      <c r="AL26" s="131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20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</row>
    <row r="29" spans="1:40" x14ac:dyDescent="0.35">
      <c r="A29" s="20">
        <v>45148</v>
      </c>
      <c r="B29" s="21" t="s">
        <v>330</v>
      </c>
      <c r="C29" s="21" t="s">
        <v>124</v>
      </c>
      <c r="D29" s="44">
        <v>1813</v>
      </c>
      <c r="E29" s="44" t="s">
        <v>643</v>
      </c>
      <c r="F29" s="21">
        <v>108</v>
      </c>
      <c r="G29" s="21"/>
      <c r="H29" s="22">
        <v>58420</v>
      </c>
      <c r="I29" s="33">
        <v>0.54</v>
      </c>
      <c r="J29" s="24">
        <f>IFERROR(K29/H29,"")</f>
        <v>0.57969120164327281</v>
      </c>
      <c r="K29" s="22">
        <v>33865.56</v>
      </c>
      <c r="L29" s="21">
        <v>8</v>
      </c>
      <c r="M29" s="21">
        <v>82</v>
      </c>
      <c r="N29" s="21">
        <v>18</v>
      </c>
      <c r="O29" s="21"/>
      <c r="P29" s="21"/>
      <c r="Q29" s="21"/>
      <c r="R29" s="21"/>
      <c r="S29" s="21"/>
      <c r="T29" s="21"/>
      <c r="U29" s="25">
        <v>215</v>
      </c>
      <c r="V29" s="25">
        <f>H29*U29*I29/15</f>
        <v>452170.8</v>
      </c>
      <c r="W29" s="25">
        <v>243.2</v>
      </c>
      <c r="X29" s="25">
        <v>549084.06999999995</v>
      </c>
      <c r="Y29" s="25">
        <f>F29*60</f>
        <v>6480</v>
      </c>
      <c r="Z29" s="25">
        <v>21002.400000000001</v>
      </c>
      <c r="AA29" s="25">
        <v>0</v>
      </c>
      <c r="AB29" s="25">
        <v>2322</v>
      </c>
      <c r="AC29" s="25">
        <f>G29*35+F29*38</f>
        <v>4104</v>
      </c>
      <c r="AD29" s="25">
        <f>IF(F29="",G29*4.11,F29*4.11)</f>
        <v>443.88000000000005</v>
      </c>
      <c r="AE29" s="25">
        <v>1098.1600000000001</v>
      </c>
      <c r="AF29" s="25">
        <f>V29+Y29+Z29+AA29+AB29+AC29+AD29</f>
        <v>486523.08</v>
      </c>
      <c r="AG29" s="25">
        <f>IFERROR(IFERROR((H29*W29*J29/15)-AE29,""),"")</f>
        <v>547975.45279999997</v>
      </c>
      <c r="AH29" s="26">
        <f>IFERROR(AG29-AF29,"")</f>
        <v>61452.372799999954</v>
      </c>
      <c r="AI29" s="6">
        <f>IF(F29="",(G29/$F$49)*$AL$19,(F29/$F$49)*$AL$19)</f>
        <v>0</v>
      </c>
      <c r="AJ29" s="6">
        <f>(AH29-AI29)*70%</f>
        <v>43016.660959999965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569.00345185185142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0.11214438983716454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6" x14ac:dyDescent="0.35">
      <c r="A34" s="20">
        <v>45149</v>
      </c>
      <c r="B34" s="21" t="s">
        <v>330</v>
      </c>
      <c r="C34" s="21" t="s">
        <v>124</v>
      </c>
      <c r="D34" s="44">
        <v>1813</v>
      </c>
      <c r="E34" s="44" t="s">
        <v>643</v>
      </c>
      <c r="F34" s="21">
        <v>26</v>
      </c>
      <c r="G34" s="21"/>
      <c r="H34" s="22">
        <f>557.133333*F34</f>
        <v>14485.466657999999</v>
      </c>
      <c r="I34" s="33">
        <v>0.55000000000000004</v>
      </c>
      <c r="J34" s="24">
        <f>IFERROR(K34/H34,"")</f>
        <v>0.56284344802224595</v>
      </c>
      <c r="K34" s="22">
        <v>8153.05</v>
      </c>
      <c r="L34" s="21">
        <v>4</v>
      </c>
      <c r="M34" s="21">
        <v>12</v>
      </c>
      <c r="N34" s="21">
        <v>10</v>
      </c>
      <c r="O34" s="21"/>
      <c r="P34" s="21"/>
      <c r="Q34" s="21"/>
      <c r="R34" s="21"/>
      <c r="S34" s="21"/>
      <c r="T34" s="21"/>
      <c r="U34" s="25">
        <v>225</v>
      </c>
      <c r="V34" s="25">
        <f>H34*U34*I34/15</f>
        <v>119505.0999285</v>
      </c>
      <c r="W34" s="25">
        <v>243.2</v>
      </c>
      <c r="X34" s="25">
        <v>132186.9</v>
      </c>
      <c r="Y34" s="25">
        <f>F34*60</f>
        <v>1560</v>
      </c>
      <c r="Z34" s="25">
        <v>5588.86</v>
      </c>
      <c r="AA34" s="25">
        <v>0</v>
      </c>
      <c r="AB34" s="25">
        <v>585</v>
      </c>
      <c r="AC34" s="25">
        <f>G34*35+F34*38</f>
        <v>988</v>
      </c>
      <c r="AD34" s="25">
        <f>IF(F34="",G34*4.11,F34*4.11)</f>
        <v>106.86000000000001</v>
      </c>
      <c r="AE34" s="25">
        <v>264.39</v>
      </c>
      <c r="AF34" s="25">
        <f>V34+Y34+Z34+AA34+AB34+AC34+AD34</f>
        <v>128333.8199285</v>
      </c>
      <c r="AG34" s="25">
        <f>IFERROR(IFERROR((H34*W34*J34/15)-AE34,""),"")</f>
        <v>131923.72733333331</v>
      </c>
      <c r="AH34" s="26">
        <f>IFERROR(AG34-AF34,"")</f>
        <v>3589.9074048333132</v>
      </c>
      <c r="AI34" s="6">
        <f>IF(F34="",(G34/$F$49)*$AL$19,(F34/$F$49)*$AL$19)</f>
        <v>0</v>
      </c>
      <c r="AJ34" s="6">
        <f>(AH34-AI34)*70%</f>
        <v>2512.9351833833189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138.07336172435819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2.7211991939574673E-2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6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36" x14ac:dyDescent="0.35">
      <c r="A39" s="20">
        <v>45149</v>
      </c>
      <c r="B39" s="21" t="s">
        <v>330</v>
      </c>
      <c r="C39" s="21" t="s">
        <v>124</v>
      </c>
      <c r="D39" s="44">
        <v>1812</v>
      </c>
      <c r="E39" s="44" t="s">
        <v>643</v>
      </c>
      <c r="F39" s="21">
        <v>200</v>
      </c>
      <c r="G39" s="21"/>
      <c r="H39" s="22">
        <f>557.133333*F39</f>
        <v>111426.6666</v>
      </c>
      <c r="I39" s="33">
        <v>0.55000000000000004</v>
      </c>
      <c r="J39" s="24">
        <f>IFERROR(K39/H39,"")</f>
        <v>0.52922520074741253</v>
      </c>
      <c r="K39" s="22">
        <v>58969.8</v>
      </c>
      <c r="L39" s="21">
        <v>10</v>
      </c>
      <c r="M39" s="21">
        <v>121</v>
      </c>
      <c r="N39" s="21">
        <v>69</v>
      </c>
      <c r="O39" s="21"/>
      <c r="P39" s="21"/>
      <c r="Q39" s="21"/>
      <c r="R39" s="21"/>
      <c r="S39" s="21"/>
      <c r="T39" s="21"/>
      <c r="U39" s="25">
        <v>225</v>
      </c>
      <c r="V39" s="25">
        <f>H39*U39*I39/15</f>
        <v>919269.99945</v>
      </c>
      <c r="W39" s="25">
        <v>247.41</v>
      </c>
      <c r="X39" s="25">
        <v>972655.98</v>
      </c>
      <c r="Y39" s="25">
        <f>(G39*60)+(F39*60)</f>
        <v>12000</v>
      </c>
      <c r="Z39" s="25">
        <v>42991.29</v>
      </c>
      <c r="AA39" s="25">
        <v>0</v>
      </c>
      <c r="AB39" s="25">
        <v>4500</v>
      </c>
      <c r="AC39" s="25">
        <f>G39*35+F39*38</f>
        <v>7600</v>
      </c>
      <c r="AD39" s="25">
        <f>IF(F39="",G39*4.11,F39*4.11)</f>
        <v>822.00000000000011</v>
      </c>
      <c r="AE39" s="25">
        <v>1945.31</v>
      </c>
      <c r="AF39" s="25">
        <f>V39+Y39+Z39+AA39+AB39+AC39+AD39</f>
        <v>987183.28945000004</v>
      </c>
      <c r="AG39" s="25">
        <f>IFERROR(IFERROR((H39*W39*J39/15)-AE39,""),"")</f>
        <v>970702.57120000001</v>
      </c>
      <c r="AH39" s="26">
        <f>IFERROR(AG39-AF39,"")</f>
        <v>-16480.718250000034</v>
      </c>
      <c r="AI39" s="6">
        <f>IF(F39="",(G39/$F$49)*$AL$19,(F39/$F$49)*$AL$19)</f>
        <v>0</v>
      </c>
      <c r="AJ39" s="6">
        <f>(AH39-AI39)*70%</f>
        <v>-11536.502775000023</v>
      </c>
    </row>
    <row r="40" spans="1:36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-82.403591250000176</v>
      </c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-1.6978133919668383E-2</v>
      </c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</row>
    <row r="43" spans="1:36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36" x14ac:dyDescent="0.35">
      <c r="A44" s="20">
        <v>45149</v>
      </c>
      <c r="B44" s="21" t="s">
        <v>330</v>
      </c>
      <c r="C44" s="21" t="s">
        <v>124</v>
      </c>
      <c r="D44" s="21">
        <v>1814</v>
      </c>
      <c r="E44" s="44" t="s">
        <v>643</v>
      </c>
      <c r="F44" s="21">
        <v>74</v>
      </c>
      <c r="G44" s="21"/>
      <c r="H44" s="22">
        <f>557.133333*F44</f>
        <v>41227.866642000001</v>
      </c>
      <c r="I44" s="33">
        <v>0.55000000000000004</v>
      </c>
      <c r="J44" s="24">
        <f>IFERROR(K44/H44,"")</f>
        <v>0.54234967319946925</v>
      </c>
      <c r="K44" s="22">
        <v>22359.919999999998</v>
      </c>
      <c r="L44" s="21">
        <v>7</v>
      </c>
      <c r="M44" s="21">
        <v>49</v>
      </c>
      <c r="N44" s="21">
        <v>18</v>
      </c>
      <c r="O44" s="21"/>
      <c r="P44" s="21"/>
      <c r="Q44" s="21"/>
      <c r="R44" s="21"/>
      <c r="S44" s="21"/>
      <c r="T44" s="21"/>
      <c r="U44" s="25">
        <v>225</v>
      </c>
      <c r="V44" s="25">
        <f>H44*U44*I44/15</f>
        <v>340129.89979650005</v>
      </c>
      <c r="W44" s="25">
        <v>237.54</v>
      </c>
      <c r="X44" s="25">
        <v>354096.63</v>
      </c>
      <c r="Y44" s="25">
        <f>F44*60</f>
        <v>4440</v>
      </c>
      <c r="Z44" s="25">
        <v>15906.77</v>
      </c>
      <c r="AA44" s="25">
        <v>0</v>
      </c>
      <c r="AB44" s="25">
        <v>1665</v>
      </c>
      <c r="AC44" s="25">
        <f>G44*35+F44*38</f>
        <v>2812</v>
      </c>
      <c r="AD44" s="25">
        <f>IF(F44="",G44*4.11,F44*4.11)</f>
        <v>304.14000000000004</v>
      </c>
      <c r="AE44" s="25">
        <v>708.19</v>
      </c>
      <c r="AF44" s="25">
        <f>V44+Y44+Z44+AA44+AB44+AC44+AD44</f>
        <v>365257.80979650008</v>
      </c>
      <c r="AG44" s="25">
        <f>IFERROR(IFERROR((H44*W44*J44/15)-AE44,""),"")</f>
        <v>353383.50312000001</v>
      </c>
      <c r="AH44" s="26">
        <f>IFERROR(AG44-AF44,"")</f>
        <v>-11874.306676500069</v>
      </c>
      <c r="AI44" s="6">
        <f>IF(F44="",(G44/$F$49)*$AL$19,(F44/$F$49)*$AL$19)</f>
        <v>0</v>
      </c>
      <c r="AJ44" s="6">
        <f>(AH44-AI44)*70%</f>
        <v>-8312.0146735500475</v>
      </c>
    </row>
    <row r="45" spans="1:36" x14ac:dyDescent="0.35">
      <c r="A45" s="21"/>
      <c r="B45" s="21"/>
      <c r="C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-160.46360373648741</v>
      </c>
    </row>
    <row r="46" spans="1:36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-3.3601757217477858E-2</v>
      </c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36" ht="15" customHeight="1" thickBot="1" x14ac:dyDescent="0.4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47"/>
    </row>
    <row r="49" spans="1:36" ht="16" thickBot="1" x14ac:dyDescent="0.4">
      <c r="A49" s="377" t="s">
        <v>634</v>
      </c>
      <c r="B49" s="378"/>
      <c r="C49" s="378"/>
      <c r="D49" s="378"/>
      <c r="E49" s="378"/>
      <c r="F49" s="30">
        <f>SUM(F4:G44)</f>
        <v>710</v>
      </c>
      <c r="G49" s="30"/>
      <c r="H49" s="30"/>
      <c r="I49" s="30"/>
      <c r="J49" s="30"/>
      <c r="K49" s="30"/>
      <c r="L49" s="46"/>
      <c r="M49" s="46"/>
      <c r="N49" s="46"/>
      <c r="O49" s="46"/>
      <c r="P49" s="46"/>
      <c r="Q49" s="46"/>
      <c r="R49" s="46"/>
      <c r="S49" s="46"/>
      <c r="T49" s="46"/>
      <c r="U49" s="30"/>
      <c r="V49" s="31">
        <f>V4+V9+V14+V19+V24+V29+V34+V39+V44</f>
        <v>3154542.919975</v>
      </c>
      <c r="W49" s="31"/>
      <c r="X49" s="31"/>
      <c r="Y49" s="31">
        <f>Y4+Y9+Y14+Y19+Y24+Y29+Y34+Y39+Y44</f>
        <v>42600</v>
      </c>
      <c r="Z49" s="31">
        <f>SB4+Z9+Z14+Z19+Z24+Z29+Z34+Z39+Z44</f>
        <v>130619.92</v>
      </c>
      <c r="AA49" s="31">
        <f t="shared" ref="AA49:AJ49" si="0">AA4+AA9+AA14+AA19+AA24+AA29+AA34+AA39+AA44</f>
        <v>0</v>
      </c>
      <c r="AB49" s="31">
        <f t="shared" si="0"/>
        <v>15716</v>
      </c>
      <c r="AC49" s="31">
        <f t="shared" si="0"/>
        <v>26980</v>
      </c>
      <c r="AD49" s="31">
        <f t="shared" si="0"/>
        <v>2918.1</v>
      </c>
      <c r="AE49" s="31">
        <f t="shared" si="0"/>
        <v>6999.6200000000008</v>
      </c>
      <c r="AF49" s="31">
        <f t="shared" si="0"/>
        <v>3389130.1599750007</v>
      </c>
      <c r="AG49" s="31">
        <f t="shared" si="0"/>
        <v>3492821.5795200001</v>
      </c>
      <c r="AH49" s="31">
        <f t="shared" si="0"/>
        <v>103691.41954499963</v>
      </c>
      <c r="AI49" s="31">
        <f t="shared" si="0"/>
        <v>0</v>
      </c>
      <c r="AJ49" s="31">
        <f t="shared" si="0"/>
        <v>72583.993681499749</v>
      </c>
    </row>
    <row r="54" spans="1:36" x14ac:dyDescent="0.35">
      <c r="AI54" s="6"/>
      <c r="AJ54" s="6"/>
    </row>
  </sheetData>
  <mergeCells count="2">
    <mergeCell ref="U2:AC2"/>
    <mergeCell ref="A49:E4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4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3.54296875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15.81640625" customWidth="1"/>
    <col min="38" max="38" width="16.453125" customWidth="1"/>
    <col min="39" max="39" width="23.1796875" customWidth="1"/>
    <col min="40" max="40" width="13.179687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AF59</f>
        <v>3764421.3100000005</v>
      </c>
      <c r="AM3" s="164">
        <f>AH59-AI59</f>
        <v>85610.355479999766</v>
      </c>
    </row>
    <row r="4" spans="1:40" x14ac:dyDescent="0.35">
      <c r="A4" s="20">
        <v>45150</v>
      </c>
      <c r="B4" s="21" t="s">
        <v>330</v>
      </c>
      <c r="C4" s="21" t="s">
        <v>116</v>
      </c>
      <c r="D4" s="157">
        <v>153974</v>
      </c>
      <c r="E4" s="44" t="s">
        <v>641</v>
      </c>
      <c r="F4" s="21">
        <v>50</v>
      </c>
      <c r="G4" s="21"/>
      <c r="H4" s="22">
        <v>26670</v>
      </c>
      <c r="I4" s="33">
        <v>0.55000000000000004</v>
      </c>
      <c r="J4" s="24">
        <f>IFERROR(K4/H4,"")</f>
        <v>0.55014998125234349</v>
      </c>
      <c r="K4" s="22">
        <v>14672.5</v>
      </c>
      <c r="L4" s="21">
        <v>6</v>
      </c>
      <c r="M4" s="21">
        <v>27</v>
      </c>
      <c r="N4" s="21">
        <v>9</v>
      </c>
      <c r="O4" s="21">
        <v>6</v>
      </c>
      <c r="P4" s="21">
        <v>2</v>
      </c>
      <c r="Q4" s="21"/>
      <c r="R4" s="21"/>
      <c r="S4" s="21"/>
      <c r="T4" s="21"/>
      <c r="U4" s="25">
        <v>210</v>
      </c>
      <c r="V4" s="25">
        <f>H4*U4*I4/15</f>
        <v>205359.00000000003</v>
      </c>
      <c r="W4" s="25">
        <v>230.7</v>
      </c>
      <c r="X4" s="25">
        <v>225660.51</v>
      </c>
      <c r="Y4" s="25">
        <f>(G4*60)+(F4*60)</f>
        <v>3000</v>
      </c>
      <c r="Z4" s="25">
        <v>11246.62</v>
      </c>
      <c r="AA4" s="25">
        <v>0</v>
      </c>
      <c r="AB4" s="25">
        <v>1050</v>
      </c>
      <c r="AC4" s="25">
        <f>G4*35+F4*38</f>
        <v>1900</v>
      </c>
      <c r="AD4" s="25">
        <f>IF(F4="",G4*4.11,F4*4.11)</f>
        <v>205.50000000000003</v>
      </c>
      <c r="AE4" s="25">
        <v>451.32</v>
      </c>
      <c r="AF4" s="25">
        <f>V4+Y4+Z4+AA4+AB4+AC4+AD4</f>
        <v>222761.12000000002</v>
      </c>
      <c r="AG4" s="25">
        <f>IFERROR(IFERROR((H4*W4*J4/15)-AE4,""),"")</f>
        <v>225211.72999999998</v>
      </c>
      <c r="AH4" s="26">
        <f>IFERROR(AG4-AF4,0)</f>
        <v>2450.6099999999569</v>
      </c>
      <c r="AI4" s="6">
        <f>IF(F4="",(G4/$F$59)*$AL$25,(F4/$F$59)*$AL$25)</f>
        <v>2.6</v>
      </c>
      <c r="AJ4" s="6">
        <f>(AH4-AI4)*70%</f>
        <v>1713.6069999999697</v>
      </c>
      <c r="AL4" s="166" t="s">
        <v>749</v>
      </c>
      <c r="AM4" s="167">
        <f>AM3/AL3</f>
        <v>2.2741969729206467E-2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49.01219999999914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1.0881360398057229E-2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45150</v>
      </c>
      <c r="B9" s="21" t="s">
        <v>330</v>
      </c>
      <c r="C9" s="21" t="s">
        <v>116</v>
      </c>
      <c r="D9" s="157">
        <v>154198</v>
      </c>
      <c r="E9" s="44" t="s">
        <v>641</v>
      </c>
      <c r="F9" s="21">
        <v>50</v>
      </c>
      <c r="G9" s="21"/>
      <c r="H9" s="22">
        <v>26670</v>
      </c>
      <c r="I9" s="33">
        <v>0.55000000000000004</v>
      </c>
      <c r="J9" s="24">
        <f>IFERROR(K9/H9,"")</f>
        <v>0.57542182227221594</v>
      </c>
      <c r="K9" s="22">
        <v>15346.5</v>
      </c>
      <c r="L9" s="21">
        <v>10</v>
      </c>
      <c r="M9" s="21">
        <v>15</v>
      </c>
      <c r="N9" s="21">
        <v>14</v>
      </c>
      <c r="O9" s="21">
        <v>11</v>
      </c>
      <c r="P9" s="21"/>
      <c r="Q9" s="21"/>
      <c r="R9" s="21"/>
      <c r="S9" s="21"/>
      <c r="T9" s="21"/>
      <c r="U9" s="25">
        <v>210</v>
      </c>
      <c r="V9" s="25">
        <f>H9*U9*I9/15</f>
        <v>205359.00000000003</v>
      </c>
      <c r="W9" s="25">
        <v>229.1</v>
      </c>
      <c r="X9" s="25">
        <v>234390.41</v>
      </c>
      <c r="Y9" s="25">
        <f>(G9*60)+(F9*60)</f>
        <v>3000</v>
      </c>
      <c r="Z9" s="25">
        <v>11246.62</v>
      </c>
      <c r="AA9" s="25">
        <v>0</v>
      </c>
      <c r="AB9" s="25">
        <v>1050</v>
      </c>
      <c r="AC9" s="25">
        <f>G9*35+F9*38</f>
        <v>1900</v>
      </c>
      <c r="AD9" s="25">
        <f>IF(F9="",G9*4.11,F9*4.11)</f>
        <v>205.50000000000003</v>
      </c>
      <c r="AE9" s="25">
        <v>468.77</v>
      </c>
      <c r="AF9" s="25">
        <f>V9+Y9+Z9+AA9+AB9+AC9+AD9</f>
        <v>222761.12000000002</v>
      </c>
      <c r="AG9" s="25">
        <f>IFERROR(IFERROR((H9*W9*J9/15)-AE9,""),"")</f>
        <v>233923.44</v>
      </c>
      <c r="AH9" s="26">
        <f>IFERROR(AG9-AF9,0)</f>
        <v>11162.319999999978</v>
      </c>
      <c r="AI9" s="6">
        <f>IF(F9="",(G9/$F$59)*$AL$25,(F9/$F$59)*$AL$25)</f>
        <v>2.6</v>
      </c>
      <c r="AJ9" s="6">
        <f>(AH9-AI9)*70%</f>
        <v>7811.8039999999837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223.24639999999957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4.7717834518849318E-2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45150</v>
      </c>
      <c r="B14" s="21" t="s">
        <v>330</v>
      </c>
      <c r="C14" s="21" t="s">
        <v>237</v>
      </c>
      <c r="D14" s="44">
        <v>1814</v>
      </c>
      <c r="E14" s="44" t="s">
        <v>643</v>
      </c>
      <c r="F14" s="21">
        <v>150</v>
      </c>
      <c r="G14" s="21"/>
      <c r="H14" s="22">
        <v>82110</v>
      </c>
      <c r="I14" s="33">
        <v>0.55000000000000004</v>
      </c>
      <c r="J14" s="24">
        <f>IFERROR(K14/H14,"")</f>
        <v>0.55199342345633906</v>
      </c>
      <c r="K14" s="22">
        <v>45324.18</v>
      </c>
      <c r="L14" s="21">
        <v>30</v>
      </c>
      <c r="M14" s="21">
        <v>100</v>
      </c>
      <c r="N14" s="21">
        <v>20</v>
      </c>
      <c r="O14" s="21"/>
      <c r="P14" s="21"/>
      <c r="Q14" s="21"/>
      <c r="R14" s="21"/>
      <c r="S14" s="21"/>
      <c r="T14" s="21"/>
      <c r="U14" s="25">
        <v>220</v>
      </c>
      <c r="V14" s="25">
        <f>H14*U14*I14/15</f>
        <v>662354</v>
      </c>
      <c r="W14" s="25">
        <v>237.54</v>
      </c>
      <c r="X14" s="25">
        <v>717763.42</v>
      </c>
      <c r="Y14" s="25">
        <f>(G14*60)+(F14*60)</f>
        <v>9000</v>
      </c>
      <c r="Z14" s="25">
        <v>29340.560000000001</v>
      </c>
      <c r="AA14" s="25">
        <v>0</v>
      </c>
      <c r="AB14" s="25">
        <v>3300</v>
      </c>
      <c r="AC14" s="25">
        <f>G14*35+F14*38</f>
        <v>5700</v>
      </c>
      <c r="AD14" s="25">
        <f>IF(F14="",G14*4.11,F14*4.11)</f>
        <v>616.5</v>
      </c>
      <c r="AE14" s="25">
        <v>1435.53</v>
      </c>
      <c r="AF14" s="25">
        <f>V14+Y14+Z14+AA14+AB14+AC14+AD14</f>
        <v>710311.06</v>
      </c>
      <c r="AG14" s="25">
        <f>IFERROR(IFERROR((H14*W14*J14/15)-AE14,""),"")</f>
        <v>716318.18447999994</v>
      </c>
      <c r="AH14" s="26">
        <f>IFERROR(AG14-AF14,0)</f>
        <v>6007.1244799998822</v>
      </c>
      <c r="AI14" s="6">
        <f>IF(F14="",(G14/$F$59)*$AL$25,(F14/$F$59)*$AL$25)</f>
        <v>7.8</v>
      </c>
      <c r="AJ14" s="6">
        <f>(AH14-AI14)*70%</f>
        <v>4199.5271359999169</v>
      </c>
      <c r="AL14">
        <f>F4+G4+F9+G9+F14+G14+F19+G19+F24+G24+F29+G29+F34+G34+F39+G39+F44+G44+F49+G49+F54+G54</f>
        <v>815</v>
      </c>
      <c r="AM14" s="50" t="s">
        <v>22</v>
      </c>
      <c r="AN14" t="s">
        <v>71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40.047496533332549</v>
      </c>
      <c r="AL15" s="11">
        <f>AH4+AH9+AH14+AH19+AH24+AH29+AH34+AH39+AH44+AH49+AH54</f>
        <v>85652.73547999977</v>
      </c>
      <c r="AM15" s="11">
        <f>AL15*30%</f>
        <v>25695.82064399993</v>
      </c>
      <c r="AN15" s="6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8.3861119404090804E-3</v>
      </c>
      <c r="AL16" s="11"/>
      <c r="AM16" s="11"/>
      <c r="AN16" s="6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77" t="s">
        <v>187</v>
      </c>
      <c r="AM18" s="195" t="s">
        <v>681</v>
      </c>
    </row>
    <row r="19" spans="1:40" x14ac:dyDescent="0.35">
      <c r="A19" s="20">
        <v>45152</v>
      </c>
      <c r="B19" s="21" t="s">
        <v>330</v>
      </c>
      <c r="C19" s="21" t="s">
        <v>163</v>
      </c>
      <c r="D19" s="44">
        <v>1865841</v>
      </c>
      <c r="E19" s="44" t="s">
        <v>644</v>
      </c>
      <c r="F19" s="21">
        <v>100</v>
      </c>
      <c r="G19" s="21"/>
      <c r="H19" s="22">
        <v>56640</v>
      </c>
      <c r="I19" s="33">
        <v>0.55000000000000004</v>
      </c>
      <c r="J19" s="24">
        <f>IFERROR(K19/H19,"")</f>
        <v>0.54623940677966099</v>
      </c>
      <c r="K19" s="22">
        <v>30939</v>
      </c>
      <c r="L19" s="21">
        <v>3</v>
      </c>
      <c r="M19" s="21">
        <v>69</v>
      </c>
      <c r="N19" s="21">
        <v>25</v>
      </c>
      <c r="O19" s="21">
        <v>3</v>
      </c>
      <c r="P19" s="21"/>
      <c r="Q19" s="21"/>
      <c r="R19" s="21"/>
      <c r="S19" s="21"/>
      <c r="T19" s="21"/>
      <c r="U19" s="25">
        <v>220</v>
      </c>
      <c r="V19" s="25">
        <f>H19*U19*I19/15</f>
        <v>456896.00000000006</v>
      </c>
      <c r="W19" s="25">
        <v>229.72</v>
      </c>
      <c r="X19" s="25">
        <v>463141.45</v>
      </c>
      <c r="Y19" s="25">
        <f>((G19*60)+(F19*60))/2</f>
        <v>3000</v>
      </c>
      <c r="Z19" s="25">
        <v>14263.28</v>
      </c>
      <c r="AA19" s="25">
        <v>0</v>
      </c>
      <c r="AB19" s="25">
        <v>2200</v>
      </c>
      <c r="AC19" s="25">
        <f>G19*35+F19*38</f>
        <v>3800</v>
      </c>
      <c r="AD19" s="25">
        <f>IF(F19="",G19*4.11,F19*4.11)</f>
        <v>411.00000000000006</v>
      </c>
      <c r="AE19" s="25">
        <v>926.28</v>
      </c>
      <c r="AF19" s="25">
        <f>V19+Y19+Z19+AA19+AB19+AC19+AD19</f>
        <v>480570.28000000009</v>
      </c>
      <c r="AG19" s="25">
        <f>IFERROR(IFERROR((H19*W19*J19/15)-AE19,""),"")</f>
        <v>472894.19199999998</v>
      </c>
      <c r="AH19" s="26">
        <f>IFERROR(AG19-AF19,0)</f>
        <v>-7676.0880000001052</v>
      </c>
      <c r="AI19" s="6">
        <f>IF(F19="",(G19/$F$59)*$AL$25,(F19/$F$59)*$AL$25)</f>
        <v>5.2</v>
      </c>
      <c r="AJ19" s="6">
        <f>(AH19-AI19)*70%</f>
        <v>-5376.9016000000729</v>
      </c>
      <c r="AL19" s="178">
        <v>42.38</v>
      </c>
      <c r="AM19" s="186" t="s">
        <v>690</v>
      </c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-76.760880000001052</v>
      </c>
      <c r="AL20" s="178">
        <v>0</v>
      </c>
      <c r="AM20" s="186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-1.623214691543538E-2</v>
      </c>
      <c r="AL21" s="178">
        <v>0</v>
      </c>
      <c r="AM21" s="186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3"/>
      <c r="AA22" s="21"/>
      <c r="AB22" s="21"/>
      <c r="AC22" s="21"/>
      <c r="AD22" s="21"/>
      <c r="AE22" s="21"/>
      <c r="AF22" s="21"/>
      <c r="AG22" s="21"/>
      <c r="AH22" s="24"/>
      <c r="AL22" s="178">
        <v>0</v>
      </c>
      <c r="AM22" s="186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>
        <v>0</v>
      </c>
      <c r="AM23" s="186"/>
    </row>
    <row r="24" spans="1:40" x14ac:dyDescent="0.35">
      <c r="A24" s="20">
        <v>45153</v>
      </c>
      <c r="B24" s="21" t="s">
        <v>632</v>
      </c>
      <c r="C24" s="21" t="s">
        <v>637</v>
      </c>
      <c r="D24" s="157">
        <v>153967</v>
      </c>
      <c r="E24" s="44" t="s">
        <v>641</v>
      </c>
      <c r="F24" s="21">
        <v>50</v>
      </c>
      <c r="G24" s="21"/>
      <c r="H24" s="22">
        <v>27825</v>
      </c>
      <c r="I24" s="33">
        <v>0.55000000000000004</v>
      </c>
      <c r="J24" s="24">
        <f>IFERROR(K24/H24,"")</f>
        <v>0.55347708894878711</v>
      </c>
      <c r="K24" s="22">
        <v>15400.5</v>
      </c>
      <c r="L24" s="21">
        <v>5</v>
      </c>
      <c r="M24" s="21">
        <v>30</v>
      </c>
      <c r="N24" s="21">
        <v>13</v>
      </c>
      <c r="O24" s="21">
        <v>2</v>
      </c>
      <c r="P24" s="21"/>
      <c r="Q24" s="21"/>
      <c r="R24" s="21"/>
      <c r="S24" s="21"/>
      <c r="T24" s="21"/>
      <c r="U24" s="25">
        <v>205</v>
      </c>
      <c r="V24" s="25">
        <f>H24*U24*I24/15</f>
        <v>209151.25000000003</v>
      </c>
      <c r="W24" s="25">
        <v>224.3</v>
      </c>
      <c r="X24" s="25">
        <v>230290.58</v>
      </c>
      <c r="Y24" s="25">
        <f>F24*40</f>
        <v>2000</v>
      </c>
      <c r="Z24" s="25">
        <v>12846.64</v>
      </c>
      <c r="AA24" s="25">
        <v>0</v>
      </c>
      <c r="AB24" s="159">
        <v>1537.5</v>
      </c>
      <c r="AC24" s="25">
        <v>0</v>
      </c>
      <c r="AD24" s="25">
        <f>IF(F24="",G24*4.11,F24*4.11)</f>
        <v>205.50000000000003</v>
      </c>
      <c r="AE24" s="25">
        <v>460.58</v>
      </c>
      <c r="AF24" s="25">
        <f>V24+Y24+Z24+AA24+AB24+AC24+AD24</f>
        <v>225740.89</v>
      </c>
      <c r="AG24" s="25">
        <f>IFERROR(IFERROR((H24*W24*J24/15)-AE24,""),"")</f>
        <v>229828.23000000004</v>
      </c>
      <c r="AH24" s="26">
        <f>IFERROR(AG24-AF24,0)</f>
        <v>4087.3400000000256</v>
      </c>
      <c r="AI24" s="6">
        <f>IF(F24="",(G24/$F$59)*$AL$25,(F24/$F$59)*$AL$25)</f>
        <v>2.6</v>
      </c>
      <c r="AJ24" s="6">
        <f>(AH24-AI24)*70%</f>
        <v>2859.3180000000179</v>
      </c>
      <c r="AL24" s="178"/>
      <c r="AM24" s="186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81.746800000000519</v>
      </c>
      <c r="AL25" s="188">
        <f>SUM(AL19:AL24)</f>
        <v>42.38</v>
      </c>
      <c r="AM25" s="196" t="s">
        <v>673</v>
      </c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1.7784325276316251E-2</v>
      </c>
      <c r="AL26" s="57"/>
      <c r="AM26" s="6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11">
        <f>AL15-AL25</f>
        <v>85610.355479999766</v>
      </c>
      <c r="AM28" s="11" t="s">
        <v>471</v>
      </c>
    </row>
    <row r="29" spans="1:40" x14ac:dyDescent="0.35">
      <c r="A29" s="20">
        <v>45154</v>
      </c>
      <c r="B29" s="21" t="s">
        <v>645</v>
      </c>
      <c r="C29" s="21" t="s">
        <v>646</v>
      </c>
      <c r="D29" s="44">
        <v>1865841</v>
      </c>
      <c r="E29" s="44" t="s">
        <v>644</v>
      </c>
      <c r="F29" s="21">
        <v>54</v>
      </c>
      <c r="G29" s="21"/>
      <c r="H29" s="22">
        <v>29520</v>
      </c>
      <c r="I29" s="33">
        <v>0.54</v>
      </c>
      <c r="J29" s="24">
        <f>IFERROR(K29/H29,"")</f>
        <v>0.53755081300813012</v>
      </c>
      <c r="K29" s="22">
        <v>15868.5</v>
      </c>
      <c r="L29" s="21">
        <v>3</v>
      </c>
      <c r="M29" s="21">
        <v>20</v>
      </c>
      <c r="N29" s="21">
        <v>24</v>
      </c>
      <c r="O29" s="21">
        <v>6</v>
      </c>
      <c r="P29" s="21">
        <v>1</v>
      </c>
      <c r="Q29" s="21"/>
      <c r="R29" s="21"/>
      <c r="S29" s="21"/>
      <c r="T29" s="21"/>
      <c r="U29" s="25">
        <v>225</v>
      </c>
      <c r="V29" s="25">
        <f>H29*U29*I29/15</f>
        <v>239112.00000000003</v>
      </c>
      <c r="W29" s="25">
        <v>229.72</v>
      </c>
      <c r="X29" s="25">
        <v>250096.38</v>
      </c>
      <c r="Y29" s="25">
        <v>0</v>
      </c>
      <c r="Z29" s="25">
        <v>967</v>
      </c>
      <c r="AA29" s="25">
        <v>0</v>
      </c>
      <c r="AB29" s="25">
        <v>1215</v>
      </c>
      <c r="AC29" s="25">
        <v>0</v>
      </c>
      <c r="AD29" s="25">
        <f>IF(F29="",G29*4.11,F29*4.11)</f>
        <v>221.94000000000003</v>
      </c>
      <c r="AE29" s="25">
        <v>500.19</v>
      </c>
      <c r="AF29" s="25">
        <f>V29+Y29+Z29+AA29+AB29+AC29+AD29</f>
        <v>241515.94000000003</v>
      </c>
      <c r="AG29" s="25">
        <f>IFERROR(IFERROR((H29*W29*J29/15)-AE29,""),"")</f>
        <v>242520.59800000003</v>
      </c>
      <c r="AH29" s="26">
        <f>IFERROR(AG29-AF29,0)</f>
        <v>1004.6579999999958</v>
      </c>
      <c r="AI29" s="6">
        <f>IF(F29="",(G29/$F$59)*$AL$25,(F29/$F$59)*$AL$25)</f>
        <v>2.8080000000000003</v>
      </c>
      <c r="AJ29" s="6">
        <f>(AH29-AI29)*70%</f>
        <v>701.294999999997</v>
      </c>
      <c r="AL29" s="59">
        <f>AL28*30%</f>
        <v>25683.10664399993</v>
      </c>
      <c r="AM29" s="130" t="s">
        <v>499</v>
      </c>
      <c r="AN29" s="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18.604777777777699</v>
      </c>
      <c r="AL30" s="57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4.1425677170728228E-3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L32" s="11">
        <f>AH14+AH19+AH29+AH39</f>
        <v>-947.75485333355027</v>
      </c>
      <c r="AM32" s="150" t="s">
        <v>596</v>
      </c>
    </row>
    <row r="33" spans="1:4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11">
        <f>AL32-AL25</f>
        <v>-990.13485333355027</v>
      </c>
      <c r="AM33" s="1" t="s">
        <v>597</v>
      </c>
    </row>
    <row r="34" spans="1:41" x14ac:dyDescent="0.35">
      <c r="A34" s="20">
        <v>45154</v>
      </c>
      <c r="B34" s="21" t="s">
        <v>632</v>
      </c>
      <c r="C34" s="21" t="s">
        <v>647</v>
      </c>
      <c r="D34" s="157">
        <v>153966</v>
      </c>
      <c r="E34" s="44" t="s">
        <v>641</v>
      </c>
      <c r="F34" s="21">
        <v>150</v>
      </c>
      <c r="G34" s="21"/>
      <c r="H34" s="22">
        <v>84834</v>
      </c>
      <c r="I34" s="33">
        <v>0.55000000000000004</v>
      </c>
      <c r="J34" s="24">
        <f>IFERROR(K34/H34,"")</f>
        <v>0.55984039418157816</v>
      </c>
      <c r="K34" s="22">
        <v>47493.5</v>
      </c>
      <c r="L34" s="21">
        <v>1</v>
      </c>
      <c r="M34" s="21">
        <v>54</v>
      </c>
      <c r="N34" s="21">
        <v>88</v>
      </c>
      <c r="O34" s="21"/>
      <c r="P34" s="21"/>
      <c r="Q34" s="21"/>
      <c r="R34" s="21"/>
      <c r="S34" s="21"/>
      <c r="T34" s="21"/>
      <c r="U34" s="25">
        <v>205</v>
      </c>
      <c r="V34" s="25">
        <f>H34*U34*I34/15</f>
        <v>637668.9</v>
      </c>
      <c r="W34" s="25">
        <v>222.45</v>
      </c>
      <c r="X34" s="25">
        <v>704341.13</v>
      </c>
      <c r="Y34" s="25">
        <f>F34*40</f>
        <v>6000</v>
      </c>
      <c r="Z34" s="25">
        <f>34395.41+17092.1</f>
        <v>51487.51</v>
      </c>
      <c r="AA34" s="25">
        <v>0</v>
      </c>
      <c r="AB34" s="25">
        <v>4612.5</v>
      </c>
      <c r="AC34" s="25">
        <v>0</v>
      </c>
      <c r="AD34" s="25">
        <f>IF(F34="",G34*4.11,F34*4.11)</f>
        <v>616.5</v>
      </c>
      <c r="AE34" s="25">
        <v>1408.69</v>
      </c>
      <c r="AF34" s="25">
        <f>V34+Y34+Z34+AA34+AB34+AC34+AD34</f>
        <v>700385.41</v>
      </c>
      <c r="AG34" s="25">
        <f>IFERROR(IFERROR((H34*W34*J34/15)-AE34,""),"")</f>
        <v>702919.91500000015</v>
      </c>
      <c r="AH34" s="26">
        <f>IFERROR(AG34-AF34,0)</f>
        <v>2534.5050000001211</v>
      </c>
      <c r="AI34" s="6">
        <f>IF(F34="",(G34/$F$59)*$AL$25,(F34/$F$59)*$AL$25)</f>
        <v>7.8</v>
      </c>
      <c r="AJ34" s="6">
        <f>(AH34-AI34)*70%</f>
        <v>1768.6935000000844</v>
      </c>
      <c r="AL34" s="148">
        <f>AL33*30%</f>
        <v>-297.04045600006509</v>
      </c>
      <c r="AM34" s="149" t="s">
        <v>598</v>
      </c>
    </row>
    <row r="35" spans="1:4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16.896700000000806</v>
      </c>
    </row>
    <row r="36" spans="1:4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3.6056810255548394E-3</v>
      </c>
      <c r="AL36" s="151">
        <f>AH4+AH9+AH24+AH34+AH44+AH49+AH54</f>
        <v>86600.49033333332</v>
      </c>
      <c r="AM36" s="152" t="s">
        <v>599</v>
      </c>
    </row>
    <row r="37" spans="1:4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L37" s="148">
        <f>AL36*30%+AL34</f>
        <v>25683.10664399993</v>
      </c>
      <c r="AM37" s="149" t="s">
        <v>525</v>
      </c>
      <c r="AN37" s="156" t="s">
        <v>72</v>
      </c>
      <c r="AO37" s="156">
        <v>45189</v>
      </c>
    </row>
    <row r="38" spans="1:41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1" x14ac:dyDescent="0.35">
      <c r="A39" s="20">
        <v>45155</v>
      </c>
      <c r="B39" s="21" t="s">
        <v>648</v>
      </c>
      <c r="C39" s="21" t="s">
        <v>649</v>
      </c>
      <c r="D39" s="44">
        <v>1865841</v>
      </c>
      <c r="E39" s="44" t="s">
        <v>644</v>
      </c>
      <c r="F39" s="21">
        <v>16</v>
      </c>
      <c r="G39" s="21"/>
      <c r="H39" s="22">
        <v>8532</v>
      </c>
      <c r="I39" s="33">
        <v>0.55000000000000004</v>
      </c>
      <c r="J39" s="24">
        <f>IFERROR(K39/H39,"")</f>
        <v>0.53949835911861233</v>
      </c>
      <c r="K39" s="22">
        <v>4603</v>
      </c>
      <c r="L39" s="21">
        <v>1</v>
      </c>
      <c r="M39" s="21">
        <v>4</v>
      </c>
      <c r="N39" s="21">
        <v>8</v>
      </c>
      <c r="O39" s="21">
        <v>3</v>
      </c>
      <c r="P39" s="21"/>
      <c r="Q39" s="21"/>
      <c r="R39" s="21"/>
      <c r="S39" s="21"/>
      <c r="T39" s="21"/>
      <c r="U39" s="25">
        <v>222.5</v>
      </c>
      <c r="V39" s="25">
        <f>H39*U39*I39/15</f>
        <v>69606.900000000009</v>
      </c>
      <c r="W39" s="25">
        <v>229.72</v>
      </c>
      <c r="X39" s="25">
        <v>74102.63</v>
      </c>
      <c r="Y39" s="25">
        <f>F39*0</f>
        <v>0</v>
      </c>
      <c r="Z39" s="25">
        <v>600</v>
      </c>
      <c r="AA39" s="25">
        <v>0</v>
      </c>
      <c r="AB39" s="25">
        <v>356</v>
      </c>
      <c r="AC39" s="25">
        <v>0</v>
      </c>
      <c r="AD39" s="25">
        <f>IF(F39="",G39*4.11,F39*4.11)</f>
        <v>65.760000000000005</v>
      </c>
      <c r="AE39" s="25">
        <v>148.19999999999999</v>
      </c>
      <c r="AF39" s="25">
        <f>V39+Y39+Z39+AA39+AB39+AC39+AD39</f>
        <v>70628.66</v>
      </c>
      <c r="AG39" s="25">
        <f>IFERROR(IFERROR((H39*W39*J39/15)-AE39,""),"")</f>
        <v>70345.21066666668</v>
      </c>
      <c r="AH39" s="26">
        <f>IFERROR(AG39-AF39,0)</f>
        <v>-283.44933333332301</v>
      </c>
      <c r="AI39" s="6">
        <f>IF(F39="",(G39/$F$59)*$AL$25,(F39/$F$59)*$AL$25)</f>
        <v>0.83200000000000007</v>
      </c>
      <c r="AJ39" s="6">
        <f>(AH39-AI39)*70%</f>
        <v>-198.9969333333261</v>
      </c>
    </row>
    <row r="40" spans="1:41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-17.715583333332688</v>
      </c>
    </row>
    <row r="41" spans="1:4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-4.029404854247404E-3</v>
      </c>
    </row>
    <row r="42" spans="1:4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</row>
    <row r="43" spans="1:41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1" x14ac:dyDescent="0.35">
      <c r="A44" s="20">
        <v>45156</v>
      </c>
      <c r="B44" s="21" t="s">
        <v>632</v>
      </c>
      <c r="C44" s="21" t="s">
        <v>650</v>
      </c>
      <c r="D44" s="157">
        <v>154399</v>
      </c>
      <c r="E44" s="44" t="s">
        <v>641</v>
      </c>
      <c r="F44" s="21">
        <v>95</v>
      </c>
      <c r="G44" s="21"/>
      <c r="H44" s="22">
        <v>56180</v>
      </c>
      <c r="I44" s="33">
        <v>0.55000000000000004</v>
      </c>
      <c r="J44" s="24">
        <f>IFERROR(K44/H44,"")</f>
        <v>0.55446778212887149</v>
      </c>
      <c r="K44" s="22">
        <v>31150</v>
      </c>
      <c r="L44" s="21">
        <v>16</v>
      </c>
      <c r="M44" s="21">
        <v>58</v>
      </c>
      <c r="N44" s="21">
        <v>19</v>
      </c>
      <c r="O44" s="21">
        <v>1</v>
      </c>
      <c r="P44" s="21">
        <v>1</v>
      </c>
      <c r="Q44" s="21"/>
      <c r="R44" s="21"/>
      <c r="S44" s="21"/>
      <c r="T44" s="21"/>
      <c r="U44" s="25">
        <v>190</v>
      </c>
      <c r="V44" s="25">
        <f>H44*U44*I44/15</f>
        <v>391387.33333333337</v>
      </c>
      <c r="W44" s="25">
        <v>220.61</v>
      </c>
      <c r="X44" s="25">
        <v>458122.09</v>
      </c>
      <c r="Y44" s="25">
        <f>F44*40</f>
        <v>3800</v>
      </c>
      <c r="Z44" s="25">
        <v>40289.660000000003</v>
      </c>
      <c r="AA44" s="25">
        <v>0</v>
      </c>
      <c r="AB44" s="25">
        <f>1805</f>
        <v>1805</v>
      </c>
      <c r="AC44" s="25">
        <v>0</v>
      </c>
      <c r="AD44" s="25">
        <f>IF(F44="",G44*4.11,F44*4.11)</f>
        <v>390.45000000000005</v>
      </c>
      <c r="AE44" s="25">
        <v>916.25</v>
      </c>
      <c r="AF44" s="25">
        <f>V44+Y44+Z44+AA44+AB44+AC44+AD44</f>
        <v>437672.44333333342</v>
      </c>
      <c r="AG44" s="25">
        <f>IFERROR(IFERROR((H44*W44*J44/15)-AE44,""),"")</f>
        <v>457217.18333333341</v>
      </c>
      <c r="AH44" s="26">
        <f>IFERROR(AG44-AF44,0)</f>
        <v>19544.739999999991</v>
      </c>
      <c r="AI44" s="6">
        <f>IF(F44="",(G44/$F$59)*$AL$25,(F44/$F$59)*$AL$25)</f>
        <v>4.9400000000000004</v>
      </c>
      <c r="AJ44" s="6">
        <f>(AH44-AI44)*70%</f>
        <v>13677.859999999993</v>
      </c>
    </row>
    <row r="45" spans="1:41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205.7341052631578</v>
      </c>
    </row>
    <row r="46" spans="1:41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4.2747168550205016E-2</v>
      </c>
    </row>
    <row r="47" spans="1:4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1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x14ac:dyDescent="0.35">
      <c r="A49" s="20">
        <v>45156</v>
      </c>
      <c r="B49" s="21" t="s">
        <v>632</v>
      </c>
      <c r="C49" s="21" t="s">
        <v>650</v>
      </c>
      <c r="D49" s="157">
        <v>154671</v>
      </c>
      <c r="E49" s="44" t="s">
        <v>641</v>
      </c>
      <c r="F49" s="21">
        <v>50</v>
      </c>
      <c r="G49" s="21"/>
      <c r="H49" s="22">
        <v>31840</v>
      </c>
      <c r="I49" s="33">
        <v>0.55000000000000004</v>
      </c>
      <c r="J49" s="24">
        <f>IFERROR(K49/H49,"")</f>
        <v>0.53278894472361804</v>
      </c>
      <c r="K49" s="22">
        <v>16964</v>
      </c>
      <c r="L49" s="21">
        <v>7</v>
      </c>
      <c r="M49" s="21">
        <v>31</v>
      </c>
      <c r="N49" s="21">
        <v>12</v>
      </c>
      <c r="O49" s="21"/>
      <c r="P49" s="21"/>
      <c r="Q49" s="21"/>
      <c r="R49" s="21"/>
      <c r="S49" s="21"/>
      <c r="T49" s="21"/>
      <c r="U49" s="25">
        <v>190</v>
      </c>
      <c r="V49" s="25">
        <f>H49*U49*I49/15</f>
        <v>221818.66666666669</v>
      </c>
      <c r="W49" s="25">
        <v>221.01</v>
      </c>
      <c r="X49" s="25">
        <v>249949.42</v>
      </c>
      <c r="Y49" s="25">
        <f>F49*40</f>
        <v>2000</v>
      </c>
      <c r="Z49" s="25">
        <v>19896.82</v>
      </c>
      <c r="AA49" s="25">
        <v>0</v>
      </c>
      <c r="AB49" s="25">
        <f>950</f>
        <v>950</v>
      </c>
      <c r="AC49" s="25">
        <v>0</v>
      </c>
      <c r="AD49" s="25">
        <f>IF(F49="",G49*4.11,F49*4.11)</f>
        <v>205.50000000000003</v>
      </c>
      <c r="AE49" s="25">
        <v>499.89</v>
      </c>
      <c r="AF49" s="25">
        <f>V49+Y49+Z49+AA49+AB49+AC49+AD49</f>
        <v>244870.98666666669</v>
      </c>
      <c r="AG49" s="25">
        <f>IFERROR(IFERROR((H49*W49*J49/15)-AE49,""),"")</f>
        <v>249447.68599999993</v>
      </c>
      <c r="AH49" s="26">
        <f>IFERROR(AG49-AF49,0)</f>
        <v>4576.6993333332357</v>
      </c>
      <c r="AI49" s="6">
        <f>IF(F49="",(G49/$F$59)*$AL$25,(F49/$F$59)*$AL$25)</f>
        <v>2.6</v>
      </c>
      <c r="AJ49" s="6">
        <f>(AH49-AI49)*70%</f>
        <v>3201.8695333332644</v>
      </c>
    </row>
    <row r="50" spans="1:36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91.533986666664717</v>
      </c>
    </row>
    <row r="51" spans="1:36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1.8347331285058451E-2</v>
      </c>
    </row>
    <row r="52" spans="1:36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3" spans="1:36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x14ac:dyDescent="0.35">
      <c r="A54" s="20">
        <v>45156</v>
      </c>
      <c r="B54" s="21" t="s">
        <v>632</v>
      </c>
      <c r="C54" s="21" t="s">
        <v>650</v>
      </c>
      <c r="D54" s="157">
        <v>154671</v>
      </c>
      <c r="E54" s="44" t="s">
        <v>641</v>
      </c>
      <c r="F54" s="21">
        <v>50</v>
      </c>
      <c r="G54" s="21"/>
      <c r="H54" s="22">
        <v>26800</v>
      </c>
      <c r="I54" s="33">
        <v>0.54</v>
      </c>
      <c r="J54" s="24">
        <f>IFERROR(K54/H54,"")</f>
        <v>0.63298507462686571</v>
      </c>
      <c r="K54" s="22">
        <v>16964</v>
      </c>
      <c r="L54" s="21">
        <v>8</v>
      </c>
      <c r="M54" s="21">
        <v>28</v>
      </c>
      <c r="N54" s="21">
        <v>13</v>
      </c>
      <c r="O54" s="21">
        <v>1</v>
      </c>
      <c r="P54" s="21"/>
      <c r="Q54" s="21"/>
      <c r="R54" s="21"/>
      <c r="S54" s="21"/>
      <c r="T54" s="21"/>
      <c r="U54" s="25">
        <v>190</v>
      </c>
      <c r="V54" s="25">
        <f>H54*U54*I54/15</f>
        <v>183312</v>
      </c>
      <c r="W54" s="25">
        <v>221.01</v>
      </c>
      <c r="X54" s="25">
        <v>249949.42</v>
      </c>
      <c r="Y54" s="25">
        <f>(G54*60)+(F54*60)</f>
        <v>3000</v>
      </c>
      <c r="Z54" s="25">
        <v>19735.900000000001</v>
      </c>
      <c r="AA54" s="25">
        <v>0</v>
      </c>
      <c r="AB54" s="25">
        <f>(U54*10%)*F54</f>
        <v>950</v>
      </c>
      <c r="AC54" s="25">
        <v>0</v>
      </c>
      <c r="AD54" s="25">
        <f>IF(F54="",G54*4.11,F54*4.11)</f>
        <v>205.50000000000003</v>
      </c>
      <c r="AE54" s="25">
        <v>499.9</v>
      </c>
      <c r="AF54" s="25">
        <f>V54+Y54+Z54+AA54+AB54+AC54+AD54</f>
        <v>207203.4</v>
      </c>
      <c r="AG54" s="25">
        <f>IFERROR(IFERROR((H54*W54*J54/15)-AE54,""),"")</f>
        <v>249447.67600000001</v>
      </c>
      <c r="AH54" s="26">
        <f>IFERROR(AG54-AF54,0)</f>
        <v>42244.276000000013</v>
      </c>
      <c r="AI54" s="6">
        <f>IF(F54="",(G54/$F$59)*$AL$25,(F54/$F$59)*$AL$25)</f>
        <v>2.6</v>
      </c>
      <c r="AJ54" s="6">
        <f>(AH54-AI54)*70%</f>
        <v>29569.173200000008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844.88552000000027</v>
      </c>
    </row>
    <row r="56" spans="1:36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0.16935125104152107</v>
      </c>
    </row>
    <row r="57" spans="1:36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6" ht="15" thickBot="1" x14ac:dyDescent="0.4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47"/>
    </row>
    <row r="59" spans="1:36" ht="16" thickBot="1" x14ac:dyDescent="0.4">
      <c r="A59" s="377" t="s">
        <v>642</v>
      </c>
      <c r="B59" s="378"/>
      <c r="C59" s="378"/>
      <c r="D59" s="378"/>
      <c r="E59" s="378"/>
      <c r="F59" s="30">
        <f>SUM(F4:G54)</f>
        <v>815</v>
      </c>
      <c r="G59" s="30"/>
      <c r="H59" s="30"/>
      <c r="I59" s="30"/>
      <c r="J59" s="30"/>
      <c r="K59" s="30"/>
      <c r="L59" s="46"/>
      <c r="M59" s="46"/>
      <c r="N59" s="46"/>
      <c r="O59" s="46"/>
      <c r="P59" s="46"/>
      <c r="Q59" s="46"/>
      <c r="R59" s="46"/>
      <c r="S59" s="46"/>
      <c r="T59" s="46"/>
      <c r="U59" s="30"/>
      <c r="V59" s="31">
        <f>V4+V9+V14+V19+V24+V29+V34+V39+V44+V49+V54</f>
        <v>3482025.05</v>
      </c>
      <c r="W59" s="31"/>
      <c r="X59" s="31"/>
      <c r="Y59" s="31">
        <f t="shared" ref="Y59:AG59" si="0">Y4+Y9+Y14+Y19+Y24+Y29+Y34+Y39+Y44+Y49+Y54</f>
        <v>34800</v>
      </c>
      <c r="Z59" s="31">
        <f t="shared" si="0"/>
        <v>211920.61000000002</v>
      </c>
      <c r="AA59" s="31">
        <f t="shared" si="0"/>
        <v>0</v>
      </c>
      <c r="AB59" s="31">
        <f t="shared" si="0"/>
        <v>19026</v>
      </c>
      <c r="AC59" s="31">
        <f t="shared" si="0"/>
        <v>13300</v>
      </c>
      <c r="AD59" s="31">
        <f t="shared" si="0"/>
        <v>3349.6500000000005</v>
      </c>
      <c r="AE59" s="31">
        <f t="shared" si="0"/>
        <v>7715.5999999999985</v>
      </c>
      <c r="AF59" s="31">
        <f>AF4+AF9+AF14+AF19+AF24+AF29+AF34+AF39+AF44+AF49+AF54</f>
        <v>3764421.3100000005</v>
      </c>
      <c r="AG59" s="31">
        <f t="shared" si="0"/>
        <v>3850074.0454800003</v>
      </c>
      <c r="AH59" s="31">
        <f>AH4+AH9+AH14+AH19+AH24+AH29+AH34+AH39+AH44+AH49+AH54</f>
        <v>85652.73547999977</v>
      </c>
      <c r="AI59" s="31">
        <f>SUM(AI4:AI56)</f>
        <v>42.38</v>
      </c>
      <c r="AJ59" s="31">
        <f>SUM(AJ4:AJ56)</f>
        <v>59927.248835999839</v>
      </c>
    </row>
    <row r="61" spans="1:36" x14ac:dyDescent="0.35">
      <c r="AH61" s="6"/>
    </row>
    <row r="64" spans="1:36" x14ac:dyDescent="0.35">
      <c r="AI64" s="6"/>
      <c r="AJ64" s="6"/>
    </row>
    <row r="69" spans="35:36" x14ac:dyDescent="0.35">
      <c r="AI69" s="6"/>
      <c r="AJ69" s="6"/>
    </row>
    <row r="74" spans="35:36" x14ac:dyDescent="0.35">
      <c r="AI74" s="6"/>
      <c r="AJ74" s="6"/>
    </row>
    <row r="79" spans="35:36" x14ac:dyDescent="0.35">
      <c r="AI79" s="6"/>
      <c r="AJ79" s="6"/>
    </row>
    <row r="84" spans="35:36" x14ac:dyDescent="0.35">
      <c r="AI84" s="6"/>
      <c r="AJ84" s="6"/>
    </row>
    <row r="89" spans="35:36" x14ac:dyDescent="0.35">
      <c r="AI89" s="6"/>
      <c r="AJ89" s="6"/>
    </row>
    <row r="94" spans="35:36" x14ac:dyDescent="0.35">
      <c r="AI94" s="6"/>
      <c r="AJ94" s="6"/>
    </row>
    <row r="99" spans="35:36" x14ac:dyDescent="0.35">
      <c r="AI99" s="6"/>
      <c r="AJ99" s="6"/>
    </row>
    <row r="104" spans="35:36" ht="15.5" x14ac:dyDescent="0.35">
      <c r="AI104" s="87"/>
      <c r="AJ104" s="87"/>
    </row>
  </sheetData>
  <mergeCells count="2">
    <mergeCell ref="U2:AC2"/>
    <mergeCell ref="A59:E5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06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4" width="12.453125" customWidth="1"/>
    <col min="5" max="5" width="9" bestFit="1" customWidth="1"/>
    <col min="6" max="6" width="8.7265625" bestFit="1" customWidth="1"/>
    <col min="7" max="7" width="7.81640625" bestFit="1" customWidth="1"/>
    <col min="8" max="8" width="10" bestFit="1" customWidth="1"/>
    <col min="9" max="9" width="8" bestFit="1" customWidth="1"/>
    <col min="10" max="10" width="10.26953125" bestFit="1" customWidth="1"/>
    <col min="11" max="11" width="12.453125" bestFit="1" customWidth="1"/>
    <col min="12" max="16" width="6" bestFit="1" customWidth="1"/>
    <col min="17" max="18" width="11.26953125" bestFit="1" customWidth="1"/>
    <col min="19" max="19" width="3.7265625" bestFit="1" customWidth="1"/>
    <col min="20" max="20" width="2.81640625" bestFit="1" customWidth="1"/>
    <col min="21" max="21" width="15.1796875" bestFit="1" customWidth="1"/>
    <col min="22" max="22" width="15.7265625" bestFit="1" customWidth="1"/>
    <col min="23" max="23" width="13.453125" bestFit="1" customWidth="1"/>
    <col min="24" max="24" width="14.54296875" bestFit="1" customWidth="1"/>
    <col min="25" max="25" width="12.81640625" bestFit="1" customWidth="1"/>
    <col min="26" max="26" width="14" bestFit="1" customWidth="1"/>
    <col min="27" max="27" width="12.1796875" customWidth="1"/>
    <col min="28" max="28" width="14.26953125" bestFit="1" customWidth="1"/>
    <col min="29" max="30" width="12.81640625" bestFit="1" customWidth="1"/>
    <col min="31" max="31" width="14.26953125" bestFit="1" customWidth="1"/>
    <col min="32" max="32" width="19.26953125" customWidth="1"/>
    <col min="33" max="33" width="17.1796875" customWidth="1"/>
    <col min="34" max="34" width="20" bestFit="1" customWidth="1"/>
    <col min="35" max="35" width="15.54296875" bestFit="1" customWidth="1"/>
    <col min="36" max="36" width="15.54296875" customWidth="1"/>
    <col min="37" max="37" width="8.1796875" customWidth="1"/>
    <col min="38" max="38" width="22.1796875" bestFit="1" customWidth="1"/>
    <col min="39" max="39" width="18" customWidth="1"/>
    <col min="40" max="40" width="13.7265625" bestFit="1" customWidth="1"/>
    <col min="41" max="41" width="17" customWidth="1"/>
  </cols>
  <sheetData>
    <row r="1" spans="1:41" ht="15" thickBot="1" x14ac:dyDescent="0.4"/>
    <row r="2" spans="1:41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K3" s="14"/>
      <c r="AL3" s="164">
        <f>AF104</f>
        <v>9607060.1388888899</v>
      </c>
      <c r="AM3" s="164">
        <f>AH104-AI104</f>
        <v>230672.9856511112</v>
      </c>
    </row>
    <row r="4" spans="1:41" x14ac:dyDescent="0.35">
      <c r="A4" s="20">
        <v>45159</v>
      </c>
      <c r="B4" s="21" t="s">
        <v>446</v>
      </c>
      <c r="C4" s="21" t="s">
        <v>651</v>
      </c>
      <c r="D4" s="44">
        <v>1869372</v>
      </c>
      <c r="E4" s="44" t="s">
        <v>652</v>
      </c>
      <c r="F4" s="21">
        <f>200-50</f>
        <v>150</v>
      </c>
      <c r="G4" s="21"/>
      <c r="H4" s="22">
        <f>112600/200*150</f>
        <v>84450</v>
      </c>
      <c r="I4" s="33">
        <v>0.55000000000000004</v>
      </c>
      <c r="J4" s="24">
        <f>IFERROR(K4/H4,"")</f>
        <v>0.55011249259917105</v>
      </c>
      <c r="K4" s="22">
        <f>46457</f>
        <v>46457</v>
      </c>
      <c r="L4" s="21">
        <v>6</v>
      </c>
      <c r="M4" s="21">
        <v>69</v>
      </c>
      <c r="N4" s="21">
        <v>63</v>
      </c>
      <c r="O4" s="21">
        <v>11</v>
      </c>
      <c r="P4" s="21">
        <v>1</v>
      </c>
      <c r="Q4" s="21"/>
      <c r="R4" s="21"/>
      <c r="S4" s="21"/>
      <c r="T4" s="21"/>
      <c r="U4" s="25">
        <v>200</v>
      </c>
      <c r="V4" s="25">
        <f>H4*U4*I4/15</f>
        <v>619300</v>
      </c>
      <c r="W4" s="25">
        <v>222.85</v>
      </c>
      <c r="X4" s="25">
        <v>690198.69</v>
      </c>
      <c r="Y4" s="25">
        <f>(G4*60)+(F4*60)</f>
        <v>9000</v>
      </c>
      <c r="Z4" s="25">
        <v>31283.1</v>
      </c>
      <c r="AA4" s="25">
        <v>0</v>
      </c>
      <c r="AB4" s="25">
        <v>3000</v>
      </c>
      <c r="AC4" s="25">
        <f>G4*35+F4*38</f>
        <v>5700</v>
      </c>
      <c r="AD4" s="25">
        <f>IF(F4="",G4*4.11,F4*4.11)</f>
        <v>616.5</v>
      </c>
      <c r="AE4" s="25">
        <v>1380.4</v>
      </c>
      <c r="AF4" s="25">
        <f>V4+Y4+Z4+AA4+AB4+AC4+AD4</f>
        <v>668899.6</v>
      </c>
      <c r="AG4" s="25">
        <f>IFERROR(IFERROR((H4*W4*J4/15)-AE4,""),"")</f>
        <v>688815.76333333331</v>
      </c>
      <c r="AH4" s="26">
        <f>IFERROR(AG4-AF4,"")</f>
        <v>19916.16333333333</v>
      </c>
      <c r="AI4" s="6">
        <f>IF(F4="",(G4/$F$104)*$AL$29,(F4/$F$104)*$AL$29)</f>
        <v>321.5503978779841</v>
      </c>
      <c r="AJ4" s="6">
        <f>(AH4-AI4)*70%</f>
        <v>13716.229054818741</v>
      </c>
      <c r="AK4" s="6"/>
      <c r="AL4" s="166" t="s">
        <v>749</v>
      </c>
      <c r="AM4" s="167">
        <f>AM3/AL3</f>
        <v>2.4010777731822319E-2</v>
      </c>
      <c r="AO4" s="6"/>
    </row>
    <row r="5" spans="1:41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132.7744222222222</v>
      </c>
      <c r="AM5" s="63"/>
    </row>
    <row r="6" spans="1:41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2.8913628859122749E-2</v>
      </c>
      <c r="AL6" s="6"/>
      <c r="AM6" s="63"/>
    </row>
    <row r="7" spans="1:41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1" x14ac:dyDescent="0.35">
      <c r="A8" s="37" t="s">
        <v>1</v>
      </c>
      <c r="B8" s="37" t="s">
        <v>2</v>
      </c>
      <c r="C8" s="37" t="s">
        <v>110</v>
      </c>
      <c r="D8" s="37" t="s">
        <v>66</v>
      </c>
      <c r="E8" s="37" t="s">
        <v>638</v>
      </c>
      <c r="F8" s="37" t="s">
        <v>137</v>
      </c>
      <c r="G8" s="37" t="s">
        <v>138</v>
      </c>
      <c r="H8" s="37" t="s">
        <v>4</v>
      </c>
      <c r="I8" s="37" t="s">
        <v>5</v>
      </c>
      <c r="J8" s="37" t="s">
        <v>6</v>
      </c>
      <c r="K8" s="37" t="s">
        <v>7</v>
      </c>
      <c r="L8" s="37" t="s">
        <v>279</v>
      </c>
      <c r="M8" s="37" t="s">
        <v>280</v>
      </c>
      <c r="N8" s="37" t="s">
        <v>281</v>
      </c>
      <c r="O8" s="37" t="s">
        <v>282</v>
      </c>
      <c r="P8" s="37" t="s">
        <v>283</v>
      </c>
      <c r="Q8" s="37" t="s">
        <v>284</v>
      </c>
      <c r="R8" s="37" t="s">
        <v>904</v>
      </c>
      <c r="S8" s="37" t="s">
        <v>285</v>
      </c>
      <c r="T8" s="37" t="s">
        <v>289</v>
      </c>
      <c r="U8" s="37" t="s">
        <v>8</v>
      </c>
      <c r="V8" s="37" t="s">
        <v>9</v>
      </c>
      <c r="W8" s="37" t="s">
        <v>10</v>
      </c>
      <c r="X8" s="37" t="s">
        <v>100</v>
      </c>
      <c r="Y8" s="37" t="s">
        <v>106</v>
      </c>
      <c r="Z8" s="37" t="s">
        <v>12</v>
      </c>
      <c r="AA8" s="37" t="s">
        <v>258</v>
      </c>
      <c r="AB8" s="37" t="s">
        <v>13</v>
      </c>
      <c r="AC8" s="37" t="s">
        <v>74</v>
      </c>
      <c r="AD8" s="37" t="s">
        <v>21</v>
      </c>
      <c r="AE8" s="37" t="s">
        <v>14</v>
      </c>
      <c r="AF8" s="37" t="s">
        <v>15</v>
      </c>
      <c r="AG8" s="37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1" x14ac:dyDescent="0.35">
      <c r="A9" s="38">
        <v>45159</v>
      </c>
      <c r="B9" s="39" t="s">
        <v>632</v>
      </c>
      <c r="C9" s="39" t="s">
        <v>653</v>
      </c>
      <c r="D9" s="45">
        <v>1869371</v>
      </c>
      <c r="E9" s="45" t="s">
        <v>652</v>
      </c>
      <c r="F9" s="39">
        <v>100</v>
      </c>
      <c r="G9" s="39"/>
      <c r="H9" s="40">
        <f>54414</f>
        <v>54414</v>
      </c>
      <c r="I9" s="53">
        <v>0.55000000000000004</v>
      </c>
      <c r="J9" s="42">
        <f>IFERROR(K9/H9,"")</f>
        <v>0.54830558312199063</v>
      </c>
      <c r="K9" s="40">
        <f>59671/2</f>
        <v>29835.5</v>
      </c>
      <c r="L9" s="39">
        <v>34</v>
      </c>
      <c r="M9" s="39">
        <v>56</v>
      </c>
      <c r="N9" s="39">
        <v>10</v>
      </c>
      <c r="O9" s="39"/>
      <c r="P9" s="39"/>
      <c r="Q9" s="39"/>
      <c r="R9" s="39"/>
      <c r="S9" s="39"/>
      <c r="T9" s="39"/>
      <c r="U9" s="43">
        <v>190</v>
      </c>
      <c r="V9" s="43">
        <f>H9*U9*I9/15</f>
        <v>379084.2</v>
      </c>
      <c r="W9" s="43">
        <v>223.71</v>
      </c>
      <c r="X9" s="43">
        <f>1331380.65/300*F9</f>
        <v>443793.54999999993</v>
      </c>
      <c r="Y9" s="43">
        <f>(G9*40)+(F9*40)</f>
        <v>4000</v>
      </c>
      <c r="Z9" s="43">
        <v>33495.599999999999</v>
      </c>
      <c r="AA9" s="43">
        <v>0</v>
      </c>
      <c r="AB9" s="43">
        <v>2850</v>
      </c>
      <c r="AC9" s="43">
        <v>0</v>
      </c>
      <c r="AD9" s="43">
        <f>IF(F9="",G9*4.11,F9*4.11)</f>
        <v>411.00000000000006</v>
      </c>
      <c r="AE9" s="43">
        <f>2662.76/300*F9</f>
        <v>887.5866666666667</v>
      </c>
      <c r="AF9" s="43">
        <f>V9+Y9+Z9+AA9+AB9+AC9+AD9</f>
        <v>419840.8</v>
      </c>
      <c r="AG9" s="43">
        <f>IFERROR(IFERROR((H9*W9*J9/15)-AE9,""),"")</f>
        <v>444079.06033333333</v>
      </c>
      <c r="AH9" s="26">
        <f>IFERROR(AG9-AF9,"")</f>
        <v>24238.260333333339</v>
      </c>
      <c r="AI9" s="6">
        <f>IF(F9="",(G9/$F$104)*$AL$29,(F9/$F$104)*$AL$29)</f>
        <v>214.36693191865604</v>
      </c>
      <c r="AJ9" s="6">
        <f>(AH9-AI9)*70%</f>
        <v>16816.725380990276</v>
      </c>
      <c r="AK9" s="6"/>
      <c r="AL9" s="6"/>
      <c r="AO9" s="6"/>
    </row>
    <row r="10" spans="1:41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242.38260333333338</v>
      </c>
    </row>
    <row r="11" spans="1:41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5.4580957532966511E-2</v>
      </c>
    </row>
    <row r="12" spans="1:4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1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1" x14ac:dyDescent="0.35">
      <c r="A14" s="20">
        <v>45159</v>
      </c>
      <c r="B14" s="21" t="s">
        <v>632</v>
      </c>
      <c r="C14" s="21" t="s">
        <v>653</v>
      </c>
      <c r="D14" s="44">
        <v>1869371</v>
      </c>
      <c r="E14" s="44" t="s">
        <v>652</v>
      </c>
      <c r="F14" s="21">
        <v>100</v>
      </c>
      <c r="G14" s="21"/>
      <c r="H14" s="22">
        <v>54414</v>
      </c>
      <c r="I14" s="33">
        <v>0.55000000000000004</v>
      </c>
      <c r="J14" s="24">
        <f>IFERROR(K14/H14,"")</f>
        <v>0.54830558312199063</v>
      </c>
      <c r="K14" s="22">
        <f>59671/2</f>
        <v>29835.5</v>
      </c>
      <c r="L14" s="21">
        <v>34</v>
      </c>
      <c r="M14" s="21">
        <v>56</v>
      </c>
      <c r="N14" s="21">
        <v>10</v>
      </c>
      <c r="O14" s="21"/>
      <c r="P14" s="21"/>
      <c r="Q14" s="21"/>
      <c r="R14" s="21"/>
      <c r="S14" s="21"/>
      <c r="T14" s="21"/>
      <c r="U14" s="25">
        <v>190</v>
      </c>
      <c r="V14" s="25">
        <f>H14*U14*I14/15</f>
        <v>379084.2</v>
      </c>
      <c r="W14" s="25">
        <v>223.71</v>
      </c>
      <c r="X14" s="25">
        <f>1331380.65/300*F14</f>
        <v>443793.54999999993</v>
      </c>
      <c r="Y14" s="25">
        <f>(G14*40)+(F14*40)</f>
        <v>4000</v>
      </c>
      <c r="Z14" s="25">
        <v>33495.599999999999</v>
      </c>
      <c r="AA14" s="25">
        <v>0</v>
      </c>
      <c r="AB14" s="25">
        <v>2850</v>
      </c>
      <c r="AC14" s="25">
        <v>0</v>
      </c>
      <c r="AD14" s="25">
        <f>IF(F14="",G14*4.11,F14*4.11)</f>
        <v>411.00000000000006</v>
      </c>
      <c r="AE14" s="25">
        <f>2662.76/300*F14</f>
        <v>887.5866666666667</v>
      </c>
      <c r="AF14" s="25">
        <f>V14+Y14+Z14+AA14+AB14+AC14+AD14</f>
        <v>419840.8</v>
      </c>
      <c r="AG14" s="25">
        <f>IFERROR(IFERROR((H14*W14*J14/15)-AE14,""),"")</f>
        <v>444079.06033333333</v>
      </c>
      <c r="AH14" s="26">
        <f>IFERROR(AG14-AF14,"")</f>
        <v>24238.260333333339</v>
      </c>
      <c r="AI14" s="6">
        <f>IF(F14="",(G14/$F$104)*$AL$29,(F14/$F$104)*$AL$29)</f>
        <v>214.36693191865604</v>
      </c>
      <c r="AJ14" s="6">
        <f>(AH14-AI14)*70%</f>
        <v>16816.725380990276</v>
      </c>
      <c r="AK14" s="6"/>
      <c r="AL14" s="14">
        <f>F4+G4+F9+G9+F14+G14+F24+G24+F29+G29+F34+G34+F39+G39+F44+G44+F49+G49+F19+G19+F74+G74+F79+G79+F59+G59+F54+G54+F64+G64+F69+G69+F89+G89+F94+G94+F84+G84+F99+G99</f>
        <v>2262</v>
      </c>
      <c r="AM14" s="118" t="s">
        <v>22</v>
      </c>
      <c r="AN14" t="s">
        <v>71</v>
      </c>
      <c r="AO14" s="6"/>
    </row>
    <row r="15" spans="1:41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242.38260333333338</v>
      </c>
      <c r="AL15" s="48">
        <f>AH4+AH9+AH14+AH24+AH29+AH34+AH39+AH44+AH49+AH19+AH74+AH79+AH54+AH59+AH64+AH69+AH89+AH94+AH84+AH99</f>
        <v>235521.96565111121</v>
      </c>
      <c r="AM15" s="48">
        <f>AL15*30%</f>
        <v>70656.589695333358</v>
      </c>
      <c r="AN15" s="6"/>
    </row>
    <row r="16" spans="1:41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5.4580957532966511E-2</v>
      </c>
      <c r="AL16" s="11"/>
      <c r="AM16" s="11"/>
    </row>
    <row r="17" spans="1:4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</row>
    <row r="19" spans="1:41" x14ac:dyDescent="0.35">
      <c r="A19" s="20">
        <v>45159</v>
      </c>
      <c r="B19" s="21" t="s">
        <v>446</v>
      </c>
      <c r="C19" s="21" t="s">
        <v>651</v>
      </c>
      <c r="D19" s="44">
        <v>1869371</v>
      </c>
      <c r="E19" s="44" t="s">
        <v>652</v>
      </c>
      <c r="F19" s="98">
        <f>200-150</f>
        <v>50</v>
      </c>
      <c r="G19" s="21"/>
      <c r="H19" s="22">
        <f>112600/200*50</f>
        <v>28150</v>
      </c>
      <c r="I19" s="33">
        <v>0.55000000000000004</v>
      </c>
      <c r="J19" s="24">
        <f>IFERROR(K19/H19,"")</f>
        <v>0.53603907637655412</v>
      </c>
      <c r="K19" s="22">
        <v>15089.5</v>
      </c>
      <c r="L19" s="21">
        <v>5</v>
      </c>
      <c r="M19" s="21">
        <v>27</v>
      </c>
      <c r="N19" s="21">
        <v>17</v>
      </c>
      <c r="O19" s="21">
        <v>1</v>
      </c>
      <c r="P19" s="21"/>
      <c r="Q19" s="21"/>
      <c r="R19" s="21"/>
      <c r="S19" s="21"/>
      <c r="T19" s="21"/>
      <c r="U19" s="25">
        <v>200</v>
      </c>
      <c r="V19" s="25">
        <f>H19*U19*I19/15</f>
        <v>206433.33333333337</v>
      </c>
      <c r="W19" s="25">
        <v>223.71</v>
      </c>
      <c r="X19" s="25">
        <f>1331380.65/300*F19</f>
        <v>221896.77499999997</v>
      </c>
      <c r="Y19" s="25">
        <f>(G19*60)+(F19*60)</f>
        <v>3000</v>
      </c>
      <c r="Z19" s="25">
        <v>10427.700000000001</v>
      </c>
      <c r="AA19" s="25">
        <v>0</v>
      </c>
      <c r="AB19" s="25">
        <v>1000</v>
      </c>
      <c r="AC19" s="25">
        <f>G19*35+F19*38</f>
        <v>1900</v>
      </c>
      <c r="AD19" s="25">
        <f>IF(F19="",G19*4.11,F19*4.11)</f>
        <v>205.50000000000003</v>
      </c>
      <c r="AE19" s="25">
        <f>2662.76/300*F19</f>
        <v>443.79333333333335</v>
      </c>
      <c r="AF19" s="25">
        <f>V19+Y19+Z19+AA19+AB19+AC19+AD19</f>
        <v>222966.53333333338</v>
      </c>
      <c r="AG19" s="25">
        <f>IFERROR(IFERROR((H19*W19*J19/15)-AE19,""),"")</f>
        <v>224601.00966666662</v>
      </c>
      <c r="AH19" s="26">
        <f>IFERROR(AG19-AF19,"")</f>
        <v>1634.4763333332376</v>
      </c>
      <c r="AI19" s="6">
        <f>IF(F19="",(G19/$F$104)*$AL$29,(F19/$F$104)*$AL$29)</f>
        <v>107.18346595932802</v>
      </c>
      <c r="AJ19" s="6">
        <f>(AH19-AI19)*70%</f>
        <v>1069.1050071617367</v>
      </c>
      <c r="AK19" s="6"/>
      <c r="AL19" s="6"/>
      <c r="AM19" s="6"/>
      <c r="AO19" s="6"/>
    </row>
    <row r="20" spans="1:4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32.689526666664754</v>
      </c>
    </row>
    <row r="21" spans="1:41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7.2772439258353555E-3</v>
      </c>
    </row>
    <row r="22" spans="1:41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</row>
    <row r="23" spans="1:4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83" t="s">
        <v>187</v>
      </c>
      <c r="AM23" s="184" t="s">
        <v>680</v>
      </c>
      <c r="AN23" s="181"/>
      <c r="AO23" s="182"/>
    </row>
    <row r="24" spans="1:41" x14ac:dyDescent="0.35">
      <c r="A24" s="20">
        <v>45159</v>
      </c>
      <c r="B24" s="21" t="s">
        <v>632</v>
      </c>
      <c r="C24" s="21" t="s">
        <v>653</v>
      </c>
      <c r="D24" s="44">
        <v>1869366</v>
      </c>
      <c r="E24" s="44" t="s">
        <v>652</v>
      </c>
      <c r="F24" s="21">
        <f>100-2</f>
        <v>98</v>
      </c>
      <c r="G24" s="21"/>
      <c r="H24" s="160">
        <f>54420/100*98</f>
        <v>53331.600000000006</v>
      </c>
      <c r="I24" s="33">
        <v>0.55000000000000004</v>
      </c>
      <c r="J24" s="24">
        <f>IFERROR(K24/H24,"")</f>
        <v>0.55511179113321174</v>
      </c>
      <c r="K24" s="22">
        <v>29605</v>
      </c>
      <c r="L24" s="21">
        <v>45</v>
      </c>
      <c r="M24" s="21">
        <v>52</v>
      </c>
      <c r="N24" s="21">
        <v>1</v>
      </c>
      <c r="O24" s="21"/>
      <c r="P24" s="21"/>
      <c r="Q24" s="21"/>
      <c r="R24" s="21"/>
      <c r="S24" s="21"/>
      <c r="T24" s="21"/>
      <c r="U24" s="25">
        <v>190</v>
      </c>
      <c r="V24" s="25">
        <f>H24*U24*I24/15</f>
        <v>371543.4800000001</v>
      </c>
      <c r="W24" s="25">
        <v>221.78</v>
      </c>
      <c r="X24" s="25">
        <v>437719.79</v>
      </c>
      <c r="Y24" s="25">
        <f>(G14*40)+(F14*40)</f>
        <v>4000</v>
      </c>
      <c r="Z24" s="25">
        <v>33661.800000000003</v>
      </c>
      <c r="AA24" s="25">
        <v>0</v>
      </c>
      <c r="AB24" s="25">
        <v>2850</v>
      </c>
      <c r="AC24" s="25">
        <v>0</v>
      </c>
      <c r="AD24" s="25">
        <f>IF(F24="",G24*4.11,F24*4.11)</f>
        <v>402.78000000000003</v>
      </c>
      <c r="AE24" s="25">
        <v>875.44</v>
      </c>
      <c r="AF24" s="25">
        <f>V24+Y24+Z24+AA24+AB24+AC24+AD24</f>
        <v>412458.06000000011</v>
      </c>
      <c r="AG24" s="25">
        <f>IFERROR(IFERROR((H24*W24*J24/15)-AE24,""),"")</f>
        <v>436844.35333333327</v>
      </c>
      <c r="AH24" s="26">
        <f>IFERROR(AG24-AF24,"")</f>
        <v>24386.29333333316</v>
      </c>
      <c r="AI24" s="6">
        <f>IF(F24="",(G24/$F$104)*$AL$29,(F24/$F$104)*$AL$29)</f>
        <v>210.07959328028292</v>
      </c>
      <c r="AJ24" s="6">
        <f>(AH24-AI24)*70%</f>
        <v>16923.349618037013</v>
      </c>
      <c r="AK24" s="6"/>
      <c r="AL24" s="187">
        <v>600</v>
      </c>
      <c r="AM24" s="185" t="s">
        <v>656</v>
      </c>
      <c r="AO24" s="186"/>
    </row>
    <row r="25" spans="1:4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248.83972789115469</v>
      </c>
      <c r="AL25" s="178">
        <v>4248.9799999999996</v>
      </c>
      <c r="AM25" s="185" t="s">
        <v>659</v>
      </c>
      <c r="AO25" s="174"/>
    </row>
    <row r="26" spans="1:4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5.5823757700549342E-2</v>
      </c>
      <c r="AL26" s="178">
        <v>0</v>
      </c>
      <c r="AM26" s="185"/>
      <c r="AO26" s="174"/>
    </row>
    <row r="27" spans="1:41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3"/>
      <c r="AA27" s="21"/>
      <c r="AB27" s="21"/>
      <c r="AC27" s="21"/>
      <c r="AD27" s="21"/>
      <c r="AE27" s="21"/>
      <c r="AF27" s="21"/>
      <c r="AG27" s="21"/>
      <c r="AH27" s="24"/>
      <c r="AL27" s="178">
        <v>0</v>
      </c>
      <c r="AM27" s="185"/>
      <c r="AO27" s="174"/>
    </row>
    <row r="28" spans="1:4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178">
        <v>0</v>
      </c>
      <c r="AM28" s="185"/>
      <c r="AO28" s="174"/>
    </row>
    <row r="29" spans="1:41" x14ac:dyDescent="0.35">
      <c r="A29" s="20">
        <v>45159</v>
      </c>
      <c r="B29" s="21" t="s">
        <v>648</v>
      </c>
      <c r="C29" s="21" t="s">
        <v>658</v>
      </c>
      <c r="D29" s="44">
        <v>1869371</v>
      </c>
      <c r="E29" s="44" t="s">
        <v>652</v>
      </c>
      <c r="F29" s="21">
        <v>50</v>
      </c>
      <c r="G29" s="21"/>
      <c r="H29" s="22">
        <v>27183.5</v>
      </c>
      <c r="I29" s="33">
        <v>0.55000000000000004</v>
      </c>
      <c r="J29" s="24">
        <f>IFERROR(K29/H29,"")</f>
        <v>0.53383486306031236</v>
      </c>
      <c r="K29" s="22">
        <v>14511.5</v>
      </c>
      <c r="L29" s="21">
        <v>11</v>
      </c>
      <c r="M29" s="21">
        <v>23</v>
      </c>
      <c r="N29" s="21">
        <v>15</v>
      </c>
      <c r="O29" s="21">
        <v>1</v>
      </c>
      <c r="P29" s="21"/>
      <c r="Q29" s="21"/>
      <c r="R29" s="21"/>
      <c r="S29" s="21"/>
      <c r="T29" s="21"/>
      <c r="U29" s="25">
        <v>222.5</v>
      </c>
      <c r="V29" s="25">
        <f>H29*U29*I29/15</f>
        <v>221772.0541666667</v>
      </c>
      <c r="W29" s="25">
        <v>223.71</v>
      </c>
      <c r="X29" s="25">
        <f>1331380.65/300*F29</f>
        <v>221896.77499999997</v>
      </c>
      <c r="Y29" s="25">
        <f>(G24*0)+(F24*0)</f>
        <v>0</v>
      </c>
      <c r="Z29" s="25">
        <v>967</v>
      </c>
      <c r="AA29" s="25">
        <v>0</v>
      </c>
      <c r="AB29" s="25">
        <v>1112.5</v>
      </c>
      <c r="AC29" s="25">
        <f>F29*0</f>
        <v>0</v>
      </c>
      <c r="AD29" s="25">
        <f>IF(F29="",G29*4.11,F29*4.11)</f>
        <v>205.50000000000003</v>
      </c>
      <c r="AE29" s="25">
        <f>2662.76/300*F29</f>
        <v>443.79333333333335</v>
      </c>
      <c r="AF29" s="25">
        <f>V29+Y29+Z29+AA29+AB29+AC29+AD29</f>
        <v>224057.0541666667</v>
      </c>
      <c r="AG29" s="25">
        <f>IFERROR(IFERROR((H29*W29*J29/15)-AE29,""),"")</f>
        <v>215980.71766666669</v>
      </c>
      <c r="AH29" s="26">
        <f>IFERROR(AG29-AF29,"")</f>
        <v>-8076.3365000000049</v>
      </c>
      <c r="AI29" s="6">
        <f>IF(F29="",(G29/$F$104)*$AL$29,(F29/$F$104)*$AL$29)</f>
        <v>107.18346595932802</v>
      </c>
      <c r="AJ29" s="6">
        <f>(AH29-AI29)*70%</f>
        <v>-5728.4639761715325</v>
      </c>
      <c r="AK29" s="6"/>
      <c r="AL29" s="188">
        <f>SUM(AL24:AL28)</f>
        <v>4848.9799999999996</v>
      </c>
      <c r="AM29" s="189" t="s">
        <v>673</v>
      </c>
      <c r="AN29" s="190"/>
      <c r="AO29" s="191"/>
    </row>
    <row r="30" spans="1:4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-161.5267300000001</v>
      </c>
    </row>
    <row r="31" spans="1:4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-3.7393784904745986E-2</v>
      </c>
    </row>
    <row r="32" spans="1:4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L32" s="57"/>
    </row>
    <row r="33" spans="1:4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11">
        <f>AL15-AL29</f>
        <v>230672.9856511112</v>
      </c>
      <c r="AM33" s="11" t="s">
        <v>471</v>
      </c>
    </row>
    <row r="34" spans="1:41" x14ac:dyDescent="0.35">
      <c r="A34" s="20">
        <v>45159</v>
      </c>
      <c r="B34" s="21" t="s">
        <v>648</v>
      </c>
      <c r="C34" s="21" t="s">
        <v>658</v>
      </c>
      <c r="D34" s="157">
        <v>154586</v>
      </c>
      <c r="E34" s="44" t="s">
        <v>641</v>
      </c>
      <c r="F34" s="21">
        <v>17</v>
      </c>
      <c r="G34" s="21"/>
      <c r="H34" s="22">
        <v>8644</v>
      </c>
      <c r="I34" s="33">
        <v>0.55000000000000004</v>
      </c>
      <c r="J34" s="24">
        <f>IFERROR(K34/H34,"")</f>
        <v>0.54205229060620086</v>
      </c>
      <c r="K34" s="22">
        <v>4685.5</v>
      </c>
      <c r="L34" s="21">
        <v>5</v>
      </c>
      <c r="M34" s="21">
        <v>3</v>
      </c>
      <c r="N34" s="21">
        <v>9</v>
      </c>
      <c r="O34" s="21"/>
      <c r="P34" s="21"/>
      <c r="Q34" s="21"/>
      <c r="R34" s="21"/>
      <c r="S34" s="21"/>
      <c r="T34" s="21"/>
      <c r="U34" s="25">
        <v>222.5</v>
      </c>
      <c r="V34" s="25">
        <f>H34*U34*I34/15</f>
        <v>70520.633333333331</v>
      </c>
      <c r="W34" s="25">
        <v>210</v>
      </c>
      <c r="X34" s="25">
        <v>65597.91</v>
      </c>
      <c r="Y34" s="25">
        <v>0</v>
      </c>
      <c r="Z34" s="25">
        <v>600</v>
      </c>
      <c r="AA34" s="25">
        <v>0</v>
      </c>
      <c r="AB34" s="25">
        <v>378.25</v>
      </c>
      <c r="AC34" s="25">
        <v>0</v>
      </c>
      <c r="AD34" s="25">
        <f>IF(F34="",G34*4.11,F34*4.11)</f>
        <v>69.87</v>
      </c>
      <c r="AE34" s="25">
        <v>131.21</v>
      </c>
      <c r="AF34" s="25">
        <f>V34+Y34+Z34+AA34+AB34+AC34+AD34</f>
        <v>71568.753333333327</v>
      </c>
      <c r="AG34" s="25">
        <f>IFERROR(IFERROR((H34*W34*J34/15)-AE34,""),"")</f>
        <v>65465.79</v>
      </c>
      <c r="AH34" s="26">
        <f>IFERROR(AG34-AF34,"")</f>
        <v>-6102.9633333333259</v>
      </c>
      <c r="AI34" s="6">
        <f>IF(F34="",(G34/$F$104)*$AL$29,(F34/$F$104)*$AL$29)</f>
        <v>36.442378426171523</v>
      </c>
      <c r="AJ34" s="6">
        <f>(AH34-AI34)*70%</f>
        <v>-4297.5839982316484</v>
      </c>
      <c r="AK34" s="6"/>
      <c r="AL34" s="59">
        <f>AL33*30%</f>
        <v>69201.895695333355</v>
      </c>
      <c r="AM34" s="130" t="s">
        <v>499</v>
      </c>
    </row>
    <row r="35" spans="1:4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-358.99784313725445</v>
      </c>
      <c r="AL35" s="57"/>
    </row>
    <row r="36" spans="1:4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-9.3223702537360745E-2</v>
      </c>
    </row>
    <row r="37" spans="1:4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41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  <c r="AL38" s="14"/>
      <c r="AM38" s="14"/>
    </row>
    <row r="39" spans="1:41" x14ac:dyDescent="0.35">
      <c r="A39" s="20">
        <v>45159</v>
      </c>
      <c r="B39" s="21" t="s">
        <v>446</v>
      </c>
      <c r="C39" s="21" t="s">
        <v>655</v>
      </c>
      <c r="D39" s="157">
        <v>154420</v>
      </c>
      <c r="E39" s="44" t="s">
        <v>641</v>
      </c>
      <c r="F39" s="21">
        <v>50</v>
      </c>
      <c r="G39" s="21"/>
      <c r="H39" s="22">
        <v>24110</v>
      </c>
      <c r="I39" s="33">
        <v>0.52</v>
      </c>
      <c r="J39" s="24">
        <f>IFERROR(K39/H39,"")</f>
        <v>0.55000000000000004</v>
      </c>
      <c r="K39" s="22">
        <v>13260.5</v>
      </c>
      <c r="L39" s="21">
        <v>9</v>
      </c>
      <c r="M39" s="21">
        <v>25</v>
      </c>
      <c r="N39" s="21">
        <v>14</v>
      </c>
      <c r="O39" s="21">
        <v>1</v>
      </c>
      <c r="P39" s="21">
        <v>1</v>
      </c>
      <c r="Q39" s="21"/>
      <c r="R39" s="21"/>
      <c r="S39" s="21"/>
      <c r="T39" s="21"/>
      <c r="U39" s="25">
        <v>200</v>
      </c>
      <c r="V39" s="25">
        <f>H39*U39*I39/15</f>
        <v>167162.66666666666</v>
      </c>
      <c r="W39" s="25">
        <v>216.8</v>
      </c>
      <c r="X39" s="25">
        <v>191661.53</v>
      </c>
      <c r="Y39" s="25">
        <f>F39*60</f>
        <v>3000</v>
      </c>
      <c r="Z39" s="25">
        <v>6134.2</v>
      </c>
      <c r="AA39" s="25">
        <v>0</v>
      </c>
      <c r="AB39" s="25">
        <v>1000</v>
      </c>
      <c r="AC39" s="25">
        <f>F39*38</f>
        <v>1900</v>
      </c>
      <c r="AD39" s="25">
        <f>IF(F39="",G39*4.11,F39*4.11)</f>
        <v>205.50000000000003</v>
      </c>
      <c r="AE39" s="25">
        <v>383.32</v>
      </c>
      <c r="AF39" s="25">
        <f>V39+Y39+Z39+AA39+AB39+AC39+AD39</f>
        <v>179402.36666666667</v>
      </c>
      <c r="AG39" s="25">
        <f>IFERROR(IFERROR((H39*W39*J39/15)-AE39,""),"")</f>
        <v>191275.10666666669</v>
      </c>
      <c r="AH39" s="26">
        <f>IFERROR(AG39-AF39,"")</f>
        <v>11872.74000000002</v>
      </c>
      <c r="AI39" s="6">
        <f>IF(F39="",(G39/$F$104)*$AL$29,(F39/$F$104)*$AL$29)</f>
        <v>107.18346595932802</v>
      </c>
      <c r="AJ39" s="6">
        <f>(AH39-AI39)*70%</f>
        <v>8235.8895738284846</v>
      </c>
      <c r="AK39" s="6"/>
      <c r="AL39" s="11">
        <f>AH4+AH9+AH14+AH19+AH24+AH29+AH49+AH54+AH59+AH64+AH69+AH74+AH79+AH84+AH94+AH99</f>
        <v>175054.30498444464</v>
      </c>
      <c r="AM39" s="1" t="s">
        <v>596</v>
      </c>
    </row>
    <row r="40" spans="1:41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237.4548000000004</v>
      </c>
      <c r="AL40" s="11">
        <f>AL39-AL29</f>
        <v>170205.32498444463</v>
      </c>
      <c r="AM40" s="1" t="s">
        <v>674</v>
      </c>
    </row>
    <row r="41" spans="1:4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6.2071537728589699E-2</v>
      </c>
      <c r="AL41" s="148">
        <f>AL40*30%</f>
        <v>51061.597495333386</v>
      </c>
      <c r="AM41" s="149" t="s">
        <v>499</v>
      </c>
      <c r="AN41" s="21" t="s">
        <v>72</v>
      </c>
      <c r="AO41" s="2">
        <v>45174</v>
      </c>
    </row>
    <row r="42" spans="1:4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</row>
    <row r="43" spans="1:41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1" x14ac:dyDescent="0.35">
      <c r="A44" s="20">
        <v>45160</v>
      </c>
      <c r="B44" s="21" t="s">
        <v>632</v>
      </c>
      <c r="C44" s="21" t="s">
        <v>657</v>
      </c>
      <c r="D44" s="157">
        <v>154398</v>
      </c>
      <c r="E44" s="44" t="s">
        <v>641</v>
      </c>
      <c r="F44" s="21">
        <v>100</v>
      </c>
      <c r="G44" s="21"/>
      <c r="H44" s="22">
        <v>64660</v>
      </c>
      <c r="I44" s="33">
        <v>0.55000000000000004</v>
      </c>
      <c r="J44" s="24">
        <f>IFERROR(K44/H44,"")</f>
        <v>0.57950046396535726</v>
      </c>
      <c r="K44" s="22">
        <v>37470.5</v>
      </c>
      <c r="L44" s="21">
        <v>63</v>
      </c>
      <c r="M44" s="21">
        <v>33</v>
      </c>
      <c r="N44" s="21">
        <v>2</v>
      </c>
      <c r="O44" s="21">
        <v>1</v>
      </c>
      <c r="P44" s="21"/>
      <c r="Q44" s="21">
        <v>1</v>
      </c>
      <c r="R44" s="14"/>
      <c r="S44" s="21"/>
      <c r="T44" s="21"/>
      <c r="U44" s="25">
        <v>190</v>
      </c>
      <c r="V44" s="25">
        <f>H44*U44*I44/15</f>
        <v>450464.66666666674</v>
      </c>
      <c r="W44" s="25">
        <v>213.4</v>
      </c>
      <c r="X44" s="25">
        <v>533090.77</v>
      </c>
      <c r="Y44" s="25">
        <f>F44*40</f>
        <v>4000</v>
      </c>
      <c r="Z44" s="25">
        <v>40149.919999999998</v>
      </c>
      <c r="AA44" s="25">
        <v>0</v>
      </c>
      <c r="AB44" s="25">
        <v>1900</v>
      </c>
      <c r="AC44" s="25">
        <v>0</v>
      </c>
      <c r="AD44" s="25">
        <f>IF(F44="",G44*4.11,F44*4.11)</f>
        <v>411.00000000000006</v>
      </c>
      <c r="AE44" s="25">
        <v>1066.18</v>
      </c>
      <c r="AF44" s="25">
        <f>V44+Y44+Z44+AA44+AB44+AC44+AD44</f>
        <v>496925.58666666673</v>
      </c>
      <c r="AG44" s="25">
        <f>IFERROR(IFERROR((H44*W44*J44/15)-AE44,""),"")</f>
        <v>532014.1333333333</v>
      </c>
      <c r="AH44" s="26">
        <f>IFERROR(AG44-AF44,"")</f>
        <v>35088.546666666574</v>
      </c>
      <c r="AI44" s="6">
        <f>IF(F44="",(G44/$F$104)*$AL$29,(F44/$F$104)*$AL$29)</f>
        <v>214.36693191865604</v>
      </c>
      <c r="AJ44" s="6">
        <f>(AH44-AI44)*70%</f>
        <v>24411.925814323538</v>
      </c>
      <c r="AK44" s="6"/>
      <c r="AL44" s="11">
        <f>AH34+AH39+AH44+AH89</f>
        <v>60467.660666666539</v>
      </c>
      <c r="AM44" s="1" t="s">
        <v>599</v>
      </c>
    </row>
    <row r="45" spans="1:41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350.88546666666576</v>
      </c>
      <c r="AL45" s="148">
        <f>AL44*30%</f>
        <v>18140.298199999961</v>
      </c>
      <c r="AM45" s="149" t="s">
        <v>499</v>
      </c>
      <c r="AN45" s="259" t="s">
        <v>72</v>
      </c>
      <c r="AO45" s="2">
        <v>45197</v>
      </c>
    </row>
    <row r="46" spans="1:41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6.595416262124347E-2</v>
      </c>
    </row>
    <row r="47" spans="1:4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1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7" x14ac:dyDescent="0.35">
      <c r="A49" s="20">
        <v>45160</v>
      </c>
      <c r="B49" s="21" t="s">
        <v>632</v>
      </c>
      <c r="C49" s="21" t="s">
        <v>653</v>
      </c>
      <c r="D49" s="44">
        <v>1869367</v>
      </c>
      <c r="E49" s="44" t="s">
        <v>652</v>
      </c>
      <c r="F49" s="98">
        <f>200-53</f>
        <v>147</v>
      </c>
      <c r="G49" s="21"/>
      <c r="H49" s="22">
        <f>106853/200*F49</f>
        <v>78536.955000000002</v>
      </c>
      <c r="I49" s="33">
        <v>0.55000000000000004</v>
      </c>
      <c r="J49" s="24">
        <f>IFERROR(K49/H49,"")</f>
        <v>0.55265702623688429</v>
      </c>
      <c r="K49" s="22">
        <v>43404</v>
      </c>
      <c r="L49" s="21">
        <v>8</v>
      </c>
      <c r="M49" s="21">
        <v>73</v>
      </c>
      <c r="N49" s="21">
        <v>65</v>
      </c>
      <c r="O49" s="21">
        <v>1</v>
      </c>
      <c r="P49" s="21"/>
      <c r="Q49" s="21"/>
      <c r="R49" s="21"/>
      <c r="S49" s="21"/>
      <c r="T49" s="21"/>
      <c r="U49" s="25">
        <v>190</v>
      </c>
      <c r="V49" s="25">
        <f>H49*U49*I49/15</f>
        <v>547140.78650000005</v>
      </c>
      <c r="W49" s="25">
        <v>217.62</v>
      </c>
      <c r="X49" s="25">
        <f>3593.13+625958.38</f>
        <v>629551.51</v>
      </c>
      <c r="Y49" s="25">
        <f>F49*40</f>
        <v>5880</v>
      </c>
      <c r="Z49" s="25">
        <v>49334.55</v>
      </c>
      <c r="AA49" s="25">
        <v>0</v>
      </c>
      <c r="AB49" s="25">
        <v>4189.5</v>
      </c>
      <c r="AC49" s="25">
        <v>0</v>
      </c>
      <c r="AD49" s="25">
        <f>IF(F49="",G49*4.11,F49*4.11)</f>
        <v>604.17000000000007</v>
      </c>
      <c r="AE49" s="25">
        <f>1721.2/200*F49</f>
        <v>1265.0819999999999</v>
      </c>
      <c r="AF49" s="25">
        <f>V49+Y49+Z49+AA49+AB49+AC49+AD49</f>
        <v>607149.00650000013</v>
      </c>
      <c r="AG49" s="25">
        <f>IFERROR(IFERROR((H49*W49*J49/15)-AE49,""),"")</f>
        <v>628440.15</v>
      </c>
      <c r="AH49" s="26">
        <f>IFERROR(AG49-AF49,"")</f>
        <v>21291.143499999889</v>
      </c>
      <c r="AI49" s="6">
        <f>IF(F49="",(G49/$F$104)*$AL$29,(F49/$F$104)*$AL$29)</f>
        <v>315.11938992042434</v>
      </c>
      <c r="AJ49" s="6">
        <f>(AH49-AI49)*70%</f>
        <v>14683.216877055625</v>
      </c>
      <c r="AK49" s="6"/>
    </row>
    <row r="50" spans="1:3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144.83771088435299</v>
      </c>
    </row>
    <row r="51" spans="1:3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3.3879349529147507E-2</v>
      </c>
    </row>
    <row r="52" spans="1:3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3" spans="1:37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7" x14ac:dyDescent="0.35">
      <c r="A54" s="20">
        <v>45160</v>
      </c>
      <c r="B54" s="21" t="s">
        <v>632</v>
      </c>
      <c r="C54" s="21" t="s">
        <v>653</v>
      </c>
      <c r="D54" s="44">
        <v>1869370</v>
      </c>
      <c r="E54" s="44" t="s">
        <v>652</v>
      </c>
      <c r="F54" s="98">
        <v>52</v>
      </c>
      <c r="G54" s="21"/>
      <c r="H54" s="160">
        <f>106853/200*F54</f>
        <v>27781.78</v>
      </c>
      <c r="I54" s="33">
        <v>0.55000000000000004</v>
      </c>
      <c r="J54" s="24">
        <f>IFERROR(K54/H54,"")</f>
        <v>0.56193303668807404</v>
      </c>
      <c r="K54" s="22">
        <v>15611.5</v>
      </c>
      <c r="L54" s="21">
        <v>2</v>
      </c>
      <c r="M54" s="21">
        <v>30</v>
      </c>
      <c r="N54" s="21">
        <v>20</v>
      </c>
      <c r="O54" s="21"/>
      <c r="P54" s="21"/>
      <c r="Q54" s="21"/>
      <c r="R54" s="21"/>
      <c r="S54" s="21"/>
      <c r="T54" s="21"/>
      <c r="U54" s="25">
        <v>190</v>
      </c>
      <c r="V54" s="25">
        <f>H54*U54*I54/15</f>
        <v>193546.40066666668</v>
      </c>
      <c r="W54" s="25">
        <v>215.28</v>
      </c>
      <c r="X54" s="25">
        <f>1935639.17/134868.89*K54</f>
        <v>224056.34763105854</v>
      </c>
      <c r="Y54" s="25">
        <f>F54*40</f>
        <v>2080</v>
      </c>
      <c r="Z54" s="25">
        <v>17787.28</v>
      </c>
      <c r="AA54" s="25">
        <v>0</v>
      </c>
      <c r="AB54" s="25">
        <v>1510.5</v>
      </c>
      <c r="AC54" s="25">
        <v>0</v>
      </c>
      <c r="AD54" s="25">
        <f>IF(F54="",G54*4.11,F54*4.11)</f>
        <v>213.72000000000003</v>
      </c>
      <c r="AE54" s="25">
        <f>X54*0.2%</f>
        <v>448.11269526211709</v>
      </c>
      <c r="AF54" s="25">
        <f>V54+Y54+Z54+AA54+AB54+AC54+AD54</f>
        <v>215137.90066666668</v>
      </c>
      <c r="AG54" s="25">
        <f>IFERROR(IFERROR((H54*W54*J54/15)-AE54,""),"")</f>
        <v>223608.13530473789</v>
      </c>
      <c r="AH54" s="26">
        <f>IFERROR(AG54-AF54,"")</f>
        <v>8470.2346380712115</v>
      </c>
      <c r="AI54" s="6">
        <f>IF(F54="",(G54/$F$104)*$AL$29,(F54/$F$104)*$AL$29)</f>
        <v>111.47080459770113</v>
      </c>
      <c r="AJ54" s="6">
        <f>(AH54-AI54)*70%</f>
        <v>5851.1346834314572</v>
      </c>
      <c r="AK54" s="6"/>
    </row>
    <row r="55" spans="1:3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162.88912765521562</v>
      </c>
    </row>
    <row r="56" spans="1:3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3.7879814285503507E-2</v>
      </c>
    </row>
    <row r="57" spans="1:3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7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7" x14ac:dyDescent="0.35">
      <c r="A59" s="20">
        <v>45161</v>
      </c>
      <c r="B59" s="21" t="s">
        <v>632</v>
      </c>
      <c r="C59" s="21" t="s">
        <v>653</v>
      </c>
      <c r="D59" s="44">
        <v>1869367</v>
      </c>
      <c r="E59" s="44" t="s">
        <v>652</v>
      </c>
      <c r="F59" s="98">
        <f>550-100-397</f>
        <v>53</v>
      </c>
      <c r="G59" s="21"/>
      <c r="H59" s="22">
        <f>295853/550*F59</f>
        <v>28509.470909090905</v>
      </c>
      <c r="I59" s="33">
        <v>0.55000000000000004</v>
      </c>
      <c r="J59" s="24">
        <f>IFERROR(K59/H59,"")</f>
        <v>0.55823554392674235</v>
      </c>
      <c r="K59" s="22">
        <v>15915</v>
      </c>
      <c r="L59" s="21">
        <v>27</v>
      </c>
      <c r="M59" s="21">
        <v>26</v>
      </c>
      <c r="N59" s="21"/>
      <c r="O59" s="21"/>
      <c r="P59" s="21"/>
      <c r="Q59" s="21"/>
      <c r="R59" s="21"/>
      <c r="S59" s="21"/>
      <c r="T59" s="21"/>
      <c r="U59" s="25">
        <v>190</v>
      </c>
      <c r="V59" s="25">
        <f>H59*U59*I59/15</f>
        <v>198615.98066666664</v>
      </c>
      <c r="W59" s="25">
        <v>217.62</v>
      </c>
      <c r="X59" s="25">
        <v>231043.36</v>
      </c>
      <c r="Y59" s="25">
        <f>(G59*40)+(F59*40)</f>
        <v>2120</v>
      </c>
      <c r="Z59" s="25">
        <f>185880.04/550*F59</f>
        <v>17912.076581818183</v>
      </c>
      <c r="AA59" s="25">
        <v>0</v>
      </c>
      <c r="AB59" s="25">
        <v>1510.5</v>
      </c>
      <c r="AC59" s="25">
        <v>0</v>
      </c>
      <c r="AD59" s="25">
        <f>IF(F59="",G59*4.11,F59*4.11)</f>
        <v>217.83</v>
      </c>
      <c r="AE59" s="25">
        <f>1721.2/200*F59</f>
        <v>456.11799999999999</v>
      </c>
      <c r="AF59" s="25">
        <f>V59+Y59+Z59+AA59+AB59+AC59+AD59</f>
        <v>220376.3872484848</v>
      </c>
      <c r="AG59" s="25">
        <f>IFERROR(IFERROR((H59*W59*J59/15)-AE59,""),"")</f>
        <v>230438.70199999999</v>
      </c>
      <c r="AH59" s="26">
        <f>IFERROR(AG59-AF59,"")</f>
        <v>10062.314751515194</v>
      </c>
      <c r="AI59" s="6">
        <f>IF(F59="",(G59/$F$104)*$AL$29,(F59/$F$104)*$AL$29)</f>
        <v>113.6144739168877</v>
      </c>
      <c r="AJ59" s="6">
        <f>(AH59-AI59)*70%</f>
        <v>6964.0901943188137</v>
      </c>
      <c r="AK59" s="6"/>
    </row>
    <row r="60" spans="1:3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189.85499531160744</v>
      </c>
    </row>
    <row r="61" spans="1:3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4.3665906222276819E-2</v>
      </c>
    </row>
    <row r="62" spans="1:3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7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7" x14ac:dyDescent="0.35">
      <c r="A64" s="20">
        <v>45161</v>
      </c>
      <c r="B64" s="21" t="s">
        <v>632</v>
      </c>
      <c r="C64" s="21" t="s">
        <v>653</v>
      </c>
      <c r="D64" s="44">
        <v>1869370</v>
      </c>
      <c r="E64" s="44" t="s">
        <v>652</v>
      </c>
      <c r="F64" s="98">
        <f>550-100-53</f>
        <v>397</v>
      </c>
      <c r="G64" s="21"/>
      <c r="H64" s="22">
        <f>295853/550*F64</f>
        <v>213552.07454545452</v>
      </c>
      <c r="I64" s="33">
        <v>0.55000000000000004</v>
      </c>
      <c r="J64" s="24">
        <f>IFERROR(K64/H64,"")</f>
        <v>0.55844641291281905</v>
      </c>
      <c r="K64" s="22">
        <v>119257.39</v>
      </c>
      <c r="L64" s="21">
        <v>198</v>
      </c>
      <c r="M64" s="21">
        <v>184</v>
      </c>
      <c r="N64" s="21">
        <v>15</v>
      </c>
      <c r="O64" s="21"/>
      <c r="P64" s="21"/>
      <c r="Q64" s="21"/>
      <c r="R64" s="21"/>
      <c r="S64" s="21"/>
      <c r="T64" s="21"/>
      <c r="U64" s="25">
        <v>190</v>
      </c>
      <c r="V64" s="25">
        <f>H64*U64*I64/15</f>
        <v>1487746.1193333333</v>
      </c>
      <c r="W64" s="25">
        <v>215.28</v>
      </c>
      <c r="X64" s="25">
        <f>1935639.17/134868.89*K64</f>
        <v>1711582.822368941</v>
      </c>
      <c r="Y64" s="25">
        <f>(G64*40)+(F64*40)</f>
        <v>15880</v>
      </c>
      <c r="Z64" s="25">
        <f>185880.04/550*F64</f>
        <v>134171.5925090909</v>
      </c>
      <c r="AA64" s="25">
        <v>0</v>
      </c>
      <c r="AB64" s="25">
        <v>11314.5</v>
      </c>
      <c r="AC64" s="25">
        <v>0</v>
      </c>
      <c r="AD64" s="25">
        <f>IF(F64="",G64*4.11,F64*4.11)</f>
        <v>1631.67</v>
      </c>
      <c r="AE64" s="25">
        <f>X64*0.2%</f>
        <v>3423.1656447378823</v>
      </c>
      <c r="AF64" s="25">
        <f>V64+Y64+Z64+AA64+AB64+AC64+AD64</f>
        <v>1650743.8818424242</v>
      </c>
      <c r="AG64" s="25">
        <f>IFERROR(IFERROR((H64*W64*J64/15)-AE64,""),"")</f>
        <v>1708158.8956352624</v>
      </c>
      <c r="AH64" s="26">
        <f>IFERROR(AG64-AF64,"")</f>
        <v>57415.013792838203</v>
      </c>
      <c r="AI64" s="6">
        <f>IF(F64="",(G64/$F$104)*$AL$29,(F64/$F$104)*$AL$29)</f>
        <v>851.03671971706456</v>
      </c>
      <c r="AJ64" s="6">
        <f>(AH64-AI64)*70%</f>
        <v>39594.783951184792</v>
      </c>
      <c r="AK64" s="6"/>
    </row>
    <row r="65" spans="1:3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144.62220098951687</v>
      </c>
    </row>
    <row r="66" spans="1:3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3.3612220701216222E-2</v>
      </c>
    </row>
    <row r="67" spans="1:3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7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7" x14ac:dyDescent="0.35">
      <c r="A69" s="20">
        <v>45161</v>
      </c>
      <c r="B69" s="21" t="s">
        <v>632</v>
      </c>
      <c r="C69" s="21" t="s">
        <v>653</v>
      </c>
      <c r="D69" s="44">
        <v>1822</v>
      </c>
      <c r="E69" s="44" t="s">
        <v>643</v>
      </c>
      <c r="F69" s="98">
        <f>550-53-397</f>
        <v>100</v>
      </c>
      <c r="G69" s="21"/>
      <c r="H69" s="22">
        <f>295853/550*F69</f>
        <v>53791.454545454544</v>
      </c>
      <c r="I69" s="33">
        <v>0.55000000000000004</v>
      </c>
      <c r="J69" s="24">
        <f>IFERROR(K69/H69,"")</f>
        <v>0.53575610184787714</v>
      </c>
      <c r="K69" s="22">
        <v>28819.1</v>
      </c>
      <c r="L69" s="21">
        <v>45</v>
      </c>
      <c r="M69" s="21">
        <v>49</v>
      </c>
      <c r="N69" s="21">
        <v>6</v>
      </c>
      <c r="O69" s="21"/>
      <c r="P69" s="21"/>
      <c r="Q69" s="21"/>
      <c r="R69" s="21"/>
      <c r="S69" s="21"/>
      <c r="T69" s="21"/>
      <c r="U69" s="25">
        <v>190</v>
      </c>
      <c r="V69" s="25">
        <f>H69*U69*I69/15</f>
        <v>374747.13333333336</v>
      </c>
      <c r="W69" s="25">
        <v>214.68</v>
      </c>
      <c r="X69" s="25">
        <f>815581.12/199*F69</f>
        <v>409839.75879396987</v>
      </c>
      <c r="Y69" s="25">
        <f>(G69*40)+(F69*40)</f>
        <v>4000</v>
      </c>
      <c r="Z69" s="25">
        <f>185880.04/550*F69</f>
        <v>33796.370909090911</v>
      </c>
      <c r="AA69" s="25">
        <v>0</v>
      </c>
      <c r="AB69" s="25">
        <v>2850</v>
      </c>
      <c r="AC69" s="25">
        <v>0</v>
      </c>
      <c r="AD69" s="25">
        <f>IF(F69="",G69*4.11,F69*4.11)</f>
        <v>411.00000000000006</v>
      </c>
      <c r="AE69" s="25">
        <f>1631.16/199*F69</f>
        <v>819.678391959799</v>
      </c>
      <c r="AF69" s="25">
        <f>V69+Y69+Z69+AA69+AB69+AC69+AD69</f>
        <v>415804.50424242427</v>
      </c>
      <c r="AG69" s="25">
        <f>IFERROR(IFERROR((H69*W69*J69/15)-AE69,""),"")</f>
        <v>411639.28080804017</v>
      </c>
      <c r="AH69" s="26">
        <f>IFERROR(AG69-AF69,"")</f>
        <v>-4165.2234343840973</v>
      </c>
      <c r="AI69" s="6">
        <f>IF(F69="",(G69/$F$104)*$AL$29,(F69/$F$104)*$AL$29)</f>
        <v>214.36693191865604</v>
      </c>
      <c r="AJ69" s="6">
        <f>(AH69-AI69)*70%</f>
        <v>-3065.713256411927</v>
      </c>
      <c r="AK69" s="6"/>
    </row>
    <row r="70" spans="1:3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-41.652234343840973</v>
      </c>
    </row>
    <row r="71" spans="1:3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-1.0118624797438773E-2</v>
      </c>
    </row>
    <row r="72" spans="1:3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7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7" x14ac:dyDescent="0.35">
      <c r="A74" s="20">
        <v>45162</v>
      </c>
      <c r="B74" s="21" t="s">
        <v>632</v>
      </c>
      <c r="C74" s="21" t="s">
        <v>660</v>
      </c>
      <c r="D74" s="44">
        <v>1872813</v>
      </c>
      <c r="E74" s="44" t="s">
        <v>652</v>
      </c>
      <c r="F74" s="21">
        <v>299</v>
      </c>
      <c r="G74" s="21"/>
      <c r="H74" s="160">
        <f>165240/300*F74</f>
        <v>164689.19999999998</v>
      </c>
      <c r="I74" s="33">
        <v>0.55000000000000004</v>
      </c>
      <c r="J74" s="24">
        <f>IFERROR(K74/H74,"")</f>
        <v>0.56300291700973715</v>
      </c>
      <c r="K74" s="22">
        <v>92720.5</v>
      </c>
      <c r="L74" s="21">
        <v>186</v>
      </c>
      <c r="M74" s="21">
        <v>103</v>
      </c>
      <c r="N74" s="21">
        <v>10</v>
      </c>
      <c r="O74" s="21"/>
      <c r="P74" s="21"/>
      <c r="Q74" s="21"/>
      <c r="R74" s="21"/>
      <c r="S74" s="21"/>
      <c r="T74" s="21"/>
      <c r="U74" s="25">
        <v>190</v>
      </c>
      <c r="V74" s="25">
        <f>H74*U74*I74/15</f>
        <v>1147334.76</v>
      </c>
      <c r="W74" s="25">
        <v>215.28</v>
      </c>
      <c r="X74" s="25">
        <v>1330724.6200000001</v>
      </c>
      <c r="Y74" s="25">
        <f>F74*40</f>
        <v>11960</v>
      </c>
      <c r="Z74" s="25">
        <v>150934.5</v>
      </c>
      <c r="AA74" s="25">
        <v>0</v>
      </c>
      <c r="AB74" s="25">
        <v>5700</v>
      </c>
      <c r="AC74" s="25">
        <v>0</v>
      </c>
      <c r="AD74" s="25">
        <f>IF(F74="",G74*4.11,F74*4.11)</f>
        <v>1228.8900000000001</v>
      </c>
      <c r="AE74" s="25">
        <v>2661.45</v>
      </c>
      <c r="AF74" s="25">
        <f>V74+Y74+Z74+AA74+AB74+AC74+AD74</f>
        <v>1317158.1499999999</v>
      </c>
      <c r="AG74" s="25">
        <f>IFERROR(IFERROR((H74*W74*J74/15)-AE74,""),"")</f>
        <v>1328063.166</v>
      </c>
      <c r="AH74" s="26">
        <f>IFERROR(AG74-AF74,"")</f>
        <v>10905.016000000061</v>
      </c>
      <c r="AI74" s="6">
        <f>IF(F74="",(G74/$F$104)*$AL$29,(F74/$F$104)*$AL$29)</f>
        <v>640.95712643678155</v>
      </c>
      <c r="AJ74" s="6">
        <f>(AH74-AI74)*70%</f>
        <v>7184.8412114942948</v>
      </c>
      <c r="AK74" s="6"/>
    </row>
    <row r="75" spans="1:37" x14ac:dyDescent="0.35">
      <c r="A75" s="21"/>
      <c r="B75" s="21"/>
      <c r="C75" s="21"/>
      <c r="D75" s="21"/>
      <c r="E75" s="21"/>
      <c r="F75" s="21"/>
      <c r="G75" s="21"/>
      <c r="H75" s="22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5"/>
      <c r="AC75" s="21"/>
      <c r="AD75" s="21"/>
      <c r="AE75" s="21"/>
      <c r="AF75" s="21"/>
      <c r="AG75" s="21"/>
      <c r="AH75" s="26">
        <f>IFERROR(AH74/F74,0)+IFERROR(AH74/G74,0)</f>
        <v>36.471625418060405</v>
      </c>
    </row>
    <row r="76" spans="1:3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8.211217869135647E-3</v>
      </c>
    </row>
    <row r="77" spans="1:3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7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7" x14ac:dyDescent="0.35">
      <c r="A79" s="20">
        <v>45163</v>
      </c>
      <c r="B79" s="21" t="s">
        <v>632</v>
      </c>
      <c r="C79" s="21" t="s">
        <v>661</v>
      </c>
      <c r="D79" s="44">
        <v>1822</v>
      </c>
      <c r="E79" s="44" t="s">
        <v>643</v>
      </c>
      <c r="F79" s="98">
        <f>150-100</f>
        <v>50</v>
      </c>
      <c r="G79" s="21"/>
      <c r="H79" s="22">
        <f>81049/150*F79</f>
        <v>27016.333333333336</v>
      </c>
      <c r="I79" s="33">
        <v>0.55000000000000004</v>
      </c>
      <c r="J79" s="24">
        <f>IFERROR(K79/H79,"")</f>
        <v>0.60554849535466193</v>
      </c>
      <c r="K79" s="22">
        <v>16359.7</v>
      </c>
      <c r="L79" s="21">
        <v>17</v>
      </c>
      <c r="M79" s="21">
        <v>29</v>
      </c>
      <c r="N79" s="21">
        <v>4</v>
      </c>
      <c r="O79" s="21"/>
      <c r="P79" s="21"/>
      <c r="Q79" s="21"/>
      <c r="R79" s="21"/>
      <c r="S79" s="21"/>
      <c r="T79" s="21"/>
      <c r="U79" s="25">
        <v>190</v>
      </c>
      <c r="V79" s="25">
        <f>H79*U79*I79/15</f>
        <v>188213.78888888893</v>
      </c>
      <c r="W79" s="25">
        <v>214.68</v>
      </c>
      <c r="X79" s="25">
        <f>815581.12/199*F79</f>
        <v>204919.87939698494</v>
      </c>
      <c r="Y79" s="25">
        <f>F79*40</f>
        <v>2000</v>
      </c>
      <c r="Z79" s="25">
        <f>53990.96/150*F79</f>
        <v>17996.986666666668</v>
      </c>
      <c r="AA79" s="25">
        <v>0</v>
      </c>
      <c r="AB79" s="25">
        <v>1425</v>
      </c>
      <c r="AC79" s="25">
        <v>0</v>
      </c>
      <c r="AD79" s="25">
        <f>IF(F79="",G79*4.11,F79*4.11)</f>
        <v>205.50000000000003</v>
      </c>
      <c r="AE79" s="25">
        <f>1631.16/199*F79</f>
        <v>409.8391959798995</v>
      </c>
      <c r="AF79" s="25">
        <f>V79+Y79+Z79+AA79+AB79+AC79+AD79</f>
        <v>209841.27555555559</v>
      </c>
      <c r="AG79" s="25">
        <f>IFERROR(IFERROR((H79*W79*J79/15)-AE79,""),"")</f>
        <v>233730.18720402007</v>
      </c>
      <c r="AH79" s="26">
        <f>IFERROR(AG79-AF79,"")</f>
        <v>23888.911648464476</v>
      </c>
      <c r="AI79" s="6">
        <f>IF(F79="",(G79/$F$104)*$AL$29,(F79/$F$104)*$AL$29)</f>
        <v>107.18346595932802</v>
      </c>
      <c r="AJ79" s="6">
        <f>(AH79-AI79)*70%</f>
        <v>16647.209727753601</v>
      </c>
      <c r="AK79" s="6"/>
    </row>
    <row r="80" spans="1:37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477.77823296928955</v>
      </c>
    </row>
    <row r="81" spans="1:37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>
        <f>IFERROR(AH79/AG79,"")</f>
        <v>0.10220721565422849</v>
      </c>
    </row>
    <row r="82" spans="1:37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7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7" x14ac:dyDescent="0.35">
      <c r="A84" s="20">
        <v>45163</v>
      </c>
      <c r="B84" s="21" t="s">
        <v>632</v>
      </c>
      <c r="C84" s="21" t="s">
        <v>661</v>
      </c>
      <c r="D84" s="44">
        <v>1826</v>
      </c>
      <c r="E84" s="44" t="s">
        <v>643</v>
      </c>
      <c r="F84" s="98">
        <f>150-50</f>
        <v>100</v>
      </c>
      <c r="G84" s="21"/>
      <c r="H84" s="160">
        <v>53492.34</v>
      </c>
      <c r="I84" s="33">
        <v>0.55000000000000004</v>
      </c>
      <c r="J84" s="24">
        <f>IFERROR(K84/H84,"")</f>
        <v>0.55410924255697169</v>
      </c>
      <c r="K84" s="22">
        <v>29640.6</v>
      </c>
      <c r="L84" s="21">
        <v>35</v>
      </c>
      <c r="M84" s="21">
        <v>52</v>
      </c>
      <c r="N84" s="21">
        <v>12</v>
      </c>
      <c r="O84" s="21"/>
      <c r="P84" s="21"/>
      <c r="Q84" s="21"/>
      <c r="R84" s="21"/>
      <c r="S84" s="21"/>
      <c r="T84" s="21"/>
      <c r="U84" s="25">
        <v>190</v>
      </c>
      <c r="V84" s="25">
        <f>H84*U84*I84/15</f>
        <v>372663.30200000003</v>
      </c>
      <c r="W84" s="25">
        <v>208.35</v>
      </c>
      <c r="X84" s="25">
        <v>418236.21</v>
      </c>
      <c r="Y84" s="25">
        <f>F84*40</f>
        <v>4000</v>
      </c>
      <c r="Z84" s="25">
        <f>53990.96/150*F84</f>
        <v>35993.973333333335</v>
      </c>
      <c r="AA84" s="25">
        <v>0</v>
      </c>
      <c r="AB84" s="25">
        <v>2850</v>
      </c>
      <c r="AC84" s="25">
        <v>0</v>
      </c>
      <c r="AD84" s="25">
        <f>IF(F84="",G84*4.11,F84*4.11)</f>
        <v>411.00000000000006</v>
      </c>
      <c r="AE84" s="25">
        <v>836.47</v>
      </c>
      <c r="AF84" s="25">
        <f>V84+Y84+Z84+AA84+AB84+AC84+AD84</f>
        <v>415918.27533333335</v>
      </c>
      <c r="AG84" s="25">
        <f>IFERROR(IFERROR((H84*W84*J84/15)-AE84,""),"")</f>
        <v>410871.46399999998</v>
      </c>
      <c r="AH84" s="26">
        <f>IFERROR(AG84-AF84,"")</f>
        <v>-5046.8113333333749</v>
      </c>
      <c r="AI84" s="6">
        <f>IF(F84="",(G84/$F$104)*$AL$29,(F84/$F$104)*$AL$29)</f>
        <v>214.36693191865604</v>
      </c>
      <c r="AJ84" s="6">
        <f>(AH84-AI84)*70%</f>
        <v>-3682.824785676421</v>
      </c>
      <c r="AK84" s="6"/>
    </row>
    <row r="85" spans="1:37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-50.468113333333747</v>
      </c>
    </row>
    <row r="86" spans="1:37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>
        <f>IFERROR(AH84/AG84,"")</f>
        <v>-1.2283187749766373E-2</v>
      </c>
    </row>
    <row r="87" spans="1:37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7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7" x14ac:dyDescent="0.35">
      <c r="A89" s="20">
        <v>45164</v>
      </c>
      <c r="B89" s="21" t="s">
        <v>632</v>
      </c>
      <c r="C89" s="21" t="s">
        <v>662</v>
      </c>
      <c r="D89" s="157">
        <v>154774</v>
      </c>
      <c r="E89" s="44" t="s">
        <v>641</v>
      </c>
      <c r="F89" s="21">
        <v>100</v>
      </c>
      <c r="G89" s="21"/>
      <c r="H89" s="22">
        <v>55200</v>
      </c>
      <c r="I89" s="33">
        <v>0.55000000000000004</v>
      </c>
      <c r="J89" s="24">
        <f>IFERROR(K89/H89,"")</f>
        <v>0.56542572463768115</v>
      </c>
      <c r="K89" s="22">
        <v>31211.5</v>
      </c>
      <c r="L89" s="21">
        <v>5</v>
      </c>
      <c r="M89" s="21">
        <v>27</v>
      </c>
      <c r="N89" s="21">
        <v>59</v>
      </c>
      <c r="O89" s="21">
        <v>8</v>
      </c>
      <c r="P89" s="21">
        <v>1</v>
      </c>
      <c r="Q89" s="21"/>
      <c r="R89" s="21"/>
      <c r="S89" s="21"/>
      <c r="T89" s="21"/>
      <c r="U89" s="25">
        <v>185</v>
      </c>
      <c r="V89" s="25">
        <f>H89*U89*I89/15</f>
        <v>374440</v>
      </c>
      <c r="W89" s="25">
        <v>209.24</v>
      </c>
      <c r="X89" s="25">
        <v>435380.05</v>
      </c>
      <c r="Y89" s="25">
        <f>F89*40</f>
        <v>4000</v>
      </c>
      <c r="Z89" s="25">
        <v>33273.519999999997</v>
      </c>
      <c r="AA89" s="25">
        <v>0</v>
      </c>
      <c r="AB89" s="25">
        <v>2775</v>
      </c>
      <c r="AC89" s="25">
        <v>0</v>
      </c>
      <c r="AD89" s="25">
        <f>IF(F89="",G89*4.11,F89*4.11)</f>
        <v>411.00000000000006</v>
      </c>
      <c r="AE89" s="25">
        <v>870.76</v>
      </c>
      <c r="AF89" s="25">
        <f>V89+Y89+Z89+AA89+AB89+AC89+AD89</f>
        <v>414899.52</v>
      </c>
      <c r="AG89" s="25">
        <f>IFERROR(IFERROR((H89*W89*J89/15)-AE89,""),"")</f>
        <v>434508.85733333329</v>
      </c>
      <c r="AH89" s="26">
        <f>IFERROR(AG89-AF89,"")</f>
        <v>19609.337333333271</v>
      </c>
      <c r="AI89" s="6">
        <f>IF(F89="",(G89/$F$104)*$AL$29,(F89/$F$104)*$AL$29)</f>
        <v>214.36693191865604</v>
      </c>
      <c r="AJ89" s="6">
        <f>(AH89-AI89)*70%</f>
        <v>13576.47928099023</v>
      </c>
      <c r="AK89" s="6"/>
    </row>
    <row r="90" spans="1:37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196.09337333333272</v>
      </c>
    </row>
    <row r="91" spans="1:37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>
        <f>IFERROR(AH89/AG89,"")</f>
        <v>4.5129890915641277E-2</v>
      </c>
    </row>
    <row r="92" spans="1:37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</row>
    <row r="93" spans="1:37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7" x14ac:dyDescent="0.35">
      <c r="A94" s="20">
        <v>45164</v>
      </c>
      <c r="B94" s="21" t="s">
        <v>624</v>
      </c>
      <c r="C94" s="21" t="s">
        <v>663</v>
      </c>
      <c r="D94" s="44">
        <v>1822</v>
      </c>
      <c r="E94" s="44" t="s">
        <v>643</v>
      </c>
      <c r="F94" s="21">
        <v>49</v>
      </c>
      <c r="G94" s="21"/>
      <c r="H94" s="22">
        <v>22450</v>
      </c>
      <c r="I94" s="33">
        <v>0.52</v>
      </c>
      <c r="J94" s="24">
        <f>IFERROR(K94/H94,"")</f>
        <v>0.52590200445434299</v>
      </c>
      <c r="K94" s="22">
        <v>11806.5</v>
      </c>
      <c r="L94" s="21">
        <v>9</v>
      </c>
      <c r="M94" s="21">
        <v>26</v>
      </c>
      <c r="N94" s="21">
        <v>14</v>
      </c>
      <c r="O94" s="21"/>
      <c r="P94" s="21"/>
      <c r="Q94" s="21"/>
      <c r="R94" s="21"/>
      <c r="S94" s="21"/>
      <c r="T94" s="21"/>
      <c r="U94" s="25">
        <v>210</v>
      </c>
      <c r="V94" s="25">
        <f>H94*U94*I94/15</f>
        <v>163436</v>
      </c>
      <c r="W94" s="25">
        <v>214.68</v>
      </c>
      <c r="X94" s="25">
        <f>815581.12/199*F94</f>
        <v>200821.48180904522</v>
      </c>
      <c r="Y94" s="25">
        <v>0</v>
      </c>
      <c r="Z94" s="25">
        <v>967</v>
      </c>
      <c r="AA94" s="25">
        <v>0</v>
      </c>
      <c r="AB94" s="25">
        <v>1029</v>
      </c>
      <c r="AC94" s="25">
        <v>0</v>
      </c>
      <c r="AD94" s="25">
        <f>IF(F94="",G94*4.11,F94*4.11)</f>
        <v>201.39000000000001</v>
      </c>
      <c r="AE94" s="25">
        <f>1631.16/199*F94</f>
        <v>401.64241206030152</v>
      </c>
      <c r="AF94" s="25">
        <f>V94+Y94+Z94+AA94+AB94+AC94+AD94</f>
        <v>165633.39000000001</v>
      </c>
      <c r="AG94" s="25">
        <f>IFERROR(IFERROR((H94*W94*J94/15)-AE94,""),"")</f>
        <v>168572.98558793971</v>
      </c>
      <c r="AH94" s="26">
        <f>IFERROR(AG94-AF94,"")</f>
        <v>2939.5955879396934</v>
      </c>
      <c r="AI94" s="6">
        <f>IF(F94="",(G94/$F$104)*$AL$29,(F94/$F$104)*$AL$29)</f>
        <v>105.03979664014146</v>
      </c>
      <c r="AJ94" s="6">
        <f>(AH94-AI94)*70%</f>
        <v>1984.1890539096862</v>
      </c>
      <c r="AK94" s="6"/>
    </row>
    <row r="95" spans="1:37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59.991746692646807</v>
      </c>
    </row>
    <row r="96" spans="1:37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1.743811784365764E-2</v>
      </c>
    </row>
    <row r="97" spans="1:37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7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7" x14ac:dyDescent="0.35">
      <c r="A99" s="20">
        <v>45164</v>
      </c>
      <c r="B99" s="21" t="s">
        <v>632</v>
      </c>
      <c r="C99" s="21" t="s">
        <v>665</v>
      </c>
      <c r="D99" s="44">
        <v>1873426</v>
      </c>
      <c r="E99" s="44" t="s">
        <v>652</v>
      </c>
      <c r="F99" s="21">
        <v>200</v>
      </c>
      <c r="G99" s="21"/>
      <c r="H99" s="22">
        <v>107063</v>
      </c>
      <c r="I99" s="33">
        <v>0.55000000000000004</v>
      </c>
      <c r="J99" s="24">
        <f>IFERROR(K99/H99,"")</f>
        <v>0.55366466473011222</v>
      </c>
      <c r="K99" s="22">
        <v>59277</v>
      </c>
      <c r="L99" s="21">
        <v>137</v>
      </c>
      <c r="M99" s="21">
        <v>59</v>
      </c>
      <c r="N99" s="21">
        <v>3</v>
      </c>
      <c r="O99" s="21">
        <v>1</v>
      </c>
      <c r="P99" s="21"/>
      <c r="Q99" s="21"/>
      <c r="R99" s="21"/>
      <c r="S99" s="21"/>
      <c r="T99" s="21"/>
      <c r="U99" s="25">
        <v>190</v>
      </c>
      <c r="V99" s="25">
        <f>H99*U99*I99/15</f>
        <v>745872.23333333328</v>
      </c>
      <c r="W99" s="25">
        <v>208.27</v>
      </c>
      <c r="X99" s="25">
        <v>823049.63</v>
      </c>
      <c r="Y99" s="25">
        <f>(G99*40)+(F99*40)</f>
        <v>8000</v>
      </c>
      <c r="Z99" s="25">
        <v>99944.06</v>
      </c>
      <c r="AA99" s="25">
        <v>0</v>
      </c>
      <c r="AB99" s="25">
        <v>3800</v>
      </c>
      <c r="AC99" s="25">
        <v>0</v>
      </c>
      <c r="AD99" s="25">
        <f>IF(F99="",G99*4.11,F99*4.11)</f>
        <v>822.00000000000011</v>
      </c>
      <c r="AE99" s="25">
        <v>1646.1</v>
      </c>
      <c r="AF99" s="25">
        <f>V99+Y99+Z99+AA99+AB99+AC99+AD99</f>
        <v>858438.29333333322</v>
      </c>
      <c r="AG99" s="25">
        <f>IFERROR(IFERROR((H99*W99*J99/15)-AE99,""),"")</f>
        <v>821395.2860000002</v>
      </c>
      <c r="AH99" s="26">
        <f>IFERROR(AG99-AF99,"")</f>
        <v>-37043.007333333022</v>
      </c>
      <c r="AI99" s="6">
        <f>IF(F99="",(G99/$F$104)*$AL$29,(F99/$F$104)*$AL$29)</f>
        <v>428.73386383731207</v>
      </c>
      <c r="AJ99" s="6">
        <f>(AH99-AI99)*70%</f>
        <v>-26230.218838019231</v>
      </c>
      <c r="AK99" s="6"/>
    </row>
    <row r="100" spans="1:37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-185.2150366666651</v>
      </c>
    </row>
    <row r="101" spans="1:37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>
        <f>IFERROR(AH99/AG99,"")</f>
        <v>-4.5097662434518786E-2</v>
      </c>
    </row>
    <row r="102" spans="1:37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7" ht="15" thickBot="1" x14ac:dyDescent="0.4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47"/>
    </row>
    <row r="104" spans="1:37" ht="16" thickBot="1" x14ac:dyDescent="0.4">
      <c r="A104" s="377" t="s">
        <v>654</v>
      </c>
      <c r="B104" s="378"/>
      <c r="C104" s="378"/>
      <c r="D104" s="378"/>
      <c r="E104" s="378"/>
      <c r="F104" s="163">
        <f>SUM(F4:G99)</f>
        <v>2262</v>
      </c>
      <c r="G104" s="163"/>
      <c r="H104" s="30"/>
      <c r="I104" s="30"/>
      <c r="J104" s="30"/>
      <c r="K104" s="30"/>
      <c r="L104" s="46"/>
      <c r="M104" s="46"/>
      <c r="N104" s="46"/>
      <c r="O104" s="46"/>
      <c r="P104" s="46"/>
      <c r="Q104" s="46"/>
      <c r="R104" s="46"/>
      <c r="S104" s="46"/>
      <c r="T104" s="46"/>
      <c r="U104" s="30"/>
      <c r="V104" s="31">
        <f>SUM(V4:V103)</f>
        <v>8659121.7388888896</v>
      </c>
      <c r="W104" s="31">
        <f>SUM(W4:W103)</f>
        <v>4330.6500000000005</v>
      </c>
      <c r="X104" s="31"/>
      <c r="Y104" s="31">
        <f t="shared" ref="Y104:AJ104" si="0">SUM(Y4:Y103)</f>
        <v>90920</v>
      </c>
      <c r="Z104" s="31">
        <f t="shared" si="0"/>
        <v>782326.83000000007</v>
      </c>
      <c r="AA104" s="31">
        <f t="shared" si="0"/>
        <v>0</v>
      </c>
      <c r="AB104" s="31">
        <f t="shared" si="0"/>
        <v>55894.75</v>
      </c>
      <c r="AC104" s="31">
        <f t="shared" si="0"/>
        <v>9500</v>
      </c>
      <c r="AD104" s="31">
        <f t="shared" si="0"/>
        <v>9296.82</v>
      </c>
      <c r="AE104" s="31">
        <f t="shared" si="0"/>
        <v>19737.728339999994</v>
      </c>
      <c r="AF104" s="31">
        <f t="shared" si="0"/>
        <v>9607060.1388888899</v>
      </c>
      <c r="AG104" s="161">
        <f t="shared" si="0"/>
        <v>9842582.1045399997</v>
      </c>
      <c r="AH104" s="165">
        <f>AH4+AH9+AH14+AH24+AH29+AH34+AH39+AH44+AH49+AH19+AH74+AH79+AH54+AH59+AH64+AH69+AH89+AH94+AH84+AH99</f>
        <v>235521.96565111121</v>
      </c>
      <c r="AI104" s="161">
        <f>SUM(AI4:AI99)</f>
        <v>4848.9799999999987</v>
      </c>
      <c r="AJ104" s="161">
        <f t="shared" si="0"/>
        <v>161471.08995577777</v>
      </c>
    </row>
    <row r="105" spans="1:37" x14ac:dyDescent="0.35">
      <c r="AI105" s="6"/>
      <c r="AJ105" s="6"/>
      <c r="AK105" s="6"/>
    </row>
    <row r="106" spans="1:37" x14ac:dyDescent="0.35">
      <c r="V106" s="6"/>
      <c r="Y106" s="6"/>
      <c r="Z106" s="6"/>
      <c r="AA106" s="6"/>
      <c r="AB106" s="6"/>
      <c r="AC106" s="6"/>
      <c r="AD106" s="6"/>
      <c r="AE106" s="6"/>
      <c r="AF106" s="6"/>
      <c r="AG106" s="6"/>
    </row>
  </sheetData>
  <mergeCells count="2">
    <mergeCell ref="U2:AC2"/>
    <mergeCell ref="A104:E10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30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193" customWidth="1"/>
    <col min="38" max="38" width="16.453125" customWidth="1"/>
    <col min="39" max="39" width="18" customWidth="1"/>
    <col min="40" max="40" width="13.1796875" bestFit="1" customWidth="1"/>
    <col min="41" max="41" width="13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94" t="s">
        <v>679</v>
      </c>
      <c r="AJ3" s="194" t="s">
        <v>678</v>
      </c>
      <c r="AL3" s="164">
        <f>AF128</f>
        <v>3556256.0300000007</v>
      </c>
      <c r="AM3" s="164">
        <f>AH128-AI128</f>
        <v>-69732.937673333756</v>
      </c>
    </row>
    <row r="4" spans="1:40" x14ac:dyDescent="0.35">
      <c r="A4" s="20">
        <v>45166</v>
      </c>
      <c r="B4" s="21" t="s">
        <v>632</v>
      </c>
      <c r="C4" s="21" t="s">
        <v>661</v>
      </c>
      <c r="D4" s="157">
        <v>154775</v>
      </c>
      <c r="E4" s="44" t="s">
        <v>641</v>
      </c>
      <c r="F4" s="21">
        <v>150</v>
      </c>
      <c r="G4" s="21"/>
      <c r="H4" s="22">
        <v>80063</v>
      </c>
      <c r="I4" s="33">
        <v>0.55000000000000004</v>
      </c>
      <c r="J4" s="24">
        <f>IFERROR(K4/H4,"")</f>
        <v>0.57388556511747002</v>
      </c>
      <c r="K4" s="22">
        <v>45947</v>
      </c>
      <c r="L4" s="21">
        <v>67</v>
      </c>
      <c r="M4" s="21">
        <v>76</v>
      </c>
      <c r="N4" s="21">
        <v>7</v>
      </c>
      <c r="O4" s="21"/>
      <c r="P4" s="21"/>
      <c r="Q4" s="21"/>
      <c r="R4" s="21"/>
      <c r="S4" s="21"/>
      <c r="T4" s="21"/>
      <c r="U4" s="25">
        <v>190</v>
      </c>
      <c r="V4" s="25">
        <f>H4*U4*I4/15</f>
        <v>557772.2333333334</v>
      </c>
      <c r="W4" s="25">
        <v>206.27</v>
      </c>
      <c r="X4" s="25">
        <v>631832.51</v>
      </c>
      <c r="Y4" s="25">
        <f>(G4*40)+(F4*40)</f>
        <v>6000</v>
      </c>
      <c r="Z4" s="25">
        <v>53083.21</v>
      </c>
      <c r="AA4" s="25">
        <v>0</v>
      </c>
      <c r="AB4" s="25">
        <v>4275</v>
      </c>
      <c r="AC4" s="25">
        <v>0</v>
      </c>
      <c r="AD4" s="25">
        <f>IF(F4="",G4*4.11,F4*4.11)</f>
        <v>616.5</v>
      </c>
      <c r="AE4" s="25">
        <v>1263.6600000000001</v>
      </c>
      <c r="AF4" s="25">
        <f>V4+Y4+Z4+AA4+AB4+AC4+AD4</f>
        <v>621746.94333333336</v>
      </c>
      <c r="AG4" s="25">
        <f>IFERROR(IFERROR((H4*W4*J4/15)-AE4,""),"")</f>
        <v>630568.85266666673</v>
      </c>
      <c r="AH4" s="26">
        <f>IFERROR(AG4-AF4,0)</f>
        <v>8821.9093333333731</v>
      </c>
      <c r="AI4" s="6">
        <f>IF(F4="",(G4/$F$128)*$AL$25,(F4/$F$128)*$AL$25)</f>
        <v>1020.4835294117647</v>
      </c>
      <c r="AJ4" s="193">
        <f>(AH4-AI4)*70%</f>
        <v>5460.9980627451259</v>
      </c>
      <c r="AL4" s="166" t="s">
        <v>749</v>
      </c>
      <c r="AM4" s="167">
        <f>AM3/AL3</f>
        <v>-1.9608525675620082E-2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58.812728888889154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1.3990398187328225E-2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94" t="s">
        <v>679</v>
      </c>
      <c r="AJ8" s="194" t="s">
        <v>678</v>
      </c>
      <c r="AM8" s="63"/>
    </row>
    <row r="9" spans="1:40" x14ac:dyDescent="0.35">
      <c r="A9" s="20">
        <v>45166</v>
      </c>
      <c r="B9" s="21" t="s">
        <v>632</v>
      </c>
      <c r="C9" s="21" t="s">
        <v>661</v>
      </c>
      <c r="D9" s="44">
        <v>1874256</v>
      </c>
      <c r="E9" s="44" t="s">
        <v>652</v>
      </c>
      <c r="F9" s="21">
        <v>300</v>
      </c>
      <c r="G9" s="21"/>
      <c r="H9" s="22">
        <v>159084</v>
      </c>
      <c r="I9" s="33">
        <v>0.55000000000000004</v>
      </c>
      <c r="J9" s="24">
        <f>IFERROR(K9/H9,"")</f>
        <v>0.55769423700686427</v>
      </c>
      <c r="K9" s="22">
        <v>88720.23</v>
      </c>
      <c r="L9" s="21">
        <v>163</v>
      </c>
      <c r="M9" s="21">
        <v>129</v>
      </c>
      <c r="N9" s="21">
        <v>6</v>
      </c>
      <c r="O9" s="21">
        <v>1</v>
      </c>
      <c r="P9" s="21">
        <v>1</v>
      </c>
      <c r="Q9" s="21"/>
      <c r="R9" s="21"/>
      <c r="S9" s="21"/>
      <c r="T9" s="21"/>
      <c r="U9" s="25">
        <v>190</v>
      </c>
      <c r="V9" s="25">
        <f>H9*U9*I9/15</f>
        <v>1108285.2000000002</v>
      </c>
      <c r="W9" s="25">
        <v>208.13</v>
      </c>
      <c r="X9" s="25">
        <v>1231044.5900000001</v>
      </c>
      <c r="Y9" s="25">
        <f>(G9*40)+(F9*40)</f>
        <v>12000</v>
      </c>
      <c r="Z9" s="25">
        <v>106256.86</v>
      </c>
      <c r="AA9" s="25">
        <v>0</v>
      </c>
      <c r="AB9" s="25">
        <v>8550</v>
      </c>
      <c r="AC9" s="25">
        <v>0</v>
      </c>
      <c r="AD9" s="25">
        <f>IF(F9="",G9*4.11,F9*4.11)</f>
        <v>1233</v>
      </c>
      <c r="AE9" s="25">
        <v>2462.09</v>
      </c>
      <c r="AF9" s="25">
        <f>V9+Y9+Z9+AA9+AB9+AC9+AD9</f>
        <v>1236325.0600000003</v>
      </c>
      <c r="AG9" s="25">
        <f>IFERROR(IFERROR((H9*W9*J9/15)-AE9,""),"")</f>
        <v>1228560.6746599998</v>
      </c>
      <c r="AH9" s="26">
        <f>IFERROR(AG9-AF9,0)</f>
        <v>-7764.3853400005028</v>
      </c>
      <c r="AI9" s="6">
        <f>IF(F9="",(G9/$F$128)*$AL$25,(F9/$F$128)*$AL$25)</f>
        <v>2040.9670588235294</v>
      </c>
      <c r="AJ9" s="193">
        <f>(AH9-AI9)*70%</f>
        <v>-6863.746679176822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-25.881284466668344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-6.3199038518380636E-3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94" t="s">
        <v>679</v>
      </c>
      <c r="AJ13" s="194" t="s">
        <v>678</v>
      </c>
    </row>
    <row r="14" spans="1:40" x14ac:dyDescent="0.35">
      <c r="A14" s="20">
        <v>45167</v>
      </c>
      <c r="B14" s="21" t="s">
        <v>632</v>
      </c>
      <c r="C14" s="21" t="s">
        <v>666</v>
      </c>
      <c r="D14" s="44">
        <v>1826</v>
      </c>
      <c r="E14" s="44" t="s">
        <v>643</v>
      </c>
      <c r="F14" s="21">
        <v>100</v>
      </c>
      <c r="G14" s="21"/>
      <c r="H14" s="22">
        <v>57560</v>
      </c>
      <c r="I14" s="33">
        <v>0.55000000000000004</v>
      </c>
      <c r="J14" s="24">
        <f>IFERROR(K14/H14,"")</f>
        <v>0.53654447533009031</v>
      </c>
      <c r="K14" s="22">
        <v>30883.5</v>
      </c>
      <c r="L14" s="21">
        <v>19</v>
      </c>
      <c r="M14" s="21">
        <v>45</v>
      </c>
      <c r="N14" s="21">
        <v>35</v>
      </c>
      <c r="O14" s="21">
        <v>1</v>
      </c>
      <c r="P14" s="21"/>
      <c r="Q14" s="21"/>
      <c r="R14" s="21"/>
      <c r="S14" s="21"/>
      <c r="T14" s="21"/>
      <c r="U14" s="25">
        <v>190</v>
      </c>
      <c r="V14" s="25">
        <f>H14*U14*I14/15</f>
        <v>401001.33333333337</v>
      </c>
      <c r="W14" s="25">
        <v>208.35</v>
      </c>
      <c r="X14" s="25">
        <v>422460.82</v>
      </c>
      <c r="Y14" s="25">
        <f>(G14*40)+(F14*40)</f>
        <v>4000</v>
      </c>
      <c r="Z14" s="25">
        <v>46239.18</v>
      </c>
      <c r="AA14" s="25">
        <v>0</v>
      </c>
      <c r="AB14" s="25">
        <v>2850</v>
      </c>
      <c r="AC14" s="25">
        <v>0</v>
      </c>
      <c r="AD14" s="25">
        <f>IF(F14="",G14*4.11,F14*4.11)</f>
        <v>411.00000000000006</v>
      </c>
      <c r="AE14" s="25">
        <v>844.92</v>
      </c>
      <c r="AF14" s="25">
        <f>V14+Y14+Z14+AA14+AB14+AC14+AD14</f>
        <v>454501.51333333337</v>
      </c>
      <c r="AG14" s="25">
        <f>IFERROR(IFERROR((H14*W14*J14/15)-AE14,""),"")</f>
        <v>428126.89500000002</v>
      </c>
      <c r="AH14" s="26">
        <f>IFERROR(AG14-AF14,0)</f>
        <v>-26374.618333333347</v>
      </c>
      <c r="AI14" s="6">
        <f>IF(F14="",(G14/$F$128)*$AL$25,(F14/$F$128)*$AL$25)</f>
        <v>680.3223529411764</v>
      </c>
      <c r="AJ14" s="193">
        <f>(AH14-AI14)*70%</f>
        <v>-18938.458480392164</v>
      </c>
      <c r="AL14">
        <f>F4+G4+F9+G9+F14+G14+F19+G19+F24+G24+F29+G29+F34+G34+F39+G39+F44+G44+F49+G49+F59+G59+F64+G64+F54+G54+F69+G69+F74+G74+F79+G79+F84+G84+F89+G89+F94+G94+F99+G99+F104+G104+F109+G109+F114+G114+F119+G119+F124+G124</f>
        <v>850</v>
      </c>
      <c r="AM14" s="50" t="s">
        <v>22</v>
      </c>
      <c r="AN14" t="s">
        <v>71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-263.74618333333348</v>
      </c>
      <c r="AL15" s="11">
        <f>AH4+AH9+AH14+AH19+AH24+AH29+AH34+AH39+AH44+AH49+AH59+AH64+AH69+AH54+AH74+AH79+AH84+AH89+AH94+AH99+AH104+AH109+AH114+AH119+AH124</f>
        <v>-63950.197673333751</v>
      </c>
      <c r="AM15" s="11">
        <f>AL15*30%</f>
        <v>-19185.059302000125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-6.1604675252493413E-2</v>
      </c>
      <c r="AL16" s="11"/>
      <c r="AM16" s="11"/>
    </row>
    <row r="17" spans="1:4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94" t="s">
        <v>679</v>
      </c>
      <c r="AJ18" s="194" t="s">
        <v>678</v>
      </c>
      <c r="AL18" s="180" t="s">
        <v>187</v>
      </c>
      <c r="AM18" s="181" t="s">
        <v>680</v>
      </c>
      <c r="AN18" s="181"/>
      <c r="AO18" s="182"/>
    </row>
    <row r="19" spans="1:41" x14ac:dyDescent="0.35">
      <c r="A19" s="20">
        <v>45167</v>
      </c>
      <c r="B19" s="21" t="s">
        <v>632</v>
      </c>
      <c r="C19" s="21" t="s">
        <v>666</v>
      </c>
      <c r="D19" s="44">
        <v>1874279</v>
      </c>
      <c r="E19" s="44" t="s">
        <v>652</v>
      </c>
      <c r="F19" s="21">
        <v>100</v>
      </c>
      <c r="G19" s="21"/>
      <c r="H19" s="22">
        <v>55880</v>
      </c>
      <c r="I19" s="33">
        <v>0.55000000000000004</v>
      </c>
      <c r="J19" s="24">
        <f>IFERROR(K19/H19,"")</f>
        <v>0.54629563350035792</v>
      </c>
      <c r="K19" s="22">
        <f>30527</f>
        <v>30527</v>
      </c>
      <c r="L19" s="21">
        <v>30</v>
      </c>
      <c r="M19" s="21">
        <v>25</v>
      </c>
      <c r="N19" s="21">
        <v>33</v>
      </c>
      <c r="O19" s="21">
        <v>10</v>
      </c>
      <c r="P19" s="21">
        <v>2</v>
      </c>
      <c r="Q19" s="21"/>
      <c r="R19" s="21"/>
      <c r="S19" s="21"/>
      <c r="T19" s="21"/>
      <c r="U19" s="25">
        <v>190</v>
      </c>
      <c r="V19" s="25">
        <f>H19*U19*I19/15</f>
        <v>389297.33333333337</v>
      </c>
      <c r="W19" s="25">
        <v>206.46</v>
      </c>
      <c r="X19" s="25">
        <f>814960.57/200*F19</f>
        <v>407480.28499999997</v>
      </c>
      <c r="Y19" s="25">
        <f>(G14*40)+(F14*40)</f>
        <v>4000</v>
      </c>
      <c r="Z19" s="25">
        <v>44154.87</v>
      </c>
      <c r="AA19" s="25">
        <v>0</v>
      </c>
      <c r="AB19" s="25">
        <v>2850</v>
      </c>
      <c r="AC19" s="25">
        <v>0</v>
      </c>
      <c r="AD19" s="25">
        <f>IF(F19="",G19*4.11,F19*4.11)</f>
        <v>411.00000000000006</v>
      </c>
      <c r="AE19" s="25">
        <f>1629.92/200*F19</f>
        <v>814.95999999999992</v>
      </c>
      <c r="AF19" s="25">
        <f>V19+Y19+Z19+AA19+AB19+AC19+AD19</f>
        <v>440713.20333333337</v>
      </c>
      <c r="AG19" s="25">
        <f>IFERROR(IFERROR((H19*W19*J19/15)-AE19,""),"")</f>
        <v>419358.66800000006</v>
      </c>
      <c r="AH19" s="26">
        <f>IFERROR(AG19-AF19,0)</f>
        <v>-21354.535333333304</v>
      </c>
      <c r="AI19" s="6">
        <f>IF(F19="",(G19/$F$128)*$AL$25,(F19/$F$128)*$AL$25)</f>
        <v>680.3223529411764</v>
      </c>
      <c r="AJ19" s="193">
        <f>(AH19-AI19)*70%</f>
        <v>-15424.400380392135</v>
      </c>
      <c r="AL19" s="178">
        <v>630</v>
      </c>
      <c r="AM19" s="6" t="s">
        <v>668</v>
      </c>
      <c r="AO19" s="174"/>
    </row>
    <row r="20" spans="1:4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-213.54535333333305</v>
      </c>
      <c r="AL20" s="178">
        <v>236.08</v>
      </c>
      <c r="AM20" s="6" t="s">
        <v>669</v>
      </c>
      <c r="AO20" s="174"/>
    </row>
    <row r="21" spans="1:41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-5.0921888499830176E-2</v>
      </c>
      <c r="AL21" s="178">
        <v>4316.66</v>
      </c>
      <c r="AM21" s="6" t="s">
        <v>670</v>
      </c>
      <c r="AO21" s="174"/>
    </row>
    <row r="22" spans="1:41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3"/>
      <c r="AA22" s="21"/>
      <c r="AB22" s="21"/>
      <c r="AC22" s="21"/>
      <c r="AD22" s="21"/>
      <c r="AE22" s="21"/>
      <c r="AF22" s="21"/>
      <c r="AG22" s="21"/>
      <c r="AH22" s="24"/>
      <c r="AL22" s="178">
        <v>600</v>
      </c>
      <c r="AM22" s="6" t="s">
        <v>386</v>
      </c>
      <c r="AO22" s="174"/>
    </row>
    <row r="23" spans="1:4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94" t="s">
        <v>679</v>
      </c>
      <c r="AJ23" s="194" t="s">
        <v>678</v>
      </c>
      <c r="AL23" s="178"/>
      <c r="AM23" s="6"/>
      <c r="AO23" s="174"/>
    </row>
    <row r="24" spans="1:41" x14ac:dyDescent="0.35">
      <c r="A24" s="20">
        <v>45167</v>
      </c>
      <c r="B24" s="21" t="s">
        <v>632</v>
      </c>
      <c r="C24" s="21" t="s">
        <v>661</v>
      </c>
      <c r="D24" s="44">
        <v>1874279</v>
      </c>
      <c r="E24" s="44" t="s">
        <v>652</v>
      </c>
      <c r="F24" s="21">
        <f>200-100</f>
        <v>100</v>
      </c>
      <c r="G24" s="21"/>
      <c r="H24" s="22">
        <f>104820/200*F24</f>
        <v>52410</v>
      </c>
      <c r="I24" s="33">
        <v>0.54</v>
      </c>
      <c r="J24" s="24">
        <f>IFERROR(K24/H24,"")</f>
        <v>0.54730013356229723</v>
      </c>
      <c r="K24" s="22">
        <f>28684</f>
        <v>28684</v>
      </c>
      <c r="L24" s="21">
        <v>59</v>
      </c>
      <c r="M24" s="21">
        <v>35</v>
      </c>
      <c r="N24" s="21">
        <v>6</v>
      </c>
      <c r="O24" s="21"/>
      <c r="P24" s="21"/>
      <c r="Q24" s="21"/>
      <c r="R24" s="21"/>
      <c r="S24" s="21"/>
      <c r="T24" s="21"/>
      <c r="U24" s="25">
        <v>190</v>
      </c>
      <c r="V24" s="25">
        <f>H24*U24*I24/15</f>
        <v>358484.4</v>
      </c>
      <c r="W24" s="25">
        <v>206.46</v>
      </c>
      <c r="X24" s="25">
        <f>814960.57/200*F24</f>
        <v>407480.28499999997</v>
      </c>
      <c r="Y24" s="25">
        <f>(G19*40)+(F19*40)</f>
        <v>4000</v>
      </c>
      <c r="Z24" s="25">
        <v>35442.93</v>
      </c>
      <c r="AA24" s="25">
        <v>0</v>
      </c>
      <c r="AB24" s="25">
        <v>2850</v>
      </c>
      <c r="AC24" s="25">
        <f>F24*0</f>
        <v>0</v>
      </c>
      <c r="AD24" s="25">
        <f>IF(F24="",G24*4.11,F24*4.11)</f>
        <v>411.00000000000006</v>
      </c>
      <c r="AE24" s="25">
        <f>1629.92/200*F24</f>
        <v>814.95999999999992</v>
      </c>
      <c r="AF24" s="25">
        <f>V24+Y24+Z24+AA24+AB24+AC24+AD24</f>
        <v>401188.33</v>
      </c>
      <c r="AG24" s="25">
        <f>IFERROR(IFERROR((H24*W24*J24/15)-AE24,""),"")</f>
        <v>393991.61599999998</v>
      </c>
      <c r="AH24" s="26">
        <f>IFERROR(AG24-AF24,0)</f>
        <v>-7196.7140000000363</v>
      </c>
      <c r="AI24" s="6">
        <f>IF(F24="",(G24/$F$128)*$AL$25,(F24/$F$128)*$AL$25)</f>
        <v>680.3223529411764</v>
      </c>
      <c r="AJ24" s="193">
        <f>(AH24-AI24)*70%</f>
        <v>-5513.9254470588485</v>
      </c>
      <c r="AL24" s="178"/>
      <c r="AM24" s="6"/>
      <c r="AO24" s="174"/>
    </row>
    <row r="25" spans="1:4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-71.96714000000037</v>
      </c>
      <c r="AL25" s="214">
        <f>SUM(AL19:AL24)</f>
        <v>5782.74</v>
      </c>
      <c r="AM25" s="189" t="s">
        <v>682</v>
      </c>
      <c r="AN25" s="190"/>
      <c r="AO25" s="191"/>
    </row>
    <row r="26" spans="1:4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-1.8266160262659082E-2</v>
      </c>
      <c r="AL26" s="57"/>
      <c r="AM26" s="6"/>
    </row>
    <row r="27" spans="1:41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I27" s="194"/>
      <c r="AJ27" s="194"/>
      <c r="AL27" s="57"/>
    </row>
    <row r="28" spans="1:4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94" t="s">
        <v>679</v>
      </c>
      <c r="AJ28" s="194" t="s">
        <v>678</v>
      </c>
      <c r="AM28" s="118" t="s">
        <v>22</v>
      </c>
    </row>
    <row r="29" spans="1:41" x14ac:dyDescent="0.35">
      <c r="A29" s="20">
        <v>45167</v>
      </c>
      <c r="B29" s="21" t="s">
        <v>632</v>
      </c>
      <c r="C29" s="21" t="s">
        <v>661</v>
      </c>
      <c r="D29" s="44">
        <v>1875168</v>
      </c>
      <c r="E29" s="44" t="s">
        <v>652</v>
      </c>
      <c r="F29" s="21">
        <f>200-100</f>
        <v>100</v>
      </c>
      <c r="G29" s="21"/>
      <c r="H29" s="22">
        <f>104820/200*F29</f>
        <v>52410</v>
      </c>
      <c r="I29" s="33">
        <v>0.54</v>
      </c>
      <c r="J29" s="24">
        <f>IFERROR(K29/H29,"")</f>
        <v>0.54171913756916623</v>
      </c>
      <c r="K29" s="22">
        <v>28391.5</v>
      </c>
      <c r="L29" s="21">
        <v>47</v>
      </c>
      <c r="M29" s="21">
        <v>46</v>
      </c>
      <c r="N29" s="21">
        <v>5</v>
      </c>
      <c r="O29" s="21">
        <v>1</v>
      </c>
      <c r="P29" s="21">
        <v>1</v>
      </c>
      <c r="Q29" s="21"/>
      <c r="R29" s="21"/>
      <c r="S29" s="21"/>
      <c r="T29" s="21"/>
      <c r="U29" s="25">
        <v>190</v>
      </c>
      <c r="V29" s="25">
        <f>H29*U29*I29/15</f>
        <v>358484.4</v>
      </c>
      <c r="W29" s="25">
        <v>207.36</v>
      </c>
      <c r="X29" s="25">
        <v>392485.96</v>
      </c>
      <c r="Y29" s="25">
        <f>(G24*40)+(F24*40)</f>
        <v>4000</v>
      </c>
      <c r="Z29" s="25">
        <v>36035.58</v>
      </c>
      <c r="AA29" s="25">
        <v>0</v>
      </c>
      <c r="AB29" s="25">
        <v>2850</v>
      </c>
      <c r="AC29" s="25">
        <f>F29*0</f>
        <v>0</v>
      </c>
      <c r="AD29" s="25">
        <f>IF(F29="",G29*4.11,F29*4.11)</f>
        <v>411.00000000000006</v>
      </c>
      <c r="AE29" s="25">
        <v>784.97</v>
      </c>
      <c r="AF29" s="25">
        <f>V29+Y29+Z29+AA29+AB29+AC29+AD29</f>
        <v>401780.98000000004</v>
      </c>
      <c r="AG29" s="25">
        <f>IFERROR(IFERROR((H29*W29*J29/15)-AE29,""),"")</f>
        <v>391699.12600000011</v>
      </c>
      <c r="AH29" s="26">
        <f>IFERROR(AG29-AF29,0)</f>
        <v>-10081.853999999934</v>
      </c>
      <c r="AI29" s="6">
        <f>IF(F29="",(G29/$F$128)*$AL$25,(F29/$F$128)*$AL$25)</f>
        <v>680.3223529411764</v>
      </c>
      <c r="AJ29" s="193">
        <f>(AH29-AI29)*70%</f>
        <v>-7533.5234470587775</v>
      </c>
      <c r="AL29" s="11">
        <f>AL15-AL25</f>
        <v>-69732.937673333756</v>
      </c>
      <c r="AM29" s="11">
        <f>AL29*30%</f>
        <v>-20919.881302000125</v>
      </c>
      <c r="AN29" s="2"/>
    </row>
    <row r="30" spans="1:4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-100.81853999999935</v>
      </c>
      <c r="AL30" s="57"/>
    </row>
    <row r="31" spans="1:4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-2.5738770731900819E-2</v>
      </c>
    </row>
    <row r="32" spans="1:4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94" t="s">
        <v>679</v>
      </c>
      <c r="AJ33" s="194" t="s">
        <v>678</v>
      </c>
    </row>
    <row r="34" spans="1:36" x14ac:dyDescent="0.35">
      <c r="A34" s="20"/>
      <c r="B34" s="21"/>
      <c r="C34" s="21"/>
      <c r="D34" s="44"/>
      <c r="E34" s="44"/>
      <c r="F34" s="21"/>
      <c r="G34" s="21"/>
      <c r="H34" s="22">
        <v>0</v>
      </c>
      <c r="I34" s="33">
        <v>0</v>
      </c>
      <c r="J34" s="24" t="str">
        <f>IFERROR(K34/H34,"")</f>
        <v/>
      </c>
      <c r="K34" s="22">
        <v>0</v>
      </c>
      <c r="L34" s="21"/>
      <c r="M34" s="21"/>
      <c r="N34" s="21"/>
      <c r="O34" s="21"/>
      <c r="P34" s="21"/>
      <c r="Q34" s="21"/>
      <c r="R34" s="21"/>
      <c r="S34" s="21"/>
      <c r="T34" s="21"/>
      <c r="U34" s="25">
        <v>0</v>
      </c>
      <c r="V34" s="25">
        <f>H34*U34*I34/15</f>
        <v>0</v>
      </c>
      <c r="W34" s="25">
        <v>0</v>
      </c>
      <c r="X34" s="25">
        <v>0</v>
      </c>
      <c r="Y34" s="25">
        <f>F34*40</f>
        <v>0</v>
      </c>
      <c r="Z34" s="25">
        <v>0</v>
      </c>
      <c r="AA34" s="25">
        <v>0</v>
      </c>
      <c r="AB34" s="25">
        <v>0</v>
      </c>
      <c r="AC34" s="25">
        <f>F34*38</f>
        <v>0</v>
      </c>
      <c r="AD34" s="25">
        <f>IF(F34="",G34*4.11,F34*4.11)</f>
        <v>0</v>
      </c>
      <c r="AE34" s="25">
        <v>0</v>
      </c>
      <c r="AF34" s="25">
        <f>V34+Y34+Z34+AA34+AB34+AC34+AD34</f>
        <v>0</v>
      </c>
      <c r="AG34" s="25" t="str">
        <f>IFERROR(IFERROR((H34*W34*J34/15)-AE34,""),"")</f>
        <v/>
      </c>
      <c r="AH34" s="26">
        <f>IFERROR(AG34-AF34,0)</f>
        <v>0</v>
      </c>
      <c r="AI34" s="6">
        <f>IF(F34="",(G34/$F$128)*$AL$25,(F34/$F$128)*$AL$25)</f>
        <v>0</v>
      </c>
      <c r="AJ34" s="193">
        <f>(AH34-AI34)*70%</f>
        <v>0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0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 t="str">
        <f>IFERROR(AH34/AG34,"")</f>
        <v/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6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94" t="s">
        <v>679</v>
      </c>
      <c r="AJ38" s="194" t="s">
        <v>678</v>
      </c>
    </row>
    <row r="39" spans="1:36" x14ac:dyDescent="0.35">
      <c r="A39" s="20"/>
      <c r="B39" s="21"/>
      <c r="C39" s="21"/>
      <c r="D39" s="44"/>
      <c r="E39" s="44"/>
      <c r="F39" s="21"/>
      <c r="G39" s="21"/>
      <c r="H39" s="22">
        <v>0</v>
      </c>
      <c r="I39" s="33">
        <v>0</v>
      </c>
      <c r="J39" s="24" t="str">
        <f>IFERROR(K39/H39,"")</f>
        <v/>
      </c>
      <c r="K39" s="22">
        <v>0</v>
      </c>
      <c r="L39" s="21"/>
      <c r="M39" s="21"/>
      <c r="N39" s="21"/>
      <c r="O39" s="21"/>
      <c r="P39" s="21"/>
      <c r="Q39" s="21"/>
      <c r="R39" s="21"/>
      <c r="S39" s="21"/>
      <c r="T39" s="21"/>
      <c r="U39" s="25">
        <v>0</v>
      </c>
      <c r="V39" s="25">
        <f>H39*U39*I39/15</f>
        <v>0</v>
      </c>
      <c r="W39" s="25">
        <v>0</v>
      </c>
      <c r="X39" s="25">
        <v>0</v>
      </c>
      <c r="Y39" s="25">
        <f>F39*40</f>
        <v>0</v>
      </c>
      <c r="Z39" s="25">
        <v>0</v>
      </c>
      <c r="AA39" s="25">
        <v>0</v>
      </c>
      <c r="AB39" s="25">
        <v>0</v>
      </c>
      <c r="AC39" s="25">
        <f>G39*35+F39*38</f>
        <v>0</v>
      </c>
      <c r="AD39" s="25">
        <f>IF(F39="",G39*4.11,F39*4.11)</f>
        <v>0</v>
      </c>
      <c r="AE39" s="25">
        <v>0</v>
      </c>
      <c r="AF39" s="25">
        <f>V39+Y39+Z39+AA39+AB39+AC39+AD39</f>
        <v>0</v>
      </c>
      <c r="AG39" s="25" t="str">
        <f>IFERROR(IFERROR((H39*W39*J39/15)-AE39,""),"")</f>
        <v/>
      </c>
      <c r="AH39" s="26">
        <f>IFERROR(AG39-AF39,0)</f>
        <v>0</v>
      </c>
      <c r="AI39" s="6">
        <f>IF(F39="",(G39/$F$128)*$AL$25,(F39/$F$128)*$AL$25)</f>
        <v>0</v>
      </c>
      <c r="AJ39" s="193">
        <f>(AH39-AI39)*70%</f>
        <v>0</v>
      </c>
    </row>
    <row r="40" spans="1:36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0</v>
      </c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 t="str">
        <f>IFERROR(AH39/AG39,"")</f>
        <v/>
      </c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</row>
    <row r="43" spans="1:36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94" t="s">
        <v>679</v>
      </c>
      <c r="AJ43" s="194" t="s">
        <v>678</v>
      </c>
    </row>
    <row r="44" spans="1:36" x14ac:dyDescent="0.35">
      <c r="A44" s="20"/>
      <c r="B44" s="21"/>
      <c r="C44" s="21"/>
      <c r="D44" s="44"/>
      <c r="E44" s="44"/>
      <c r="F44" s="21"/>
      <c r="G44" s="21"/>
      <c r="H44" s="22">
        <f>106853/200*F44</f>
        <v>0</v>
      </c>
      <c r="I44" s="33">
        <v>0</v>
      </c>
      <c r="J44" s="24" t="str">
        <f>IFERROR(K44/H44,"")</f>
        <v/>
      </c>
      <c r="K44" s="22">
        <v>0</v>
      </c>
      <c r="L44" s="21"/>
      <c r="M44" s="21"/>
      <c r="N44" s="21"/>
      <c r="O44" s="21"/>
      <c r="P44" s="21"/>
      <c r="Q44" s="21"/>
      <c r="R44" s="21"/>
      <c r="S44" s="21"/>
      <c r="T44" s="21"/>
      <c r="U44" s="25">
        <v>0</v>
      </c>
      <c r="V44" s="25">
        <f>H44*U44*I44/15</f>
        <v>0</v>
      </c>
      <c r="W44" s="25">
        <v>0</v>
      </c>
      <c r="X44" s="25">
        <v>0</v>
      </c>
      <c r="Y44" s="25">
        <f>F44*60</f>
        <v>0</v>
      </c>
      <c r="Z44" s="25">
        <v>0</v>
      </c>
      <c r="AA44" s="25">
        <v>0</v>
      </c>
      <c r="AB44" s="25">
        <v>0</v>
      </c>
      <c r="AC44" s="25">
        <f>F44*38</f>
        <v>0</v>
      </c>
      <c r="AD44" s="25">
        <f>IF(F44="",G44*4.11,F44*4.11)</f>
        <v>0</v>
      </c>
      <c r="AE44" s="25">
        <f>1721.2/200*F44</f>
        <v>0</v>
      </c>
      <c r="AF44" s="25">
        <f>V44+Y44+Z44+AA44+AB44+AC44+AD44</f>
        <v>0</v>
      </c>
      <c r="AG44" s="25" t="str">
        <f>IFERROR(IFERROR((H44*W44*J44/15)-AE44,""),"")</f>
        <v/>
      </c>
      <c r="AH44" s="26">
        <f>IFERROR(AG44-AF44,0)</f>
        <v>0</v>
      </c>
      <c r="AI44" s="6">
        <f>IF(F44="",(G44/$F$128)*$AL$25,(F44/$F$128)*$AL$25)</f>
        <v>0</v>
      </c>
      <c r="AJ44" s="193">
        <f>(AH44-AI44)*70%</f>
        <v>0</v>
      </c>
    </row>
    <row r="45" spans="1:36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0</v>
      </c>
    </row>
    <row r="46" spans="1:36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 t="str">
        <f>IFERROR(AH44/AG44,"")</f>
        <v/>
      </c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36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94" t="s">
        <v>679</v>
      </c>
      <c r="AJ48" s="194" t="s">
        <v>678</v>
      </c>
    </row>
    <row r="49" spans="1:39" x14ac:dyDescent="0.35">
      <c r="A49" s="20"/>
      <c r="B49" s="21"/>
      <c r="C49" s="21"/>
      <c r="D49" s="44"/>
      <c r="E49" s="44"/>
      <c r="F49" s="21"/>
      <c r="G49" s="21"/>
      <c r="H49" s="22">
        <v>0</v>
      </c>
      <c r="I49" s="33">
        <v>0</v>
      </c>
      <c r="J49" s="24" t="str">
        <f>IFERROR(K49/H49,"")</f>
        <v/>
      </c>
      <c r="K49" s="22">
        <v>0</v>
      </c>
      <c r="L49" s="21"/>
      <c r="M49" s="21"/>
      <c r="N49" s="21"/>
      <c r="O49" s="21"/>
      <c r="P49" s="21"/>
      <c r="Q49" s="21"/>
      <c r="R49" s="21"/>
      <c r="S49" s="21"/>
      <c r="T49" s="21"/>
      <c r="U49" s="25">
        <v>0</v>
      </c>
      <c r="V49" s="25">
        <f>H49*U49*I49/15</f>
        <v>0</v>
      </c>
      <c r="W49" s="25">
        <v>0</v>
      </c>
      <c r="X49" s="25">
        <f>1331380.65/300*F49</f>
        <v>0</v>
      </c>
      <c r="Y49" s="25">
        <f>(G49*60)+(F49*60)</f>
        <v>0</v>
      </c>
      <c r="Z49" s="25">
        <v>0</v>
      </c>
      <c r="AA49" s="25">
        <v>0</v>
      </c>
      <c r="AB49" s="25">
        <v>0</v>
      </c>
      <c r="AC49" s="25">
        <f>G49*35+F49*38</f>
        <v>0</v>
      </c>
      <c r="AD49" s="25">
        <f>IF(F49="",G49*4.11,F49*4.11)</f>
        <v>0</v>
      </c>
      <c r="AE49" s="25">
        <f>2662.76/300*F49</f>
        <v>0</v>
      </c>
      <c r="AF49" s="25">
        <f>V49+Y49+Z49+AA49+AB49+AC49+AD49</f>
        <v>0</v>
      </c>
      <c r="AG49" s="25" t="str">
        <f>IFERROR(IFERROR((H49*W49*J49/15)-AE49,""),"")</f>
        <v/>
      </c>
      <c r="AH49" s="26">
        <f>IFERROR(AG49-AF49,0)</f>
        <v>0</v>
      </c>
      <c r="AI49" s="6">
        <f>IF(F49="",(G49/$F$128)*$AL$25,(F49/$F$128)*$AL$25)</f>
        <v>0</v>
      </c>
      <c r="AJ49" s="193">
        <f>(AH49-AI49)*70%</f>
        <v>0</v>
      </c>
      <c r="AL49" s="6"/>
      <c r="AM49" s="6"/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0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 t="str">
        <f>IFERROR(AH49/AG49,"")</f>
        <v/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194"/>
      <c r="AJ52" s="194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94" t="s">
        <v>679</v>
      </c>
      <c r="AJ53" s="194" t="s">
        <v>678</v>
      </c>
    </row>
    <row r="54" spans="1:39" x14ac:dyDescent="0.35">
      <c r="A54" s="20"/>
      <c r="B54" s="21"/>
      <c r="C54" s="21"/>
      <c r="D54" s="44"/>
      <c r="E54" s="44"/>
      <c r="F54" s="21"/>
      <c r="G54" s="21"/>
      <c r="H54" s="22">
        <f>295853/550*F54</f>
        <v>0</v>
      </c>
      <c r="I54" s="33">
        <v>0</v>
      </c>
      <c r="J54" s="24" t="str">
        <f>IFERROR(K54/H54,"")</f>
        <v/>
      </c>
      <c r="K54" s="22">
        <v>0</v>
      </c>
      <c r="L54" s="21"/>
      <c r="M54" s="21"/>
      <c r="N54" s="21"/>
      <c r="O54" s="21"/>
      <c r="P54" s="21"/>
      <c r="Q54" s="21"/>
      <c r="R54" s="21"/>
      <c r="S54" s="21"/>
      <c r="T54" s="21"/>
      <c r="U54" s="25">
        <v>0</v>
      </c>
      <c r="V54" s="25">
        <f>H54*U54*I54/15</f>
        <v>0</v>
      </c>
      <c r="W54" s="25">
        <v>0</v>
      </c>
      <c r="X54" s="25">
        <v>0</v>
      </c>
      <c r="Y54" s="25">
        <f>(G54*40)+(F54*40)</f>
        <v>0</v>
      </c>
      <c r="Z54" s="25"/>
      <c r="AA54" s="25">
        <v>0</v>
      </c>
      <c r="AB54" s="25">
        <v>0</v>
      </c>
      <c r="AC54" s="25">
        <v>0</v>
      </c>
      <c r="AD54" s="25">
        <f>IF(F54="",G54*4.11,F54*4.11)</f>
        <v>0</v>
      </c>
      <c r="AE54" s="25">
        <f>1721.2/200*F54</f>
        <v>0</v>
      </c>
      <c r="AF54" s="25">
        <f>V54+Y54+Z54+AA54+AB54+AC54+AD54</f>
        <v>0</v>
      </c>
      <c r="AG54" s="25" t="str">
        <f>IFERROR(IFERROR((H54*W54*J54/15)-AE54,""),"")</f>
        <v/>
      </c>
      <c r="AH54" s="26">
        <f>IFERROR(AG54-AF54,0)</f>
        <v>0</v>
      </c>
      <c r="AI54" s="6">
        <f>IF(F54="",(G54/$F$128)*$AL$25,(F54/$F$128)*$AL$25)</f>
        <v>0</v>
      </c>
      <c r="AJ54" s="193">
        <f>(AH54-AI54)*70%</f>
        <v>0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0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 t="str">
        <f>IFERROR(AH54/AG54,"")</f>
        <v/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94" t="s">
        <v>679</v>
      </c>
      <c r="AJ58" s="194" t="s">
        <v>678</v>
      </c>
    </row>
    <row r="59" spans="1:39" x14ac:dyDescent="0.35">
      <c r="A59" s="20"/>
      <c r="B59" s="21"/>
      <c r="C59" s="21"/>
      <c r="D59" s="44"/>
      <c r="E59" s="44"/>
      <c r="F59" s="21"/>
      <c r="G59" s="21"/>
      <c r="H59" s="22">
        <f>165240/300*F59</f>
        <v>0</v>
      </c>
      <c r="I59" s="33">
        <v>0</v>
      </c>
      <c r="J59" s="24" t="str">
        <f>IFERROR(K59/H59,"")</f>
        <v/>
      </c>
      <c r="K59" s="22">
        <v>0</v>
      </c>
      <c r="L59" s="21"/>
      <c r="M59" s="21"/>
      <c r="N59" s="21"/>
      <c r="O59" s="21"/>
      <c r="P59" s="21"/>
      <c r="Q59" s="21"/>
      <c r="R59" s="21"/>
      <c r="S59" s="21"/>
      <c r="T59" s="21"/>
      <c r="U59" s="25">
        <v>0</v>
      </c>
      <c r="V59" s="25">
        <f>H59*U59*I59/15</f>
        <v>0</v>
      </c>
      <c r="W59" s="25">
        <v>0</v>
      </c>
      <c r="X59" s="25">
        <v>0</v>
      </c>
      <c r="Y59" s="25">
        <f>F59*40</f>
        <v>0</v>
      </c>
      <c r="Z59" s="25">
        <v>0</v>
      </c>
      <c r="AA59" s="25">
        <v>0</v>
      </c>
      <c r="AB59" s="25">
        <v>0</v>
      </c>
      <c r="AC59" s="25">
        <v>0</v>
      </c>
      <c r="AD59" s="25">
        <f>IF(F59="",G59*4.11,F59*4.11)</f>
        <v>0</v>
      </c>
      <c r="AE59" s="25">
        <v>0</v>
      </c>
      <c r="AF59" s="25">
        <f>V59+Y59+Z59+AA59+AB59+AC59+AD59</f>
        <v>0</v>
      </c>
      <c r="AG59" s="25" t="str">
        <f>IFERROR(IFERROR((H59*W59*J59/15)-AE59,""),"")</f>
        <v/>
      </c>
      <c r="AH59" s="26">
        <f>IFERROR(AG59-AF59,0)</f>
        <v>0</v>
      </c>
      <c r="AI59" s="6">
        <f>IF(F59="",(G59/$F$128)*$AL$25,(F59/$F$128)*$AL$25)</f>
        <v>0</v>
      </c>
      <c r="AJ59" s="193">
        <f>(AH59-AI59)*70%</f>
        <v>0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2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5"/>
      <c r="AC60" s="21"/>
      <c r="AD60" s="21"/>
      <c r="AE60" s="21"/>
      <c r="AF60" s="21"/>
      <c r="AG60" s="21"/>
      <c r="AH60" s="26">
        <f>IFERROR(AH59/F59,0)+IFERROR(AH59/G59,0)</f>
        <v>0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 t="str">
        <f>IFERROR(AH59/AG59,"")</f>
        <v/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94" t="s">
        <v>679</v>
      </c>
      <c r="AJ63" s="194" t="s">
        <v>678</v>
      </c>
    </row>
    <row r="64" spans="1:39" x14ac:dyDescent="0.35">
      <c r="A64" s="20"/>
      <c r="B64" s="21"/>
      <c r="C64" s="21"/>
      <c r="D64" s="44"/>
      <c r="E64" s="44"/>
      <c r="F64" s="21"/>
      <c r="G64" s="21"/>
      <c r="H64" s="22">
        <f>81049/150*F64</f>
        <v>0</v>
      </c>
      <c r="I64" s="33">
        <v>0</v>
      </c>
      <c r="J64" s="24" t="str">
        <f>IFERROR(K64/H64,"")</f>
        <v/>
      </c>
      <c r="K64" s="22"/>
      <c r="L64" s="21"/>
      <c r="M64" s="21"/>
      <c r="N64" s="21"/>
      <c r="O64" s="21"/>
      <c r="P64" s="21"/>
      <c r="Q64" s="21"/>
      <c r="R64" s="21"/>
      <c r="S64" s="21"/>
      <c r="T64" s="21"/>
      <c r="U64" s="25">
        <v>0</v>
      </c>
      <c r="V64" s="25">
        <f>H64*U64*I64/15</f>
        <v>0</v>
      </c>
      <c r="W64" s="25">
        <v>0</v>
      </c>
      <c r="X64" s="25">
        <v>0</v>
      </c>
      <c r="Y64" s="25">
        <f>F64*40</f>
        <v>0</v>
      </c>
      <c r="Z64" s="25">
        <v>0</v>
      </c>
      <c r="AA64" s="25">
        <v>0</v>
      </c>
      <c r="AB64" s="25">
        <v>0</v>
      </c>
      <c r="AC64" s="25">
        <f>G64*35+F64*38</f>
        <v>0</v>
      </c>
      <c r="AD64" s="25">
        <f>IF(F64="",G64*4.11,F64*4.11)</f>
        <v>0</v>
      </c>
      <c r="AE64" s="25">
        <v>0</v>
      </c>
      <c r="AF64" s="25">
        <f>V64+Y64+Z64+AA64+AB64+AC64+AD64</f>
        <v>0</v>
      </c>
      <c r="AG64" s="25" t="str">
        <f>IFERROR(IFERROR((H64*W64*J64/15)-AE64,""),"")</f>
        <v/>
      </c>
      <c r="AH64" s="26">
        <f>IFERROR(AG64-AF64,0)</f>
        <v>0</v>
      </c>
      <c r="AI64" s="6">
        <f>IF(F64="",(G64/$F$128)*$AL$25,(F64/$F$128)*$AL$25)</f>
        <v>0</v>
      </c>
      <c r="AJ64" s="193">
        <f>(AH64-AI64)*70%</f>
        <v>0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0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 t="str">
        <f>IFERROR(AH64/AG64,"")</f>
        <v/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94" t="s">
        <v>679</v>
      </c>
      <c r="AJ68" s="194" t="s">
        <v>678</v>
      </c>
    </row>
    <row r="69" spans="1:36" x14ac:dyDescent="0.35">
      <c r="A69" s="20"/>
      <c r="B69" s="21"/>
      <c r="C69" s="21"/>
      <c r="D69" s="44"/>
      <c r="E69" s="44"/>
      <c r="F69" s="21"/>
      <c r="G69" s="21"/>
      <c r="H69" s="22">
        <f>106853/200*F69</f>
        <v>0</v>
      </c>
      <c r="I69" s="33">
        <v>0</v>
      </c>
      <c r="J69" s="24" t="str">
        <f>IFERROR(K69/H69,"")</f>
        <v/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>
        <v>0</v>
      </c>
      <c r="V69" s="25">
        <f>H69*U69*I69/15</f>
        <v>0</v>
      </c>
      <c r="W69" s="25">
        <v>0</v>
      </c>
      <c r="X69" s="25">
        <f>1935639.17/134868.89*K69</f>
        <v>0</v>
      </c>
      <c r="Y69" s="25">
        <f>F69*60</f>
        <v>0</v>
      </c>
      <c r="Z69" s="25">
        <v>0</v>
      </c>
      <c r="AA69" s="25">
        <v>0</v>
      </c>
      <c r="AB69" s="25">
        <v>0</v>
      </c>
      <c r="AC69" s="25">
        <f>F69*38</f>
        <v>0</v>
      </c>
      <c r="AD69" s="25">
        <f>IF(F69="",G69*4.11,F69*4.11)</f>
        <v>0</v>
      </c>
      <c r="AE69" s="25">
        <f>X69*0.2%</f>
        <v>0</v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6">
        <f>IF(F69="",(G69/$F$128)*$AL$25,(F69/$F$128)*$AL$25)</f>
        <v>0</v>
      </c>
      <c r="AJ69" s="193">
        <f>(AH69-AI69)*70%</f>
        <v>0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94" t="s">
        <v>679</v>
      </c>
      <c r="AJ73" s="194" t="s">
        <v>678</v>
      </c>
    </row>
    <row r="74" spans="1:36" x14ac:dyDescent="0.35">
      <c r="A74" s="20"/>
      <c r="B74" s="21"/>
      <c r="C74" s="21"/>
      <c r="D74" s="44"/>
      <c r="E74" s="44"/>
      <c r="F74" s="21"/>
      <c r="G74" s="21"/>
      <c r="H74" s="22">
        <f>295853/550*F74</f>
        <v>0</v>
      </c>
      <c r="I74" s="33">
        <v>0</v>
      </c>
      <c r="J74" s="24" t="str">
        <f>IFERROR(K74/H74,"")</f>
        <v/>
      </c>
      <c r="K74" s="22"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>
        <f>1935639.17/134868.89*K74</f>
        <v>0</v>
      </c>
      <c r="Y74" s="25">
        <f>(G74*40)+(F74*40)</f>
        <v>0</v>
      </c>
      <c r="Z74" s="25"/>
      <c r="AA74" s="25">
        <v>0</v>
      </c>
      <c r="AB74" s="25">
        <v>0</v>
      </c>
      <c r="AC74" s="25">
        <v>0</v>
      </c>
      <c r="AD74" s="25">
        <f>IF(F74="",G74*4.11,F74*4.11)</f>
        <v>0</v>
      </c>
      <c r="AE74" s="25">
        <f>X74*0.2%</f>
        <v>0</v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6">
        <f>IF(F74="",(G74/$F$128)*$AL$25,(F74/$F$128)*$AL$25)</f>
        <v>0</v>
      </c>
      <c r="AJ74" s="193">
        <f>(AH74-AI74)*70%</f>
        <v>0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194"/>
      <c r="AJ77" s="194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94" t="s">
        <v>679</v>
      </c>
      <c r="AJ78" s="19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22">
        <f>295853/550*F79</f>
        <v>0</v>
      </c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>
        <v>0</v>
      </c>
      <c r="Y79" s="25">
        <f>(G79*40)+(F79*40)</f>
        <v>0</v>
      </c>
      <c r="Z79" s="25"/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v>0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6">
        <f>IF(F79="",(G79/$F$128)*$AL$25,(F79/$F$128)*$AL$25)</f>
        <v>0</v>
      </c>
      <c r="AJ79" s="193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94" t="s">
        <v>679</v>
      </c>
      <c r="AJ83" s="19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22">
        <v>0</v>
      </c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6">
        <f>IF(F84="",(G84/$F$128)*$AL$25,(F84/$F$128)*$AL$25)</f>
        <v>0</v>
      </c>
      <c r="AJ84" s="193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94" t="s">
        <v>679</v>
      </c>
      <c r="AJ88" s="19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2">
        <v>0</v>
      </c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>
        <v>0</v>
      </c>
      <c r="Y89" s="25"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6">
        <f>IF(F89="",(G89/$F$128)*$AL$25,(F89/$F$128)*$AL$25)</f>
        <v>0</v>
      </c>
      <c r="AJ89" s="193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94" t="s">
        <v>679</v>
      </c>
      <c r="AJ93" s="19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2">
        <f>81049/150*F94</f>
        <v>0</v>
      </c>
      <c r="I94" s="33">
        <v>0</v>
      </c>
      <c r="J94" s="24" t="str">
        <f>IFERROR(K94/H94,"")</f>
        <v/>
      </c>
      <c r="K94" s="22"/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f>F94*40</f>
        <v>0</v>
      </c>
      <c r="Z94" s="25">
        <v>0</v>
      </c>
      <c r="AA94" s="25">
        <v>0</v>
      </c>
      <c r="AB94" s="25">
        <v>0</v>
      </c>
      <c r="AC94" s="25">
        <f>G94*35+F94*38</f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6">
        <f>IF(F94="",(G94/$F$128)*$AL$25,(F94/$F$128)*$AL$25)</f>
        <v>0</v>
      </c>
      <c r="AJ94" s="193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94" t="s">
        <v>679</v>
      </c>
      <c r="AJ98" s="19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2">
        <v>0</v>
      </c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(G99*60)+(F99*60)</f>
        <v>0</v>
      </c>
      <c r="Z99" s="25">
        <v>0</v>
      </c>
      <c r="AA99" s="25">
        <v>0</v>
      </c>
      <c r="AB99" s="25">
        <v>0</v>
      </c>
      <c r="AC99" s="25">
        <f>F99*35</f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6">
        <f>IF(F99="",(G99/$F$128)*$AL$25,(F99/$F$128)*$AL$25)</f>
        <v>0</v>
      </c>
      <c r="AJ99" s="193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  <c r="AI102" s="194"/>
      <c r="AJ102" s="194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94" t="s">
        <v>679</v>
      </c>
      <c r="AJ103" s="19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(G104*60)+(F104*60)</f>
        <v>0</v>
      </c>
      <c r="Z104" s="25">
        <v>0</v>
      </c>
      <c r="AA104" s="25">
        <v>0</v>
      </c>
      <c r="AB104" s="25">
        <v>0</v>
      </c>
      <c r="AC104" s="25">
        <f>F104*35</f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6">
        <f>IF(F104="",(G104/$F$128)*$AL$25,(F104/$F$128)*$AL$25)</f>
        <v>0</v>
      </c>
      <c r="AJ104" s="193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94" t="s">
        <v>679</v>
      </c>
      <c r="AJ108" s="19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2"/>
      <c r="I109" s="33">
        <v>0</v>
      </c>
      <c r="J109" s="24" t="str">
        <f>IFERROR(K109/H109,"")</f>
        <v/>
      </c>
      <c r="K109" s="22"/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/>
      <c r="X109" s="25"/>
      <c r="Y109" s="25">
        <f>(G109*60)+(F109*60)</f>
        <v>0</v>
      </c>
      <c r="Z109" s="25"/>
      <c r="AA109" s="25">
        <v>0</v>
      </c>
      <c r="AB109" s="25"/>
      <c r="AC109" s="25">
        <f>G109*35+F109*38</f>
        <v>0</v>
      </c>
      <c r="AD109" s="25">
        <f>IF(F109="",G109*4.11,F109*4.11)</f>
        <v>0</v>
      </c>
      <c r="AE109" s="25"/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6">
        <f>IF(F109="",(G109/$F$128)*$AL$25,(F109/$F$128)*$AL$25)</f>
        <v>0</v>
      </c>
      <c r="AJ109" s="193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94" t="s">
        <v>679</v>
      </c>
      <c r="AJ113" s="19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22"/>
      <c r="I114" s="33">
        <v>0</v>
      </c>
      <c r="J114" s="24" t="str">
        <f>IFERROR(K114/H114,"")</f>
        <v/>
      </c>
      <c r="K114" s="22"/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/>
      <c r="X114" s="25"/>
      <c r="Y114" s="25">
        <f>(G114*60)+(F114*60)</f>
        <v>0</v>
      </c>
      <c r="Z114" s="25"/>
      <c r="AA114" s="25">
        <v>0</v>
      </c>
      <c r="AB114" s="25"/>
      <c r="AC114" s="25">
        <f>G114*35+F114*38</f>
        <v>0</v>
      </c>
      <c r="AD114" s="25">
        <f>IF(F114="",G114*4.11,F114*4.11)</f>
        <v>0</v>
      </c>
      <c r="AE114" s="25"/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6">
        <f>IF(F114="",(G114/$F$128)*$AL$25,(F114/$F$128)*$AL$25)</f>
        <v>0</v>
      </c>
      <c r="AJ114" s="193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94" t="s">
        <v>679</v>
      </c>
      <c r="AJ118" s="194" t="s">
        <v>678</v>
      </c>
    </row>
    <row r="119" spans="1:36" x14ac:dyDescent="0.35">
      <c r="A119" s="20"/>
      <c r="B119" s="21"/>
      <c r="C119" s="21"/>
      <c r="D119" s="44"/>
      <c r="E119" s="44"/>
      <c r="F119" s="21"/>
      <c r="G119" s="21"/>
      <c r="H119" s="22"/>
      <c r="I119" s="33">
        <v>0</v>
      </c>
      <c r="J119" s="24" t="str">
        <f>IFERROR(K119/H119,"")</f>
        <v/>
      </c>
      <c r="K119" s="22"/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/>
      <c r="X119" s="25"/>
      <c r="Y119" s="25">
        <f>(G119*60)+(F119*60)</f>
        <v>0</v>
      </c>
      <c r="Z119" s="25"/>
      <c r="AA119" s="25">
        <v>0</v>
      </c>
      <c r="AB119" s="25"/>
      <c r="AC119" s="25">
        <f>G119*35+F119*38</f>
        <v>0</v>
      </c>
      <c r="AD119" s="25">
        <f>IF(F119="",G119*4.11,F119*4.11)</f>
        <v>0</v>
      </c>
      <c r="AE119" s="25"/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6">
        <f>IF(F119="",(G119/$F$128)*$AL$25,(F119/$F$128)*$AL$25)</f>
        <v>0</v>
      </c>
      <c r="AJ119" s="193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94" t="s">
        <v>679</v>
      </c>
      <c r="AJ123" s="194" t="s">
        <v>678</v>
      </c>
    </row>
    <row r="124" spans="1:36" x14ac:dyDescent="0.35">
      <c r="A124" s="20"/>
      <c r="B124" s="21"/>
      <c r="C124" s="21"/>
      <c r="D124" s="44"/>
      <c r="E124" s="44"/>
      <c r="F124" s="21"/>
      <c r="G124" s="21"/>
      <c r="H124" s="22"/>
      <c r="I124" s="33">
        <v>0</v>
      </c>
      <c r="J124" s="24" t="str">
        <f>IFERROR(K124/H124,"")</f>
        <v/>
      </c>
      <c r="K124" s="22"/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/>
      <c r="X124" s="25"/>
      <c r="Y124" s="25">
        <f>(G124*60)+(F124*60)</f>
        <v>0</v>
      </c>
      <c r="Z124" s="25"/>
      <c r="AA124" s="25">
        <v>0</v>
      </c>
      <c r="AB124" s="25"/>
      <c r="AC124" s="25">
        <f>G124*35+F124*38</f>
        <v>0</v>
      </c>
      <c r="AD124" s="25">
        <f>IF(F124="",G124*4.11,F124*4.11)</f>
        <v>0</v>
      </c>
      <c r="AE124" s="25"/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6">
        <f>IF(F124="",(G124/$F$128)*$AL$25,(F124/$F$128)*$AL$25)</f>
        <v>0</v>
      </c>
      <c r="AJ124" s="193">
        <f>(AH124-AI124)*70%</f>
        <v>0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ht="15" thickBot="1" x14ac:dyDescent="0.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  <c r="AI127" s="194"/>
      <c r="AJ127" s="194"/>
    </row>
    <row r="128" spans="1:36" ht="16" thickBot="1" x14ac:dyDescent="0.4">
      <c r="A128" s="377" t="s">
        <v>664</v>
      </c>
      <c r="B128" s="378"/>
      <c r="C128" s="378"/>
      <c r="D128" s="378"/>
      <c r="E128" s="378"/>
      <c r="F128" s="163">
        <f>SUM(F4:G124)</f>
        <v>850</v>
      </c>
      <c r="G128" s="163">
        <f>SUM(G4:G127)</f>
        <v>0</v>
      </c>
      <c r="H128" s="30"/>
      <c r="I128" s="30"/>
      <c r="J128" s="30"/>
      <c r="K128" s="30"/>
      <c r="L128" s="46"/>
      <c r="M128" s="46"/>
      <c r="N128" s="46"/>
      <c r="O128" s="46"/>
      <c r="P128" s="46"/>
      <c r="Q128" s="46"/>
      <c r="R128" s="46"/>
      <c r="S128" s="46"/>
      <c r="T128" s="46"/>
      <c r="U128" s="30"/>
      <c r="V128" s="31">
        <f>SUM(V4:V127)</f>
        <v>3173324.9000000004</v>
      </c>
      <c r="W128" s="31"/>
      <c r="X128" s="31"/>
      <c r="Y128" s="31">
        <f t="shared" ref="Y128:AG128" si="0">SUM(Y4:Y127)</f>
        <v>34000</v>
      </c>
      <c r="Z128" s="31">
        <f t="shared" si="0"/>
        <v>321212.63</v>
      </c>
      <c r="AA128" s="31">
        <f t="shared" si="0"/>
        <v>0</v>
      </c>
      <c r="AB128" s="31">
        <f t="shared" si="0"/>
        <v>24225</v>
      </c>
      <c r="AC128" s="31">
        <f t="shared" si="0"/>
        <v>0</v>
      </c>
      <c r="AD128" s="31">
        <f t="shared" si="0"/>
        <v>3493.5</v>
      </c>
      <c r="AE128" s="31">
        <f t="shared" si="0"/>
        <v>6985.56</v>
      </c>
      <c r="AF128" s="31">
        <f t="shared" si="0"/>
        <v>3556256.0300000007</v>
      </c>
      <c r="AG128" s="31">
        <f t="shared" si="0"/>
        <v>3492305.8323266665</v>
      </c>
      <c r="AH128" s="161">
        <f>IFERROR(AH4+AH9+AH14+AH19+AH24+AH29+AH34+AH39+AH44+AH49+AH54+AH59+AH64+AH69+AH74+AH79+AH84+AH89+AH94+AH99+AH104+AH109+AH114+AH119+AH124,0)</f>
        <v>-63950.197673333751</v>
      </c>
      <c r="AI128" s="192">
        <f>SUM(AI4:AI126)</f>
        <v>5782.7399999999989</v>
      </c>
      <c r="AJ128" s="192">
        <f>SUM(AJ4:AJ126)</f>
        <v>-48813.056371333623</v>
      </c>
    </row>
    <row r="130" spans="22:22" x14ac:dyDescent="0.35">
      <c r="V130" s="162"/>
    </row>
  </sheetData>
  <mergeCells count="2">
    <mergeCell ref="U2:AC2"/>
    <mergeCell ref="A128:E128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30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19.179687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AF128</f>
        <v>6094211.9400000004</v>
      </c>
      <c r="AM3" s="164">
        <f>AH128-AI128</f>
        <v>154637.20053333227</v>
      </c>
    </row>
    <row r="4" spans="1:40" x14ac:dyDescent="0.35">
      <c r="A4" s="20">
        <v>45171</v>
      </c>
      <c r="B4" s="21" t="s">
        <v>632</v>
      </c>
      <c r="C4" s="21" t="s">
        <v>672</v>
      </c>
      <c r="D4" s="157">
        <v>155437</v>
      </c>
      <c r="E4" s="44" t="s">
        <v>641</v>
      </c>
      <c r="F4" s="21">
        <v>150</v>
      </c>
      <c r="G4" s="21"/>
      <c r="H4" s="22">
        <f>105346/200*F4</f>
        <v>79009.5</v>
      </c>
      <c r="I4" s="33">
        <v>0.54</v>
      </c>
      <c r="J4" s="24">
        <f>IFERROR(K4/H4,"")</f>
        <v>0.5629449623146584</v>
      </c>
      <c r="K4" s="22">
        <v>44478</v>
      </c>
      <c r="L4" s="21">
        <v>97</v>
      </c>
      <c r="M4" s="21">
        <v>50</v>
      </c>
      <c r="N4" s="21">
        <v>3</v>
      </c>
      <c r="O4" s="21"/>
      <c r="P4" s="21"/>
      <c r="Q4" s="21"/>
      <c r="R4" s="21"/>
      <c r="S4" s="21"/>
      <c r="T4" s="21"/>
      <c r="U4" s="25">
        <v>190</v>
      </c>
      <c r="V4" s="25">
        <f>H4*U4*I4/15</f>
        <v>540424.98</v>
      </c>
      <c r="W4" s="25">
        <v>201.27</v>
      </c>
      <c r="X4" s="25">
        <v>596790.61</v>
      </c>
      <c r="Y4" s="25">
        <f>(G4*42)+(F4*42)</f>
        <v>6300</v>
      </c>
      <c r="Z4" s="25">
        <v>57673.51</v>
      </c>
      <c r="AA4" s="25">
        <v>0</v>
      </c>
      <c r="AB4" s="25">
        <v>4275</v>
      </c>
      <c r="AC4" s="25">
        <v>0</v>
      </c>
      <c r="AD4" s="25">
        <f>IF(F4="",G4*4.11,F4*4.11)</f>
        <v>616.5</v>
      </c>
      <c r="AE4" s="25">
        <v>1193.5899999999999</v>
      </c>
      <c r="AF4" s="25">
        <f>V4+Y4+Z4+AA4+AB4+AC4+AD4</f>
        <v>609289.99</v>
      </c>
      <c r="AG4" s="25">
        <f>IFERROR(IFERROR((H4*W4*J4/15)-AE4,""),"")</f>
        <v>595612.21400000004</v>
      </c>
      <c r="AH4" s="26">
        <f>IFERROR(AG4-AF4,0)</f>
        <v>-13677.775999999954</v>
      </c>
      <c r="AI4" s="6">
        <f>IF(F4="",(G4/$F$128)*$AL$25,(F4/$F$128)*$AL$25)</f>
        <v>240.70000000000002</v>
      </c>
      <c r="AJ4" s="25">
        <f>(AH4-AI4)*70%</f>
        <v>-9742.9331999999686</v>
      </c>
      <c r="AL4" s="166" t="s">
        <v>749</v>
      </c>
      <c r="AM4" s="167">
        <f>AM3/AL3</f>
        <v>2.537443759025753E-2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-91.185173333333026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-2.2964230213049247E-2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45171</v>
      </c>
      <c r="B9" s="21" t="s">
        <v>632</v>
      </c>
      <c r="C9" s="21" t="s">
        <v>672</v>
      </c>
      <c r="D9" s="157">
        <v>155185</v>
      </c>
      <c r="E9" s="44" t="s">
        <v>641</v>
      </c>
      <c r="F9" s="21">
        <v>50</v>
      </c>
      <c r="G9" s="21"/>
      <c r="H9" s="22">
        <f>105346/200*F9</f>
        <v>26336.5</v>
      </c>
      <c r="I9" s="33">
        <v>0.54</v>
      </c>
      <c r="J9" s="24">
        <f>IFERROR(K9/H9,"")</f>
        <v>0.5492187648320771</v>
      </c>
      <c r="K9" s="22">
        <v>14464.5</v>
      </c>
      <c r="L9" s="21">
        <v>31</v>
      </c>
      <c r="M9" s="21">
        <v>17</v>
      </c>
      <c r="N9" s="21">
        <v>2</v>
      </c>
      <c r="O9" s="21"/>
      <c r="P9" s="21"/>
      <c r="Q9" s="21"/>
      <c r="R9" s="21"/>
      <c r="S9" s="21"/>
      <c r="T9" s="21"/>
      <c r="U9" s="25">
        <v>190</v>
      </c>
      <c r="V9" s="25">
        <f>H9*U9*I9/15</f>
        <v>180141.66000000003</v>
      </c>
      <c r="W9" s="25">
        <v>201.4</v>
      </c>
      <c r="X9" s="25">
        <v>194210.02</v>
      </c>
      <c r="Y9" s="25">
        <f>(G9*42)+(F9*42)</f>
        <v>2100</v>
      </c>
      <c r="Z9" s="25">
        <v>19224.5</v>
      </c>
      <c r="AA9" s="25">
        <v>0</v>
      </c>
      <c r="AB9" s="25">
        <v>1425</v>
      </c>
      <c r="AC9" s="25">
        <f>G9*38</f>
        <v>0</v>
      </c>
      <c r="AD9" s="25">
        <f>IF(F9="",G9*4.11,F9*4.11)</f>
        <v>205.50000000000003</v>
      </c>
      <c r="AE9" s="25">
        <v>388.42</v>
      </c>
      <c r="AF9" s="25">
        <f>V9+Y9+Z9+AA9+AB9+AC9+AD9</f>
        <v>203096.66000000003</v>
      </c>
      <c r="AG9" s="25">
        <f>IFERROR(IFERROR((H9*W9*J9/15)-AE9,""),"")</f>
        <v>193821.59999999998</v>
      </c>
      <c r="AH9" s="26">
        <f>IFERROR(AG9-AF9,0)</f>
        <v>-9275.0600000000559</v>
      </c>
      <c r="AI9" s="6">
        <f>IF(F9="",(G9/$F$128)*$AL$25,(F9/$F$128)*$AL$25)</f>
        <v>80.233333333333334</v>
      </c>
      <c r="AJ9" s="25">
        <f>(AH9-AI9)*70%</f>
        <v>-6548.7053333333724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-185.50120000000112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-4.7853593201170858E-2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45172</v>
      </c>
      <c r="B14" s="21" t="s">
        <v>330</v>
      </c>
      <c r="C14" s="21" t="s">
        <v>163</v>
      </c>
      <c r="D14" s="157">
        <v>155308</v>
      </c>
      <c r="E14" s="44" t="s">
        <v>641</v>
      </c>
      <c r="F14" s="21">
        <v>100</v>
      </c>
      <c r="G14" s="21"/>
      <c r="H14" s="22">
        <v>56310</v>
      </c>
      <c r="I14" s="33">
        <v>0.55000000000000004</v>
      </c>
      <c r="J14" s="24">
        <f>IFERROR(K14/H14,"")</f>
        <v>0.55949209731841587</v>
      </c>
      <c r="K14" s="22">
        <v>31505</v>
      </c>
      <c r="L14" s="21">
        <v>8</v>
      </c>
      <c r="M14" s="21">
        <v>59</v>
      </c>
      <c r="N14" s="21">
        <v>31</v>
      </c>
      <c r="O14" s="21">
        <v>2</v>
      </c>
      <c r="P14" s="21"/>
      <c r="Q14" s="21"/>
      <c r="R14" s="21"/>
      <c r="S14" s="21"/>
      <c r="T14" s="21"/>
      <c r="U14" s="25">
        <v>185</v>
      </c>
      <c r="V14" s="25">
        <f>H14*U14*I14/15</f>
        <v>381969.5</v>
      </c>
      <c r="W14" s="25">
        <v>203.8</v>
      </c>
      <c r="X14" s="25">
        <v>428042.07</v>
      </c>
      <c r="Y14" s="25">
        <f>(G14*60)+(F14*60)</f>
        <v>6000</v>
      </c>
      <c r="Z14" s="25">
        <v>15399.6</v>
      </c>
      <c r="AA14" s="25">
        <v>0</v>
      </c>
      <c r="AB14" s="25">
        <v>1850</v>
      </c>
      <c r="AC14" s="25">
        <f>F14*38</f>
        <v>3800</v>
      </c>
      <c r="AD14" s="25">
        <f>IF(F14="",G14*4.11,F14*4.11)</f>
        <v>411.00000000000006</v>
      </c>
      <c r="AE14" s="25">
        <v>856.09</v>
      </c>
      <c r="AF14" s="25">
        <f>V14+Y14+Z14+AA14+AB14+AC14+AD14</f>
        <v>409430.1</v>
      </c>
      <c r="AG14" s="25">
        <f>IFERROR(IFERROR((H14*W14*J14/15)-AE14,""),"")</f>
        <v>427191.84333333327</v>
      </c>
      <c r="AH14" s="26">
        <f>IFERROR(AG14-AF14,0)</f>
        <v>17761.743333333288</v>
      </c>
      <c r="AI14" s="6">
        <f>IF(F14="",(G14/$F$128)*$AL$25,(F14/$F$128)*$AL$25)</f>
        <v>160.46666666666667</v>
      </c>
      <c r="AJ14" s="25">
        <f>(AH14-AI14)*70%</f>
        <v>12320.893666666634</v>
      </c>
      <c r="AL14" s="14">
        <f>F4+G4+F9+G9+F14+G14+F19+G19+F24+G24+F29+G29+F34+G34+F39+G39+F44+G44+F49+G49+F59+G59+F64+G64+F54+G54+F69+G69+F74+G74+F79+G79+F84+G84+F89+G89+F94+G94+F99+G99+F104+G104+F109+G109+F114+G114+F119+G119+F124+G124</f>
        <v>1500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177.61743333333288</v>
      </c>
      <c r="AL15" s="11">
        <f>AH4+AH9+AH14+AH19+AH24+AH29+AH34+AH39+AH44+AH49+AH59+AH64+AH69+AH54+AH74+AH79+AH84+AH89+AH94+AH99+AH104+AH109+AH114+AH119+AH124</f>
        <v>157044.20053333227</v>
      </c>
      <c r="AM15" s="11">
        <f>AL15*30%</f>
        <v>47113.260159999678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4.1577908404664903E-2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45174</v>
      </c>
      <c r="B19" s="21" t="s">
        <v>632</v>
      </c>
      <c r="C19" s="21" t="s">
        <v>676</v>
      </c>
      <c r="D19" s="44">
        <v>1869553</v>
      </c>
      <c r="E19" s="44" t="s">
        <v>652</v>
      </c>
      <c r="F19" s="21">
        <v>100</v>
      </c>
      <c r="G19" s="21"/>
      <c r="H19" s="22">
        <v>58120</v>
      </c>
      <c r="I19" s="33">
        <v>0.55000000000000004</v>
      </c>
      <c r="J19" s="24">
        <f>IFERROR(K19/H19,"")</f>
        <v>0.57529249827942186</v>
      </c>
      <c r="K19" s="22">
        <v>33436</v>
      </c>
      <c r="L19" s="21">
        <v>78</v>
      </c>
      <c r="M19" s="21">
        <v>22</v>
      </c>
      <c r="N19" s="21"/>
      <c r="O19" s="21"/>
      <c r="P19" s="21"/>
      <c r="Q19" s="21"/>
      <c r="R19" s="21"/>
      <c r="S19" s="21"/>
      <c r="T19" s="21"/>
      <c r="U19" s="25">
        <v>180</v>
      </c>
      <c r="V19" s="25">
        <f>H19*U19*I19/15</f>
        <v>383592</v>
      </c>
      <c r="W19" s="25">
        <v>207.82</v>
      </c>
      <c r="X19" s="25">
        <f>2076701.2/500*F19</f>
        <v>415340.24</v>
      </c>
      <c r="Y19" s="25">
        <f>(G19*42)+(F19*42)</f>
        <v>4200</v>
      </c>
      <c r="Z19" s="25">
        <v>43239.76</v>
      </c>
      <c r="AA19" s="25">
        <v>0</v>
      </c>
      <c r="AB19" s="25">
        <v>1800</v>
      </c>
      <c r="AC19" s="25">
        <v>0</v>
      </c>
      <c r="AD19" s="25">
        <f>IF(F19="",G19*4.11,F19*4.11)</f>
        <v>411.00000000000006</v>
      </c>
      <c r="AE19" s="25">
        <v>830.68</v>
      </c>
      <c r="AF19" s="25">
        <f>V19+Y19+Z19+AA19+AB19+AC19+AD19</f>
        <v>433242.76</v>
      </c>
      <c r="AG19" s="25">
        <f>IFERROR(IFERROR((H19*W19*J19/15)-AE19,""),"")</f>
        <v>462413.95466666663</v>
      </c>
      <c r="AH19" s="26">
        <f>IFERROR(AG19-AF19,0)</f>
        <v>29171.194666666619</v>
      </c>
      <c r="AI19" s="6">
        <f>IF(F19="",(G19/$F$128)*$AL$25,(F19/$F$128)*$AL$25)</f>
        <v>160.46666666666667</v>
      </c>
      <c r="AJ19" s="25">
        <f>(AH19-AI19)*70%</f>
        <v>20307.509599999965</v>
      </c>
      <c r="AL19" s="178">
        <v>842</v>
      </c>
      <c r="AM19" s="6" t="s">
        <v>689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291.71194666666617</v>
      </c>
      <c r="AL20" s="178">
        <v>600</v>
      </c>
      <c r="AM20" s="6" t="s">
        <v>386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6.30845898404922E-2</v>
      </c>
      <c r="AL21" s="178">
        <v>415</v>
      </c>
      <c r="AM21" s="6" t="s">
        <v>693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3"/>
      <c r="AA22" s="21"/>
      <c r="AB22" s="21"/>
      <c r="AC22" s="21"/>
      <c r="AD22" s="21"/>
      <c r="AE22" s="21"/>
      <c r="AF22" s="21"/>
      <c r="AG22" s="21"/>
      <c r="AH22" s="24"/>
      <c r="AL22" s="178">
        <v>550</v>
      </c>
      <c r="AM22" s="6" t="s">
        <v>694</v>
      </c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>
        <v>0</v>
      </c>
      <c r="AM23" s="6"/>
      <c r="AN23" s="174"/>
    </row>
    <row r="24" spans="1:40" x14ac:dyDescent="0.35">
      <c r="A24" s="20">
        <v>45174</v>
      </c>
      <c r="B24" s="21" t="s">
        <v>632</v>
      </c>
      <c r="C24" s="21" t="s">
        <v>676</v>
      </c>
      <c r="D24" s="44">
        <v>1869553</v>
      </c>
      <c r="E24" s="44" t="s">
        <v>652</v>
      </c>
      <c r="F24" s="21">
        <v>50</v>
      </c>
      <c r="G24" s="21"/>
      <c r="H24" s="22">
        <v>24890</v>
      </c>
      <c r="I24" s="33">
        <v>0.54</v>
      </c>
      <c r="J24" s="24">
        <f>IFERROR(K24/H24,"")</f>
        <v>0.55849738850944153</v>
      </c>
      <c r="K24" s="22">
        <v>13901</v>
      </c>
      <c r="L24" s="21">
        <v>19</v>
      </c>
      <c r="M24" s="21">
        <v>22</v>
      </c>
      <c r="N24" s="21">
        <v>8</v>
      </c>
      <c r="O24" s="21">
        <v>1</v>
      </c>
      <c r="P24" s="21"/>
      <c r="Q24" s="21"/>
      <c r="R24" s="21"/>
      <c r="S24" s="21"/>
      <c r="T24" s="21"/>
      <c r="U24" s="25">
        <v>180</v>
      </c>
      <c r="V24" s="25">
        <f>H24*U24*I24/15</f>
        <v>161287.20000000001</v>
      </c>
      <c r="W24" s="25">
        <v>207.82</v>
      </c>
      <c r="X24" s="25">
        <f>2076701.2/500*F24</f>
        <v>207670.12</v>
      </c>
      <c r="Y24" s="25">
        <f>(G24*42)+(F24*42)</f>
        <v>2100</v>
      </c>
      <c r="Z24" s="25">
        <v>21925.56</v>
      </c>
      <c r="AA24" s="25">
        <v>0</v>
      </c>
      <c r="AB24" s="25">
        <v>900</v>
      </c>
      <c r="AC24" s="25">
        <f>F24*0</f>
        <v>0</v>
      </c>
      <c r="AD24" s="25">
        <f>IF(F24="",G24*4.11,F24*4.11)</f>
        <v>205.50000000000003</v>
      </c>
      <c r="AE24" s="25">
        <v>415.34</v>
      </c>
      <c r="AF24" s="25">
        <f>V24+Y24+Z24+AA24+AB24+AC24+AD24</f>
        <v>186418.26</v>
      </c>
      <c r="AG24" s="25">
        <f>IFERROR(IFERROR((H24*W24*J24/15)-AE24,""),"")</f>
        <v>192178.38133333332</v>
      </c>
      <c r="AH24" s="26">
        <f>IFERROR(AG24-AF24,0)</f>
        <v>5760.1213333333144</v>
      </c>
      <c r="AI24" s="6">
        <f>IF(F24="",(G24/$F$128)*$AL$25,(F24/$F$128)*$AL$25)</f>
        <v>80.233333333333334</v>
      </c>
      <c r="AJ24" s="25">
        <f>(AH24-AI24)*70%</f>
        <v>3975.9215999999865</v>
      </c>
      <c r="AL24" s="178"/>
      <c r="AM24" s="6"/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115.20242666666628</v>
      </c>
      <c r="AL25" s="214">
        <f>SUM(AL19:AL24)</f>
        <v>2407</v>
      </c>
      <c r="AM25" s="189" t="s">
        <v>673</v>
      </c>
      <c r="AN25" s="191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2.9972785145600672E-2</v>
      </c>
      <c r="AL26" s="57"/>
      <c r="AM26" s="6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I27" s="47"/>
      <c r="AJ27" s="47"/>
      <c r="AL27" s="57"/>
      <c r="AM27" s="118" t="s">
        <v>22</v>
      </c>
      <c r="AN27" s="250" t="s">
        <v>724</v>
      </c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47">
        <f>AL15-AL25</f>
        <v>154637.20053333227</v>
      </c>
      <c r="AM28" s="248">
        <f>AL28*30%</f>
        <v>46391.160159999679</v>
      </c>
      <c r="AN28" s="12" t="s">
        <v>708</v>
      </c>
    </row>
    <row r="29" spans="1:40" x14ac:dyDescent="0.35">
      <c r="A29" s="20">
        <v>45174</v>
      </c>
      <c r="B29" s="21" t="s">
        <v>632</v>
      </c>
      <c r="C29" s="21" t="s">
        <v>676</v>
      </c>
      <c r="D29" s="44">
        <v>1869553</v>
      </c>
      <c r="E29" s="44" t="s">
        <v>652</v>
      </c>
      <c r="F29" s="21">
        <v>300</v>
      </c>
      <c r="G29" s="21"/>
      <c r="H29" s="22">
        <v>161020</v>
      </c>
      <c r="I29" s="33">
        <v>0.55000000000000004</v>
      </c>
      <c r="J29" s="24">
        <f>IFERROR(K29/H29,"")</f>
        <v>0.5446590485653956</v>
      </c>
      <c r="K29" s="22">
        <v>87701</v>
      </c>
      <c r="L29" s="21">
        <v>168</v>
      </c>
      <c r="M29" s="21">
        <v>122</v>
      </c>
      <c r="N29" s="21">
        <v>9</v>
      </c>
      <c r="O29" s="21">
        <v>1</v>
      </c>
      <c r="P29" s="21"/>
      <c r="Q29" s="21"/>
      <c r="R29" s="21"/>
      <c r="S29" s="21"/>
      <c r="T29" s="21"/>
      <c r="U29" s="25">
        <v>180</v>
      </c>
      <c r="V29" s="25">
        <f>H29*U29*I29/15</f>
        <v>1062732.0000000002</v>
      </c>
      <c r="W29" s="25">
        <v>207.82</v>
      </c>
      <c r="X29" s="25">
        <f>2076701.2/500*F29</f>
        <v>1246020.72</v>
      </c>
      <c r="Y29" s="25">
        <f>(G29*42)+(F29*42)</f>
        <v>12600</v>
      </c>
      <c r="Z29" s="25">
        <v>131205.6</v>
      </c>
      <c r="AA29" s="25">
        <v>0</v>
      </c>
      <c r="AB29" s="25">
        <v>5400</v>
      </c>
      <c r="AC29" s="25">
        <f>F29*0</f>
        <v>0</v>
      </c>
      <c r="AD29" s="25">
        <f>IF(F29="",G29*4.11,F29*4.11)</f>
        <v>1233</v>
      </c>
      <c r="AE29" s="25">
        <v>2492.0300000000002</v>
      </c>
      <c r="AF29" s="25">
        <f>V29+Y29+Z29+AA29+AB29+AC29+AD29</f>
        <v>1213170.6000000003</v>
      </c>
      <c r="AG29" s="25">
        <f>IFERROR(IFERROR((H29*W29*J29/15)-AE29,""),"")</f>
        <v>1212576.0913333334</v>
      </c>
      <c r="AH29" s="26">
        <f>IFERROR(AG29-AF29,0)</f>
        <v>-594.50866666692309</v>
      </c>
      <c r="AI29" s="6">
        <f>IF(F29="",(G29/$F$128)*$AL$25,(F29/$F$128)*$AL$25)</f>
        <v>481.40000000000003</v>
      </c>
      <c r="AJ29" s="25">
        <f>(AH29-AI29)*70%</f>
        <v>-753.1360666668462</v>
      </c>
      <c r="AL29" s="57"/>
      <c r="AM29" s="249">
        <f>'01.09'!AM29</f>
        <v>-20919.881302000125</v>
      </c>
      <c r="AN29" s="246" t="s">
        <v>709</v>
      </c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-1.9816955555564102</v>
      </c>
      <c r="AL30" s="57"/>
      <c r="AM30" s="248">
        <f>AM28+AM29</f>
        <v>25471.278857999554</v>
      </c>
      <c r="AN30" s="1" t="s">
        <v>710</v>
      </c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-4.9028565787835121E-4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36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36" x14ac:dyDescent="0.35">
      <c r="A34" s="20">
        <v>45174</v>
      </c>
      <c r="B34" s="21" t="s">
        <v>632</v>
      </c>
      <c r="C34" s="21" t="s">
        <v>677</v>
      </c>
      <c r="D34" s="44">
        <v>1869553</v>
      </c>
      <c r="E34" s="44" t="s">
        <v>652</v>
      </c>
      <c r="F34" s="21">
        <v>50</v>
      </c>
      <c r="G34" s="21"/>
      <c r="H34" s="22">
        <v>28461</v>
      </c>
      <c r="I34" s="33">
        <v>0.55000000000000004</v>
      </c>
      <c r="J34" s="24">
        <f>IFERROR(K34/H34,"")</f>
        <v>0.52185446751695297</v>
      </c>
      <c r="K34" s="22">
        <v>14852.5</v>
      </c>
      <c r="L34" s="21">
        <v>5</v>
      </c>
      <c r="M34" s="21">
        <v>31</v>
      </c>
      <c r="N34" s="21">
        <v>13</v>
      </c>
      <c r="O34" s="21">
        <v>1</v>
      </c>
      <c r="P34" s="21"/>
      <c r="Q34" s="21"/>
      <c r="R34" s="21"/>
      <c r="S34" s="21"/>
      <c r="T34" s="21"/>
      <c r="U34" s="25">
        <v>180</v>
      </c>
      <c r="V34" s="25">
        <f>H34*U34*I34/15</f>
        <v>187842.6</v>
      </c>
      <c r="W34" s="25">
        <v>207.82</v>
      </c>
      <c r="X34" s="25">
        <f>2076701.2/500*F34</f>
        <v>207670.12</v>
      </c>
      <c r="Y34" s="25">
        <f>(G34*42)+(F34*42)</f>
        <v>2100</v>
      </c>
      <c r="Z34" s="25">
        <v>13014.15</v>
      </c>
      <c r="AA34" s="25">
        <v>0</v>
      </c>
      <c r="AB34" s="25">
        <v>1350</v>
      </c>
      <c r="AC34" s="25">
        <v>0</v>
      </c>
      <c r="AD34" s="25">
        <f>IF(F34="",G34*4.11,F34*4.11)</f>
        <v>205.50000000000003</v>
      </c>
      <c r="AE34" s="25">
        <v>415.34</v>
      </c>
      <c r="AF34" s="25">
        <f>V34+Y34+Z34+AA34+AB34+AC34+AD34</f>
        <v>204512.25</v>
      </c>
      <c r="AG34" s="25">
        <f>IFERROR(IFERROR((H34*W34*J34/15)-AE34,""),"")</f>
        <v>205361.09666666662</v>
      </c>
      <c r="AH34" s="26">
        <f>IFERROR(AG34-AF34,0)</f>
        <v>848.84666666662088</v>
      </c>
      <c r="AI34" s="6">
        <f>IF(F34="",(G34/$F$128)*$AL$25,(F34/$F$128)*$AL$25)</f>
        <v>80.233333333333334</v>
      </c>
      <c r="AJ34" s="25">
        <f>(AH34-AI34)*70%</f>
        <v>538.02933333330122</v>
      </c>
    </row>
    <row r="35" spans="1:36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16.976933333332418</v>
      </c>
    </row>
    <row r="36" spans="1:36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4.1334346205037682E-3</v>
      </c>
    </row>
    <row r="37" spans="1:36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36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36" x14ac:dyDescent="0.35">
      <c r="A39" s="20">
        <v>45175</v>
      </c>
      <c r="B39" s="21" t="s">
        <v>330</v>
      </c>
      <c r="C39" s="21" t="s">
        <v>319</v>
      </c>
      <c r="D39" s="44">
        <v>1869559</v>
      </c>
      <c r="E39" s="44" t="s">
        <v>652</v>
      </c>
      <c r="F39" s="21">
        <v>50</v>
      </c>
      <c r="G39" s="21"/>
      <c r="H39" s="22">
        <v>29660</v>
      </c>
      <c r="I39" s="33">
        <v>0.54</v>
      </c>
      <c r="J39" s="24">
        <f>IFERROR(K39/H39,"")</f>
        <v>0.55210721510451788</v>
      </c>
      <c r="K39" s="22">
        <v>16375.5</v>
      </c>
      <c r="L39" s="21">
        <v>31</v>
      </c>
      <c r="M39" s="21">
        <v>18</v>
      </c>
      <c r="N39" s="21">
        <v>1</v>
      </c>
      <c r="O39" s="21"/>
      <c r="P39" s="21"/>
      <c r="Q39" s="21"/>
      <c r="R39" s="21"/>
      <c r="S39" s="21"/>
      <c r="T39" s="21"/>
      <c r="U39" s="25">
        <v>180</v>
      </c>
      <c r="V39" s="25">
        <f>H39*U39*I39/15</f>
        <v>192196.8</v>
      </c>
      <c r="W39" s="25">
        <v>207.42</v>
      </c>
      <c r="X39" s="25">
        <f>2130418.82/500*F39</f>
        <v>213041.88199999998</v>
      </c>
      <c r="Y39" s="25">
        <f>(G39*60)+(F39*60)</f>
        <v>3000</v>
      </c>
      <c r="Z39" s="25">
        <v>8653.2000000000007</v>
      </c>
      <c r="AA39" s="25">
        <v>0</v>
      </c>
      <c r="AB39" s="25">
        <v>900</v>
      </c>
      <c r="AC39" s="25">
        <f>G39*35+F39*38</f>
        <v>1900</v>
      </c>
      <c r="AD39" s="25">
        <f>IF(F39="",G39*4.11,F39*4.11)</f>
        <v>205.50000000000003</v>
      </c>
      <c r="AE39" s="25">
        <f>(2130418.82*0.2%)/500*F39</f>
        <v>426.08376400000003</v>
      </c>
      <c r="AF39" s="25">
        <f>V39+Y39+Z39+AA39+AB39+AC39+AD39</f>
        <v>206855.5</v>
      </c>
      <c r="AG39" s="25">
        <f>IFERROR(IFERROR((H39*W39*J39/15)-AE39,""),"")</f>
        <v>226014.33023599995</v>
      </c>
      <c r="AH39" s="26">
        <f>IFERROR(AG39-AF39,0)</f>
        <v>19158.830235999951</v>
      </c>
      <c r="AI39" s="6">
        <f>IF(F39="",(G39/$F$128)*$AL$25,(F39/$F$128)*$AL$25)</f>
        <v>80.233333333333334</v>
      </c>
      <c r="AJ39" s="25">
        <f>(AH39-AI39)*70%</f>
        <v>13355.017831866631</v>
      </c>
    </row>
    <row r="40" spans="1:36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383.17660471999903</v>
      </c>
    </row>
    <row r="41" spans="1:36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8.4768210121874382E-2</v>
      </c>
    </row>
    <row r="42" spans="1:36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</row>
    <row r="43" spans="1:36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36" x14ac:dyDescent="0.35">
      <c r="A44" s="20">
        <v>45175</v>
      </c>
      <c r="B44" s="21" t="s">
        <v>330</v>
      </c>
      <c r="C44" s="21" t="s">
        <v>222</v>
      </c>
      <c r="D44" s="44">
        <v>1869559</v>
      </c>
      <c r="E44" s="44" t="s">
        <v>652</v>
      </c>
      <c r="F44" s="21">
        <v>100</v>
      </c>
      <c r="G44" s="21"/>
      <c r="H44" s="22">
        <v>55520</v>
      </c>
      <c r="I44" s="33">
        <v>0.54500000000000004</v>
      </c>
      <c r="J44" s="24">
        <f>IFERROR(K44/H44,"")</f>
        <v>0.55140489913544666</v>
      </c>
      <c r="K44" s="22">
        <v>30614</v>
      </c>
      <c r="L44" s="21">
        <v>5</v>
      </c>
      <c r="M44" s="21">
        <v>62</v>
      </c>
      <c r="N44" s="21">
        <v>32</v>
      </c>
      <c r="O44" s="21">
        <v>1</v>
      </c>
      <c r="P44" s="21"/>
      <c r="Q44" s="21"/>
      <c r="R44" s="21"/>
      <c r="S44" s="21"/>
      <c r="T44" s="21"/>
      <c r="U44" s="25">
        <v>185</v>
      </c>
      <c r="V44" s="25">
        <f>H44*U44*I44/15</f>
        <v>373186.93333333335</v>
      </c>
      <c r="W44" s="25">
        <v>207.42</v>
      </c>
      <c r="X44" s="25">
        <f>2130418.82/500*F44</f>
        <v>426083.76399999997</v>
      </c>
      <c r="Y44" s="25">
        <f>(G44*60)+(F44*60)</f>
        <v>6000</v>
      </c>
      <c r="Z44" s="25">
        <v>23700.400000000001</v>
      </c>
      <c r="AA44" s="25">
        <v>0</v>
      </c>
      <c r="AB44" s="25">
        <v>1850</v>
      </c>
      <c r="AC44" s="25">
        <f>F44*38</f>
        <v>3800</v>
      </c>
      <c r="AD44" s="25">
        <f>IF(F44="",G44*4.11,F44*4.11)</f>
        <v>411.00000000000006</v>
      </c>
      <c r="AE44" s="25">
        <f>(2130418.82*0.2%)/500*F44</f>
        <v>852.16752800000006</v>
      </c>
      <c r="AF44" s="25">
        <f>V44+Y44+Z44+AA44+AB44+AC44+AD44</f>
        <v>408948.33333333337</v>
      </c>
      <c r="AG44" s="25">
        <f>IFERROR(IFERROR((H44*W44*J44/15)-AE44,""),"")</f>
        <v>422478.22447199991</v>
      </c>
      <c r="AH44" s="26">
        <f>IFERROR(AG44-AF44,0)</f>
        <v>13529.891138666542</v>
      </c>
      <c r="AI44" s="6">
        <f>IF(F44="",(G44/$F$128)*$AL$25,(F44/$F$128)*$AL$25)</f>
        <v>160.46666666666667</v>
      </c>
      <c r="AJ44" s="25">
        <f>(AH44-AI44)*70%</f>
        <v>9358.5971303999122</v>
      </c>
    </row>
    <row r="45" spans="1:36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135.29891138666542</v>
      </c>
    </row>
    <row r="46" spans="1:36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3.202506154151679E-2</v>
      </c>
    </row>
    <row r="47" spans="1:36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36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45175</v>
      </c>
      <c r="B49" s="21" t="s">
        <v>632</v>
      </c>
      <c r="C49" s="21" t="s">
        <v>691</v>
      </c>
      <c r="D49" s="44">
        <v>1869559</v>
      </c>
      <c r="E49" s="44" t="s">
        <v>652</v>
      </c>
      <c r="F49" s="21">
        <v>200</v>
      </c>
      <c r="G49" s="21"/>
      <c r="H49" s="22">
        <v>117820</v>
      </c>
      <c r="I49" s="33">
        <v>0.55000000000000004</v>
      </c>
      <c r="J49" s="24">
        <f>IFERROR(K49/H49,"")</f>
        <v>0.54932524189441523</v>
      </c>
      <c r="K49" s="22">
        <v>64721.5</v>
      </c>
      <c r="L49" s="21">
        <v>175</v>
      </c>
      <c r="M49" s="21">
        <v>23</v>
      </c>
      <c r="N49" s="21">
        <v>2</v>
      </c>
      <c r="O49" s="21"/>
      <c r="P49" s="21"/>
      <c r="Q49" s="21"/>
      <c r="R49" s="21"/>
      <c r="S49" s="21"/>
      <c r="T49" s="21"/>
      <c r="U49" s="25">
        <v>185</v>
      </c>
      <c r="V49" s="25">
        <f>H49*U49*I49/15</f>
        <v>799212.33333333349</v>
      </c>
      <c r="W49" s="25">
        <v>207.42</v>
      </c>
      <c r="X49" s="25">
        <f>2130418.82/500*F49</f>
        <v>852167.52799999993</v>
      </c>
      <c r="Y49" s="25">
        <f>(G49*42)+(F49*42)</f>
        <v>8400</v>
      </c>
      <c r="Z49" s="25">
        <v>54545</v>
      </c>
      <c r="AA49" s="25">
        <v>0</v>
      </c>
      <c r="AB49" s="25">
        <v>5550</v>
      </c>
      <c r="AC49" s="25">
        <v>0</v>
      </c>
      <c r="AD49" s="25">
        <f>IF(F49="",G49*4.11,F49*4.11)</f>
        <v>822.00000000000011</v>
      </c>
      <c r="AE49" s="25">
        <f>(2130418.82*0.2%)/500*F49-0.01</f>
        <v>1704.3250560000001</v>
      </c>
      <c r="AF49" s="25">
        <f>V49+Y49+Z49+AA49+AB49+AC49+AD49</f>
        <v>868529.33333333349</v>
      </c>
      <c r="AG49" s="25">
        <f>IFERROR(IFERROR((H49*W49*J49/15)-AE49,""),"")</f>
        <v>893264.57694399997</v>
      </c>
      <c r="AH49" s="26">
        <f>IFERROR(AG49-AF49,0)</f>
        <v>24735.243610666483</v>
      </c>
      <c r="AI49" s="6">
        <f>IF(F49="",(G49/$F$128)*$AL$25,(F49/$F$128)*$AL$25)</f>
        <v>320.93333333333334</v>
      </c>
      <c r="AJ49" s="25">
        <f>(AH49-AI49)*70%</f>
        <v>17090.017194133205</v>
      </c>
      <c r="AL49" s="6"/>
      <c r="AM49" s="6"/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123.67621805333242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2.7690836790248283E-2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47"/>
      <c r="AJ52" s="47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45176</v>
      </c>
      <c r="B54" s="21" t="s">
        <v>330</v>
      </c>
      <c r="C54" s="21" t="s">
        <v>319</v>
      </c>
      <c r="D54" s="44">
        <v>1869559</v>
      </c>
      <c r="E54" s="44" t="s">
        <v>652</v>
      </c>
      <c r="F54" s="21">
        <v>50</v>
      </c>
      <c r="G54" s="21"/>
      <c r="H54" s="22">
        <v>28740</v>
      </c>
      <c r="I54" s="33">
        <v>0.55000000000000004</v>
      </c>
      <c r="J54" s="24">
        <f>IFERROR(K54/H54,"")</f>
        <v>0.54286708420320107</v>
      </c>
      <c r="K54" s="22">
        <v>15602</v>
      </c>
      <c r="L54" s="21">
        <v>2</v>
      </c>
      <c r="M54" s="21">
        <v>15</v>
      </c>
      <c r="N54" s="21">
        <v>29</v>
      </c>
      <c r="O54" s="21">
        <v>4</v>
      </c>
      <c r="P54" s="21"/>
      <c r="Q54" s="21"/>
      <c r="R54" s="21"/>
      <c r="S54" s="21"/>
      <c r="T54" s="21"/>
      <c r="U54" s="25">
        <v>185</v>
      </c>
      <c r="V54" s="25">
        <f>H54*U54*I54/15</f>
        <v>194953.00000000003</v>
      </c>
      <c r="W54" s="25">
        <v>207.42</v>
      </c>
      <c r="X54" s="25">
        <f>2130418.82/500*F54</f>
        <v>213041.88199999998</v>
      </c>
      <c r="Y54" s="25">
        <f>(G54*60)+(F54*60)</f>
        <v>3000</v>
      </c>
      <c r="Z54" s="25">
        <v>9017</v>
      </c>
      <c r="AA54" s="25">
        <v>0</v>
      </c>
      <c r="AB54" s="25">
        <v>925</v>
      </c>
      <c r="AC54" s="25">
        <f>F54*38</f>
        <v>1900</v>
      </c>
      <c r="AD54" s="25">
        <f>IF(F54="",G54*4.11,F54*4.11)</f>
        <v>205.50000000000003</v>
      </c>
      <c r="AE54" s="25">
        <f>(2130418.82*0.2%)/500*F54</f>
        <v>426.08376400000003</v>
      </c>
      <c r="AF54" s="25">
        <f>V54+Y54+Z54+AA54+AB54+AC54+AD54</f>
        <v>210000.50000000003</v>
      </c>
      <c r="AG54" s="25">
        <f>IFERROR(IFERROR((H54*W54*J54/15)-AE54,""),"")</f>
        <v>215318.37223599997</v>
      </c>
      <c r="AH54" s="26">
        <f>IFERROR(AG54-AF54,0)</f>
        <v>5317.8722359999374</v>
      </c>
      <c r="AI54" s="6">
        <f>IF(F54="",(G54/$F$128)*$AL$25,(F54/$F$128)*$AL$25)</f>
        <v>80.233333333333334</v>
      </c>
      <c r="AJ54" s="25">
        <f>(AH54-AI54)*70%</f>
        <v>3666.3472318666222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106.35744471999875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2.469771706322987E-2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45176</v>
      </c>
      <c r="B59" s="21" t="s">
        <v>330</v>
      </c>
      <c r="C59" s="21" t="s">
        <v>293</v>
      </c>
      <c r="D59" s="44">
        <v>1869559</v>
      </c>
      <c r="E59" s="44" t="s">
        <v>652</v>
      </c>
      <c r="F59" s="21">
        <v>100</v>
      </c>
      <c r="G59" s="21"/>
      <c r="H59" s="22">
        <v>48620</v>
      </c>
      <c r="I59" s="33">
        <v>0.53</v>
      </c>
      <c r="J59" s="24">
        <f>IFERROR(K59/H59,"")</f>
        <v>0.55027766351295759</v>
      </c>
      <c r="K59" s="22">
        <v>26754.5</v>
      </c>
      <c r="L59" s="21">
        <v>12</v>
      </c>
      <c r="M59" s="21">
        <v>39</v>
      </c>
      <c r="N59" s="21">
        <v>32</v>
      </c>
      <c r="O59" s="21">
        <v>14</v>
      </c>
      <c r="P59" s="21">
        <v>3</v>
      </c>
      <c r="Q59" s="21"/>
      <c r="R59" s="21"/>
      <c r="S59" s="21"/>
      <c r="T59" s="21"/>
      <c r="U59" s="25">
        <v>185</v>
      </c>
      <c r="V59" s="25">
        <f>H59*U59*I59/15</f>
        <v>317812.73333333334</v>
      </c>
      <c r="W59" s="25">
        <v>207.42</v>
      </c>
      <c r="X59" s="25">
        <f>2130418.82/500*F59</f>
        <v>426083.76399999997</v>
      </c>
      <c r="Y59" s="25">
        <f>(G59*60)+(F59*60)</f>
        <v>6000</v>
      </c>
      <c r="Z59" s="25">
        <v>22580</v>
      </c>
      <c r="AA59" s="25">
        <v>0</v>
      </c>
      <c r="AB59" s="25">
        <v>1850</v>
      </c>
      <c r="AC59" s="25">
        <f>F59*38</f>
        <v>3800</v>
      </c>
      <c r="AD59" s="25">
        <f>IF(F59="",G59*4.11,F59*4.11)</f>
        <v>411.00000000000006</v>
      </c>
      <c r="AE59" s="25">
        <f>(2130418.82*0.2%)/500*F59</f>
        <v>852.16752800000006</v>
      </c>
      <c r="AF59" s="25">
        <f>V59+Y59+Z59+AA59+AB59+AC59+AD59</f>
        <v>352453.73333333334</v>
      </c>
      <c r="AG59" s="25">
        <f>IFERROR(IFERROR((H59*W59*J59/15)-AE59,""),"")</f>
        <v>369109.05847199989</v>
      </c>
      <c r="AH59" s="26">
        <f>IFERROR(AG59-AF59,0)</f>
        <v>16655.325138666551</v>
      </c>
      <c r="AI59" s="6">
        <f>IF(F59="",(G59/$F$128)*$AL$25,(F59/$F$128)*$AL$25)</f>
        <v>160.46666666666667</v>
      </c>
      <c r="AJ59" s="25">
        <f>(AH59-AI59)*70%</f>
        <v>11546.400930399917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2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5"/>
      <c r="AC60" s="21"/>
      <c r="AD60" s="21"/>
      <c r="AE60" s="21"/>
      <c r="AF60" s="21"/>
      <c r="AG60" s="21"/>
      <c r="AH60" s="26">
        <f>IFERROR(AH59/F59,0)+IFERROR(AH59/G59,0)</f>
        <v>166.55325138666549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4.5123046309441903E-2</v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>
        <v>45177</v>
      </c>
      <c r="B64" s="21" t="s">
        <v>632</v>
      </c>
      <c r="C64" s="21" t="s">
        <v>692</v>
      </c>
      <c r="D64" s="44">
        <v>1875588</v>
      </c>
      <c r="E64" s="44" t="s">
        <v>652</v>
      </c>
      <c r="F64" s="21">
        <v>200</v>
      </c>
      <c r="G64" s="21"/>
      <c r="H64" s="22">
        <v>108460</v>
      </c>
      <c r="I64" s="33">
        <v>0.55000000000000004</v>
      </c>
      <c r="J64" s="24">
        <f>IFERROR(K64/H64,"")</f>
        <v>0.55531532362161162</v>
      </c>
      <c r="K64" s="22">
        <v>60229.5</v>
      </c>
      <c r="L64" s="21">
        <v>128</v>
      </c>
      <c r="M64" s="21">
        <v>66</v>
      </c>
      <c r="N64" s="21">
        <v>6</v>
      </c>
      <c r="O64" s="21"/>
      <c r="P64" s="21"/>
      <c r="Q64" s="21"/>
      <c r="R64" s="21"/>
      <c r="S64" s="21"/>
      <c r="T64" s="21"/>
      <c r="U64" s="25">
        <v>180</v>
      </c>
      <c r="V64" s="25">
        <f>H64*U64*I64/15</f>
        <v>715836</v>
      </c>
      <c r="W64" s="25">
        <v>208.6</v>
      </c>
      <c r="X64" s="25">
        <v>837591.58</v>
      </c>
      <c r="Y64" s="25">
        <f>(G64*42)+(F64*42)</f>
        <v>8400</v>
      </c>
      <c r="Z64" s="25">
        <v>59605.919999999998</v>
      </c>
      <c r="AA64" s="25">
        <v>0</v>
      </c>
      <c r="AB64" s="25">
        <v>3600</v>
      </c>
      <c r="AC64" s="25">
        <v>0</v>
      </c>
      <c r="AD64" s="25">
        <f>IF(F64="",G64*4.11,F64*4.11)</f>
        <v>822.00000000000011</v>
      </c>
      <c r="AE64" s="25">
        <v>1675.18316</v>
      </c>
      <c r="AF64" s="25">
        <f>V64+Y64+Z64+AA64+AB64+AC64+AD64</f>
        <v>788263.92</v>
      </c>
      <c r="AG64" s="25">
        <f>IFERROR(IFERROR((H64*W64*J64/15)-AE64,""),"")</f>
        <v>835916.39683999994</v>
      </c>
      <c r="AH64" s="26">
        <f>IFERROR(AG64-AF64,0)</f>
        <v>47652.476839999901</v>
      </c>
      <c r="AI64" s="6">
        <f>IF(F64="",(G64/$F$128)*$AL$25,(F64/$F$128)*$AL$25)</f>
        <v>320.93333333333334</v>
      </c>
      <c r="AJ64" s="25">
        <f>(AH64-AI64)*70%</f>
        <v>33132.080454666597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238.2623841999995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5.7006271225375792E-2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/>
      <c r="B69" s="21"/>
      <c r="C69" s="21"/>
      <c r="D69" s="44"/>
      <c r="E69" s="44"/>
      <c r="F69" s="21"/>
      <c r="G69" s="21"/>
      <c r="H69" s="22">
        <f>106853/200*F69</f>
        <v>0</v>
      </c>
      <c r="I69" s="33">
        <v>0</v>
      </c>
      <c r="J69" s="24" t="str">
        <f>IFERROR(K69/H69,"")</f>
        <v/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>
        <v>0</v>
      </c>
      <c r="V69" s="25">
        <f>H69*U69*I69/15</f>
        <v>0</v>
      </c>
      <c r="W69" s="25">
        <v>0</v>
      </c>
      <c r="X69" s="25">
        <f>1935639.17/134868.89*K69</f>
        <v>0</v>
      </c>
      <c r="Y69" s="25">
        <f>F69*60</f>
        <v>0</v>
      </c>
      <c r="Z69" s="25">
        <v>0</v>
      </c>
      <c r="AA69" s="25">
        <v>0</v>
      </c>
      <c r="AB69" s="25">
        <v>0</v>
      </c>
      <c r="AC69" s="25">
        <f>F69*38</f>
        <v>0</v>
      </c>
      <c r="AD69" s="25">
        <f>IF(F69="",G69*4.11,F69*4.11)</f>
        <v>0</v>
      </c>
      <c r="AE69" s="25">
        <f>X69*0.2%</f>
        <v>0</v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6">
        <f>IF(F69="",(G69/$F$128)*$AL$25,(F69/$F$128)*$AL$25)</f>
        <v>0</v>
      </c>
      <c r="AJ69" s="25">
        <f>(AH69-AI69)*70%</f>
        <v>0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/>
      <c r="B74" s="21"/>
      <c r="C74" s="21"/>
      <c r="D74" s="44"/>
      <c r="E74" s="44"/>
      <c r="F74" s="21"/>
      <c r="G74" s="21"/>
      <c r="H74" s="22">
        <f>295853/550*F74</f>
        <v>0</v>
      </c>
      <c r="I74" s="33">
        <v>0</v>
      </c>
      <c r="J74" s="24" t="str">
        <f>IFERROR(K74/H74,"")</f>
        <v/>
      </c>
      <c r="K74" s="22"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>
        <f>1935639.17/134868.89*K74</f>
        <v>0</v>
      </c>
      <c r="Y74" s="25">
        <f>(G74*40)+(F74*40)</f>
        <v>0</v>
      </c>
      <c r="Z74" s="25"/>
      <c r="AA74" s="25">
        <v>0</v>
      </c>
      <c r="AB74" s="25">
        <v>0</v>
      </c>
      <c r="AC74" s="25">
        <v>0</v>
      </c>
      <c r="AD74" s="25">
        <f>IF(F74="",G74*4.11,F74*4.11)</f>
        <v>0</v>
      </c>
      <c r="AE74" s="25">
        <f>X74*0.2%</f>
        <v>0</v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6">
        <f>IF(F74="",(G74/$F$128)*$AL$25,(F74/$F$128)*$AL$25)</f>
        <v>0</v>
      </c>
      <c r="AJ74" s="25">
        <f>(AH74-AI74)*70%</f>
        <v>0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47"/>
      <c r="AJ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22">
        <f>295853/550*F79</f>
        <v>0</v>
      </c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>
        <v>0</v>
      </c>
      <c r="Y79" s="25">
        <f>(G79*40)+(F79*40)</f>
        <v>0</v>
      </c>
      <c r="Z79" s="25"/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v>0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6">
        <f>IF(F79="",(G79/$F$128)*$AL$25,(F79/$F$128)*$AL$25)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22">
        <v>0</v>
      </c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6">
        <f>IF(F84="",(G84/$F$128)*$AL$25,(F84/$F$128)*$AL$25)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2">
        <v>0</v>
      </c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>
        <v>0</v>
      </c>
      <c r="Y89" s="25"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6">
        <f>IF(F89="",(G89/$F$128)*$AL$25,(F89/$F$128)*$AL$25)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2">
        <f>81049/150*F94</f>
        <v>0</v>
      </c>
      <c r="I94" s="33">
        <v>0</v>
      </c>
      <c r="J94" s="24" t="str">
        <f>IFERROR(K94/H94,"")</f>
        <v/>
      </c>
      <c r="K94" s="22"/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f>F94*40</f>
        <v>0</v>
      </c>
      <c r="Z94" s="25">
        <v>0</v>
      </c>
      <c r="AA94" s="25">
        <v>0</v>
      </c>
      <c r="AB94" s="25">
        <v>0</v>
      </c>
      <c r="AC94" s="25">
        <f>G94*35+F94*38</f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6">
        <f>IF(F94="",(G94/$F$128)*$AL$25,(F94/$F$128)*$AL$25)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2">
        <v>0</v>
      </c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(G99*60)+(F99*60)</f>
        <v>0</v>
      </c>
      <c r="Z99" s="25">
        <v>0</v>
      </c>
      <c r="AA99" s="25">
        <v>0</v>
      </c>
      <c r="AB99" s="25">
        <v>0</v>
      </c>
      <c r="AC99" s="25">
        <f>F99*35</f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6">
        <f>IF(F99="",(G99/$F$128)*$AL$25,(F99/$F$128)*$AL$25)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  <c r="AI102" s="47"/>
      <c r="AJ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(G104*60)+(F104*60)</f>
        <v>0</v>
      </c>
      <c r="Z104" s="25">
        <v>0</v>
      </c>
      <c r="AA104" s="25">
        <v>0</v>
      </c>
      <c r="AB104" s="25">
        <v>0</v>
      </c>
      <c r="AC104" s="25">
        <f>F104*35</f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6">
        <f>IF(F104="",(G104/$F$128)*$AL$25,(F104/$F$128)*$AL$25)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2"/>
      <c r="I109" s="33">
        <v>0</v>
      </c>
      <c r="J109" s="24" t="str">
        <f>IFERROR(K109/H109,"")</f>
        <v/>
      </c>
      <c r="K109" s="22"/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/>
      <c r="X109" s="25"/>
      <c r="Y109" s="25">
        <f>(G109*60)+(F109*60)</f>
        <v>0</v>
      </c>
      <c r="Z109" s="25"/>
      <c r="AA109" s="25">
        <v>0</v>
      </c>
      <c r="AB109" s="25"/>
      <c r="AC109" s="25">
        <f>G109*35+F109*38</f>
        <v>0</v>
      </c>
      <c r="AD109" s="25">
        <f>IF(F109="",G109*4.11,F109*4.11)</f>
        <v>0</v>
      </c>
      <c r="AE109" s="25"/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6">
        <f>IF(F109="",(G109/$F$128)*$AL$25,(F109/$F$128)*$AL$25)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22"/>
      <c r="I114" s="33">
        <v>0</v>
      </c>
      <c r="J114" s="24" t="str">
        <f>IFERROR(K114/H114,"")</f>
        <v/>
      </c>
      <c r="K114" s="22"/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/>
      <c r="X114" s="25"/>
      <c r="Y114" s="25">
        <f>(G114*60)+(F114*60)</f>
        <v>0</v>
      </c>
      <c r="Z114" s="25"/>
      <c r="AA114" s="25">
        <v>0</v>
      </c>
      <c r="AB114" s="25"/>
      <c r="AC114" s="25">
        <f>G114*35+F114*38</f>
        <v>0</v>
      </c>
      <c r="AD114" s="25">
        <f>IF(F114="",G114*4.11,F114*4.11)</f>
        <v>0</v>
      </c>
      <c r="AE114" s="25"/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6">
        <f>IF(F114="",(G114/$F$128)*$AL$25,(F114/$F$128)*$AL$25)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B119" s="21"/>
      <c r="C119" s="21"/>
      <c r="D119" s="44"/>
      <c r="E119" s="44"/>
      <c r="F119" s="21"/>
      <c r="G119" s="21"/>
      <c r="H119" s="22"/>
      <c r="I119" s="33">
        <v>0</v>
      </c>
      <c r="J119" s="24" t="str">
        <f>IFERROR(K119/H119,"")</f>
        <v/>
      </c>
      <c r="K119" s="22"/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/>
      <c r="X119" s="25"/>
      <c r="Y119" s="25">
        <f>(G119*60)+(F119*60)</f>
        <v>0</v>
      </c>
      <c r="Z119" s="25"/>
      <c r="AA119" s="25">
        <v>0</v>
      </c>
      <c r="AB119" s="25"/>
      <c r="AC119" s="25">
        <f>G119*35+F119*38</f>
        <v>0</v>
      </c>
      <c r="AD119" s="25">
        <f>IF(F119="",G119*4.11,F119*4.11)</f>
        <v>0</v>
      </c>
      <c r="AE119" s="25"/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6">
        <f>IF(F119="",(G119/$F$128)*$AL$25,(F119/$F$128)*$AL$25)</f>
        <v>0</v>
      </c>
      <c r="AJ119" s="25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x14ac:dyDescent="0.35">
      <c r="A124" s="20"/>
      <c r="B124" s="21"/>
      <c r="C124" s="21"/>
      <c r="D124" s="44"/>
      <c r="E124" s="44"/>
      <c r="F124" s="21"/>
      <c r="G124" s="21"/>
      <c r="H124" s="22"/>
      <c r="I124" s="33">
        <v>0</v>
      </c>
      <c r="J124" s="24" t="str">
        <f>IFERROR(K124/H124,"")</f>
        <v/>
      </c>
      <c r="K124" s="22"/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/>
      <c r="X124" s="25"/>
      <c r="Y124" s="25">
        <f>(G124*60)+(F124*60)</f>
        <v>0</v>
      </c>
      <c r="Z124" s="25"/>
      <c r="AA124" s="25">
        <v>0</v>
      </c>
      <c r="AB124" s="25"/>
      <c r="AC124" s="25">
        <f>G124*35+F124*38</f>
        <v>0</v>
      </c>
      <c r="AD124" s="25">
        <f>IF(F124="",G124*4.11,F124*4.11)</f>
        <v>0</v>
      </c>
      <c r="AE124" s="25"/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6">
        <f>IF(F124="",(G124/$F$128)*$AL$25,(F124/$F$128)*$AL$25)</f>
        <v>0</v>
      </c>
      <c r="AJ124" s="25">
        <f>(AH124-AI124)*70%</f>
        <v>0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ht="15" thickBot="1" x14ac:dyDescent="0.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  <c r="AI127" s="47"/>
      <c r="AJ127" s="47"/>
    </row>
    <row r="128" spans="1:36" ht="16" thickBot="1" x14ac:dyDescent="0.4">
      <c r="A128" s="377" t="s">
        <v>671</v>
      </c>
      <c r="B128" s="378"/>
      <c r="C128" s="378"/>
      <c r="D128" s="378"/>
      <c r="E128" s="378"/>
      <c r="F128" s="163">
        <f>SUM(F4:G124)</f>
        <v>1500</v>
      </c>
      <c r="G128" s="163"/>
      <c r="H128" s="30"/>
      <c r="I128" s="30"/>
      <c r="J128" s="30"/>
      <c r="K128" s="30"/>
      <c r="L128" s="46"/>
      <c r="M128" s="46"/>
      <c r="N128" s="46"/>
      <c r="O128" s="46"/>
      <c r="P128" s="46"/>
      <c r="Q128" s="46"/>
      <c r="R128" s="46"/>
      <c r="S128" s="46"/>
      <c r="T128" s="46"/>
      <c r="U128" s="30"/>
      <c r="V128" s="31">
        <f>SUM(V4:V127)</f>
        <v>5491187.7400000012</v>
      </c>
      <c r="W128" s="31"/>
      <c r="X128" s="31"/>
      <c r="Y128" s="31">
        <f t="shared" ref="Y128:AG128" si="0">SUM(Y4:Y127)</f>
        <v>70200</v>
      </c>
      <c r="Z128" s="31">
        <f t="shared" si="0"/>
        <v>479784.20000000007</v>
      </c>
      <c r="AA128" s="31">
        <f t="shared" si="0"/>
        <v>0</v>
      </c>
      <c r="AB128" s="31">
        <f t="shared" si="0"/>
        <v>31675</v>
      </c>
      <c r="AC128" s="31">
        <f t="shared" si="0"/>
        <v>15200</v>
      </c>
      <c r="AD128" s="31">
        <f t="shared" si="0"/>
        <v>6165</v>
      </c>
      <c r="AE128" s="31">
        <f t="shared" si="0"/>
        <v>12527.500800000002</v>
      </c>
      <c r="AF128" s="31">
        <f t="shared" si="0"/>
        <v>6094211.9400000004</v>
      </c>
      <c r="AG128" s="31">
        <f t="shared" si="0"/>
        <v>6251256.1405333327</v>
      </c>
      <c r="AH128" s="161">
        <f>AH4+AH9+AH14+AH19+AH24+AH29+AH34+AH39+AH44+AH49+AH54+AH59+AH64+AH69+AH74+AH79+AH84+AH89+AH94+AH99+AH104+AH109+AH114+AH119+AH124</f>
        <v>157044.20053333227</v>
      </c>
      <c r="AI128" s="165">
        <f>SUM(AI4:AI126)</f>
        <v>2407</v>
      </c>
      <c r="AJ128" s="165">
        <f>SUM(AJ4:AJ126)</f>
        <v>108246.04037333257</v>
      </c>
    </row>
    <row r="130" spans="22:22" x14ac:dyDescent="0.35">
      <c r="V130" s="162">
        <v>3173324.9000000004</v>
      </c>
    </row>
  </sheetData>
  <mergeCells count="2">
    <mergeCell ref="U2:AC2"/>
    <mergeCell ref="A128:E12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30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29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7.7265625" customWidth="1"/>
    <col min="40" max="40" width="19.179687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AF128</f>
        <v>4730832.7366666654</v>
      </c>
      <c r="AM3" s="164">
        <f>AH128-AI128</f>
        <v>118481.39515333288</v>
      </c>
    </row>
    <row r="4" spans="1:40" x14ac:dyDescent="0.35">
      <c r="A4" s="20">
        <v>45178</v>
      </c>
      <c r="B4" s="21" t="s">
        <v>632</v>
      </c>
      <c r="C4" s="21" t="s">
        <v>676</v>
      </c>
      <c r="D4" s="44">
        <v>1869611</v>
      </c>
      <c r="E4" s="44" t="s">
        <v>652</v>
      </c>
      <c r="F4" s="21">
        <v>200</v>
      </c>
      <c r="G4" s="21"/>
      <c r="H4" s="22">
        <v>100260</v>
      </c>
      <c r="I4" s="33">
        <v>0.55000000000000004</v>
      </c>
      <c r="J4" s="24">
        <f>IFERROR(K4/H4,"")</f>
        <v>0.54041990823857966</v>
      </c>
      <c r="K4" s="22">
        <v>54182.5</v>
      </c>
      <c r="L4" s="21">
        <v>149</v>
      </c>
      <c r="M4" s="21">
        <v>49</v>
      </c>
      <c r="N4" s="21">
        <v>2</v>
      </c>
      <c r="O4" s="21"/>
      <c r="P4" s="21"/>
      <c r="Q4" s="21"/>
      <c r="R4" s="21"/>
      <c r="S4" s="21"/>
      <c r="T4" s="21"/>
      <c r="U4" s="25">
        <v>180</v>
      </c>
      <c r="V4" s="25">
        <f>H4*U4*I4/15</f>
        <v>661716</v>
      </c>
      <c r="W4" s="25">
        <v>209.54</v>
      </c>
      <c r="X4" s="25">
        <v>756893.4</v>
      </c>
      <c r="Y4" s="25">
        <f>(G4*42)+(F4*42)</f>
        <v>8400</v>
      </c>
      <c r="Z4" s="25">
        <v>87441</v>
      </c>
      <c r="AA4" s="25">
        <v>0</v>
      </c>
      <c r="AB4" s="25">
        <v>3600</v>
      </c>
      <c r="AC4" s="25">
        <v>0</v>
      </c>
      <c r="AD4" s="25">
        <f>IF(F4="",G4*4.11,F4*4.11)</f>
        <v>822.00000000000011</v>
      </c>
      <c r="AE4" s="25">
        <v>1513.79</v>
      </c>
      <c r="AF4" s="25">
        <f>V4+Y4+Z4+AA4+AB4+AC4+AD4</f>
        <v>761979</v>
      </c>
      <c r="AG4" s="25">
        <f>IFERROR(IFERROR((H4*W4*J4/15)-AE4,""),"")</f>
        <v>755379.61333333317</v>
      </c>
      <c r="AH4" s="26">
        <f>IFERROR(AG4-AF4,0)</f>
        <v>-6599.3866666668328</v>
      </c>
      <c r="AI4" s="6">
        <f>IF(F4="",(G4/$F$128)*$AL$25,(F4/$F$128)*$AL$25)</f>
        <v>6384.8788638262322</v>
      </c>
      <c r="AJ4" s="25">
        <f>(AH4-AI4)*70%</f>
        <v>-9088.9858713451449</v>
      </c>
      <c r="AL4" s="166" t="s">
        <v>749</v>
      </c>
      <c r="AM4" s="167">
        <f>AM3/AL3</f>
        <v>2.5044511558194427E-2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-32.996933333334162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-8.7365167793516576E-3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45179</v>
      </c>
      <c r="B9" s="21" t="s">
        <v>330</v>
      </c>
      <c r="C9" s="21" t="s">
        <v>696</v>
      </c>
      <c r="D9" s="44">
        <v>1869584</v>
      </c>
      <c r="E9" s="44" t="s">
        <v>652</v>
      </c>
      <c r="F9" s="21">
        <v>50</v>
      </c>
      <c r="G9" s="21"/>
      <c r="H9" s="22">
        <v>26095</v>
      </c>
      <c r="I9" s="33">
        <v>0.53</v>
      </c>
      <c r="J9" s="24">
        <f>IFERROR(K9/H9,"")</f>
        <v>0.57760107300249086</v>
      </c>
      <c r="K9" s="22">
        <v>15072.5</v>
      </c>
      <c r="L9" s="21">
        <v>4</v>
      </c>
      <c r="M9" s="21">
        <v>20</v>
      </c>
      <c r="N9" s="21">
        <v>17</v>
      </c>
      <c r="O9" s="21">
        <v>9</v>
      </c>
      <c r="P9" s="21"/>
      <c r="Q9" s="21"/>
      <c r="R9" s="21"/>
      <c r="S9" s="21"/>
      <c r="T9" s="21"/>
      <c r="U9" s="25">
        <v>190</v>
      </c>
      <c r="V9" s="25">
        <f>H9*U9*I9/15</f>
        <v>175184.43333333332</v>
      </c>
      <c r="W9" s="25">
        <v>205.19</v>
      </c>
      <c r="X9" s="25">
        <f>798343.22/200*F9</f>
        <v>199585.80499999999</v>
      </c>
      <c r="Y9" s="25">
        <f>(G9*60)+(F9*60)</f>
        <v>3000</v>
      </c>
      <c r="Z9" s="25">
        <v>11507.2</v>
      </c>
      <c r="AA9" s="25">
        <v>0</v>
      </c>
      <c r="AB9" s="25">
        <v>950</v>
      </c>
      <c r="AC9" s="25">
        <f>F9*38</f>
        <v>1900</v>
      </c>
      <c r="AD9" s="25">
        <f>IF(F9="",G9*4.11,F9*4.11)</f>
        <v>205.50000000000003</v>
      </c>
      <c r="AE9" s="25">
        <v>399.18</v>
      </c>
      <c r="AF9" s="25">
        <f>V9+Y9+Z9+AA9+AB9+AC9+AD9</f>
        <v>192747.13333333333</v>
      </c>
      <c r="AG9" s="25">
        <f>IFERROR(IFERROR((H9*W9*J9/15)-AE9,""),"")</f>
        <v>205782.57166666666</v>
      </c>
      <c r="AH9" s="26">
        <f>IFERROR(AG9-AF9,0)</f>
        <v>13035.438333333324</v>
      </c>
      <c r="AI9" s="6">
        <f>IF(F9="",(G9/$F$128)*$AL$25,(F9/$F$128)*$AL$25)</f>
        <v>1596.219715956558</v>
      </c>
      <c r="AJ9" s="25">
        <f>(AH9-AI9)*70%</f>
        <v>8007.4530321637358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260.70876666666646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6.3345686798241374E-2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51">
        <v>45180</v>
      </c>
      <c r="B14" s="21" t="s">
        <v>632</v>
      </c>
      <c r="C14" s="21" t="s">
        <v>697</v>
      </c>
      <c r="D14" s="44">
        <v>1869627</v>
      </c>
      <c r="E14" s="44" t="s">
        <v>652</v>
      </c>
      <c r="F14" s="21">
        <v>100</v>
      </c>
      <c r="G14" s="21"/>
      <c r="H14" s="22">
        <v>63420</v>
      </c>
      <c r="I14" s="33">
        <v>0.55000000000000004</v>
      </c>
      <c r="J14" s="24">
        <f>IFERROR(K14/H14,"")</f>
        <v>0.51881898454746134</v>
      </c>
      <c r="K14" s="22">
        <v>32903.5</v>
      </c>
      <c r="L14" s="21">
        <v>24</v>
      </c>
      <c r="M14" s="21">
        <v>39</v>
      </c>
      <c r="N14" s="21">
        <v>28</v>
      </c>
      <c r="O14" s="21">
        <v>7</v>
      </c>
      <c r="P14" s="21">
        <v>2</v>
      </c>
      <c r="Q14" s="21"/>
      <c r="R14" s="21"/>
      <c r="S14" s="21"/>
      <c r="T14" s="21"/>
      <c r="U14" s="25">
        <v>180</v>
      </c>
      <c r="V14" s="25">
        <f>H14*U14*I14/15</f>
        <v>418572.00000000006</v>
      </c>
      <c r="W14" s="25">
        <v>205.22</v>
      </c>
      <c r="X14" s="25">
        <f>889920.19/200*F14</f>
        <v>444960.09499999997</v>
      </c>
      <c r="Y14" s="25">
        <f>(G14*42)+(F14*42)</f>
        <v>4200</v>
      </c>
      <c r="Z14" s="25">
        <v>37868</v>
      </c>
      <c r="AA14" s="25">
        <v>0</v>
      </c>
      <c r="AB14" s="25">
        <v>1800</v>
      </c>
      <c r="AC14" s="25">
        <v>0</v>
      </c>
      <c r="AD14" s="25">
        <f>IF(F14="",G14*4.11,F14*4.11)</f>
        <v>411.00000000000006</v>
      </c>
      <c r="AE14" s="82">
        <v>889.92</v>
      </c>
      <c r="AF14" s="25">
        <f>V14+Y14+Z14+AA14+AB14+AC14+AD14</f>
        <v>462851.00000000006</v>
      </c>
      <c r="AG14" s="25">
        <f>IFERROR(IFERROR((H14*W14*J14/15)-AE14,""),"")</f>
        <v>449273.83133333334</v>
      </c>
      <c r="AH14" s="26">
        <f>IFERROR(AG14-AF14,0)</f>
        <v>-13577.168666666723</v>
      </c>
      <c r="AI14" s="6">
        <f>IF(F14="",(G14/$F$128)*$AL$25,(F14/$F$128)*$AL$25)</f>
        <v>3192.4394319131161</v>
      </c>
      <c r="AJ14" s="25">
        <f>(AH14-AI14)*70%</f>
        <v>-11738.725669005888</v>
      </c>
      <c r="AL14" s="14">
        <f>F4+G4+F9+G9+F14+G14+F19+G19+F24+G24+F29+G29+F34+G34+F39+G39+F44+G44+F49+G49+F59+G59+F64+G64+F54+G54+F69+G69+F74+G74+F79+G79+F84+G84+F89+G89+F94+G94+F99+G99+F104+G104+F109+G109+F114+G114+F119+G119+F124+G124</f>
        <v>1197</v>
      </c>
      <c r="AM14" s="118" t="s">
        <v>22</v>
      </c>
      <c r="AN14" t="s">
        <v>71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-135.77168666666722</v>
      </c>
      <c r="AL15" s="11">
        <f>AH128</f>
        <v>156694.89515333288</v>
      </c>
      <c r="AM15" s="11">
        <f>AL15*30%</f>
        <v>47008.468545999865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-3.0220252593775723E-2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45180</v>
      </c>
      <c r="B19" s="21" t="s">
        <v>632</v>
      </c>
      <c r="C19" s="21" t="s">
        <v>637</v>
      </c>
      <c r="D19" s="44">
        <v>1869584</v>
      </c>
      <c r="E19" s="44" t="s">
        <v>652</v>
      </c>
      <c r="F19" s="21">
        <v>50</v>
      </c>
      <c r="G19" s="21"/>
      <c r="H19" s="22">
        <v>27040</v>
      </c>
      <c r="I19" s="33">
        <v>0.54</v>
      </c>
      <c r="J19" s="24">
        <f>IFERROR(K19/H19,"")</f>
        <v>0.56556952662721893</v>
      </c>
      <c r="K19" s="22">
        <v>15293</v>
      </c>
      <c r="L19" s="21">
        <f>1+2</f>
        <v>3</v>
      </c>
      <c r="M19" s="21">
        <v>15</v>
      </c>
      <c r="N19" s="21">
        <v>28</v>
      </c>
      <c r="O19" s="21">
        <v>4</v>
      </c>
      <c r="P19" s="21"/>
      <c r="Q19" s="21"/>
      <c r="R19" s="21"/>
      <c r="S19" s="21"/>
      <c r="T19" s="21"/>
      <c r="U19" s="25">
        <v>177.5</v>
      </c>
      <c r="V19" s="25">
        <f>H19*U19*I19/15</f>
        <v>172785.6</v>
      </c>
      <c r="W19" s="25">
        <v>205.19</v>
      </c>
      <c r="X19" s="25">
        <f>798343.22/200*F19</f>
        <v>199585.80499999999</v>
      </c>
      <c r="Y19" s="25">
        <f>(G19*42)+(F19*42)</f>
        <v>2100</v>
      </c>
      <c r="Z19" s="25">
        <v>13551.7</v>
      </c>
      <c r="AA19" s="25">
        <v>0</v>
      </c>
      <c r="AB19" s="25">
        <v>887.5</v>
      </c>
      <c r="AC19" s="25">
        <v>0</v>
      </c>
      <c r="AD19" s="25">
        <f>IF(F19="",G19*4.11,F19*4.11)</f>
        <v>205.50000000000003</v>
      </c>
      <c r="AE19" s="25">
        <v>399.17</v>
      </c>
      <c r="AF19" s="25">
        <f>V19+Y19+Z19+AA19+AB19+AC19+AD19</f>
        <v>189530.30000000002</v>
      </c>
      <c r="AG19" s="25">
        <f>IFERROR(IFERROR((H19*W19*J19/15)-AE19,""),"")</f>
        <v>208798.87466666664</v>
      </c>
      <c r="AH19" s="26">
        <f>IFERROR(AG19-AF19,0)</f>
        <v>19268.574666666624</v>
      </c>
      <c r="AI19" s="6">
        <f>IF(F19="",(G19/$F$128)*$AL$25,(F19/$F$128)*$AL$25)</f>
        <v>1596.219715956558</v>
      </c>
      <c r="AJ19" s="25">
        <f>(AH19-AI19)*70%</f>
        <v>12370.648465497045</v>
      </c>
      <c r="AL19" s="178">
        <v>1500</v>
      </c>
      <c r="AM19" s="6" t="s">
        <v>698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2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385.37149333333247</v>
      </c>
      <c r="AL20" s="178">
        <v>1320</v>
      </c>
      <c r="AM20" s="6" t="s">
        <v>699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9.2282943083039151E-2</v>
      </c>
      <c r="AL21" s="178">
        <v>790</v>
      </c>
      <c r="AM21" s="6" t="s">
        <v>701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3"/>
      <c r="AA22" s="21"/>
      <c r="AB22" s="21"/>
      <c r="AC22" s="21"/>
      <c r="AD22" s="21"/>
      <c r="AE22" s="21"/>
      <c r="AF22" s="21"/>
      <c r="AG22" s="21"/>
      <c r="AH22" s="24"/>
      <c r="AL22" s="178">
        <v>1650</v>
      </c>
      <c r="AM22" s="6" t="s">
        <v>711</v>
      </c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>
        <v>32953.5</v>
      </c>
      <c r="AM23" s="6" t="s">
        <v>713</v>
      </c>
      <c r="AN23" s="174"/>
    </row>
    <row r="24" spans="1:40" x14ac:dyDescent="0.35">
      <c r="A24" s="20">
        <v>45180</v>
      </c>
      <c r="B24" s="21" t="s">
        <v>330</v>
      </c>
      <c r="C24" s="21" t="s">
        <v>224</v>
      </c>
      <c r="D24" s="44">
        <v>1869584</v>
      </c>
      <c r="E24" s="44" t="s">
        <v>652</v>
      </c>
      <c r="F24" s="21">
        <v>100</v>
      </c>
      <c r="G24" s="21"/>
      <c r="H24" s="22">
        <v>53600</v>
      </c>
      <c r="I24" s="33">
        <v>0.54</v>
      </c>
      <c r="J24" s="24">
        <f>IFERROR(K24/H24,"")</f>
        <v>0.52231343283582088</v>
      </c>
      <c r="K24" s="22">
        <v>27996</v>
      </c>
      <c r="L24" s="21">
        <v>33</v>
      </c>
      <c r="M24" s="21">
        <v>27</v>
      </c>
      <c r="N24" s="21">
        <v>30</v>
      </c>
      <c r="O24" s="21">
        <v>9</v>
      </c>
      <c r="P24" s="21">
        <v>1</v>
      </c>
      <c r="Q24" s="21"/>
      <c r="R24" s="21"/>
      <c r="S24" s="21"/>
      <c r="T24" s="21"/>
      <c r="U24" s="25">
        <v>185</v>
      </c>
      <c r="V24" s="25">
        <f>H24*U24*I24/15</f>
        <v>356976</v>
      </c>
      <c r="W24" s="25">
        <v>205.19</v>
      </c>
      <c r="X24" s="25">
        <f>798343.22/200*F24</f>
        <v>399171.61</v>
      </c>
      <c r="Y24" s="25">
        <f>(G24*60)+(F24*60)</f>
        <v>6000</v>
      </c>
      <c r="Z24" s="25">
        <v>22013.200000000001</v>
      </c>
      <c r="AA24" s="25">
        <v>0</v>
      </c>
      <c r="AB24" s="25">
        <v>1850</v>
      </c>
      <c r="AC24" s="25">
        <f>F24*38</f>
        <v>3800</v>
      </c>
      <c r="AD24" s="25">
        <f>IF(F24="",G24*4.11,F24*4.11)</f>
        <v>411.00000000000006</v>
      </c>
      <c r="AE24" s="25">
        <v>798.33</v>
      </c>
      <c r="AF24" s="25">
        <f>V24+Y24+Z24+AA24+AB24+AC24+AD24</f>
        <v>391050.2</v>
      </c>
      <c r="AG24" s="25">
        <f>IFERROR(IFERROR((H24*W24*J24/15)-AE24,""),"")</f>
        <v>382168.28600000002</v>
      </c>
      <c r="AH24" s="26">
        <f>IFERROR(AG24-AF24,0)</f>
        <v>-8881.9139999999898</v>
      </c>
      <c r="AI24" s="6">
        <f>IF(F24="",(G24/$F$128)*$AL$25,(F24/$F$128)*$AL$25)</f>
        <v>3192.4394319131161</v>
      </c>
      <c r="AJ24" s="25">
        <f>(AH24-AI24)*70%</f>
        <v>-8452.0474023391744</v>
      </c>
      <c r="AL24" s="178"/>
      <c r="AM24" s="6"/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-88.819139999999891</v>
      </c>
      <c r="AL25" s="214">
        <f>SUM(AL19:AL24)</f>
        <v>38213.5</v>
      </c>
      <c r="AM25" s="189" t="s">
        <v>673</v>
      </c>
      <c r="AN25" s="191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-2.3240845264695744E-2</v>
      </c>
      <c r="AL26" s="57"/>
      <c r="AM26" s="6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I27" s="47"/>
      <c r="AJ27" s="47"/>
      <c r="AL27" s="57"/>
      <c r="AM27" s="118" t="s">
        <v>22</v>
      </c>
      <c r="AN27" s="12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53">
        <f>AL15-AL25</f>
        <v>118481.39515333288</v>
      </c>
      <c r="AM28" s="248">
        <f>AL28*30%</f>
        <v>35544.418545999863</v>
      </c>
      <c r="AN28" s="154"/>
    </row>
    <row r="29" spans="1:40" x14ac:dyDescent="0.35">
      <c r="A29" s="251">
        <v>45181</v>
      </c>
      <c r="B29" s="21" t="s">
        <v>330</v>
      </c>
      <c r="C29" s="21" t="s">
        <v>582</v>
      </c>
      <c r="D29" s="44">
        <v>1869627</v>
      </c>
      <c r="E29" s="44" t="s">
        <v>652</v>
      </c>
      <c r="F29" s="21">
        <v>50</v>
      </c>
      <c r="G29" s="21"/>
      <c r="H29" s="22">
        <v>25600</v>
      </c>
      <c r="I29" s="33">
        <v>0.53</v>
      </c>
      <c r="J29" s="24">
        <f>IFERROR(K29/H29,"")</f>
        <v>0.53369140625</v>
      </c>
      <c r="K29" s="22">
        <v>13662.5</v>
      </c>
      <c r="L29" s="21">
        <v>7</v>
      </c>
      <c r="M29" s="21">
        <v>22</v>
      </c>
      <c r="N29" s="21">
        <v>17</v>
      </c>
      <c r="O29" s="21">
        <v>4</v>
      </c>
      <c r="P29" s="21"/>
      <c r="Q29" s="21"/>
      <c r="R29" s="21"/>
      <c r="S29" s="21"/>
      <c r="T29" s="21"/>
      <c r="U29" s="25">
        <v>195</v>
      </c>
      <c r="V29" s="25">
        <f>H29*U29*I29/15</f>
        <v>176384</v>
      </c>
      <c r="W29" s="25">
        <v>205.22</v>
      </c>
      <c r="X29" s="25">
        <f>889920.19/200*F29</f>
        <v>222480.04749999999</v>
      </c>
      <c r="Y29" s="25">
        <f>(G29*60)+(F29*60)</f>
        <v>3000</v>
      </c>
      <c r="Z29" s="25">
        <v>11546.2</v>
      </c>
      <c r="AA29" s="25">
        <v>0</v>
      </c>
      <c r="AB29" s="25">
        <v>975</v>
      </c>
      <c r="AC29" s="25">
        <f>F29*38</f>
        <v>1900</v>
      </c>
      <c r="AD29" s="25">
        <f>IF(F29="",G29*4.11,F29*4.11)</f>
        <v>205.50000000000003</v>
      </c>
      <c r="AE29" s="82">
        <v>444.96</v>
      </c>
      <c r="AF29" s="25">
        <f>V29+Y29+Z29+AA29+AB29+AC29+AD29</f>
        <v>194010.7</v>
      </c>
      <c r="AG29" s="25">
        <f>IFERROR(IFERROR((H29*W29*J29/15)-AE29,""),"")</f>
        <v>186476.25666666668</v>
      </c>
      <c r="AH29" s="26">
        <f>IFERROR(AG29-AF29,0)</f>
        <v>-7534.4433333333291</v>
      </c>
      <c r="AI29" s="6">
        <f>IF(F29="",(G29/$F$128)*$AL$25,(F29/$F$128)*$AL$25)</f>
        <v>1596.219715956558</v>
      </c>
      <c r="AJ29" s="25">
        <f>(AH29-AI29)*70%</f>
        <v>-6391.4641345029213</v>
      </c>
      <c r="AL29" s="57"/>
      <c r="AM29" s="249"/>
      <c r="AN29" s="24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-150.68886666666657</v>
      </c>
      <c r="AL30" s="6">
        <f>AH4+AH9+AH14+AH19+AH24+AH29+AH44+AH49+AH54+AH64+AH79</f>
        <v>68439.607206283166</v>
      </c>
      <c r="AM30" s="248" t="s">
        <v>721</v>
      </c>
      <c r="AN30" s="1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-4.0404303840147489E-2</v>
      </c>
      <c r="AL31" s="6">
        <f>AH34+AH39+AH59+AH69+AH74</f>
        <v>88255.287947049714</v>
      </c>
      <c r="AM31" s="1" t="s">
        <v>722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7">
        <f>AL30-AL25</f>
        <v>30226.107206283166</v>
      </c>
      <c r="AM33" s="1" t="s">
        <v>730</v>
      </c>
    </row>
    <row r="34" spans="1:40" x14ac:dyDescent="0.35">
      <c r="A34" s="20">
        <v>45181</v>
      </c>
      <c r="B34" s="21" t="s">
        <v>330</v>
      </c>
      <c r="C34" s="21" t="s">
        <v>288</v>
      </c>
      <c r="D34" s="157">
        <v>155733</v>
      </c>
      <c r="E34" s="44" t="s">
        <v>641</v>
      </c>
      <c r="F34" s="21">
        <v>57</v>
      </c>
      <c r="G34" s="21"/>
      <c r="H34" s="22">
        <v>21570</v>
      </c>
      <c r="I34" s="33">
        <v>0.52</v>
      </c>
      <c r="J34" s="24">
        <f>IFERROR(K34/H34,"")</f>
        <v>0.5581594807603153</v>
      </c>
      <c r="K34" s="22">
        <v>12039.5</v>
      </c>
      <c r="L34" s="21">
        <v>12</v>
      </c>
      <c r="M34" s="21">
        <v>24</v>
      </c>
      <c r="N34" s="21">
        <v>19</v>
      </c>
      <c r="O34" s="21">
        <v>2</v>
      </c>
      <c r="P34" s="21"/>
      <c r="Q34" s="21"/>
      <c r="R34" s="21"/>
      <c r="S34" s="21"/>
      <c r="T34" s="21"/>
      <c r="U34" s="25">
        <v>180</v>
      </c>
      <c r="V34" s="25">
        <f>H34*U34*I34/15</f>
        <v>134596.79999999999</v>
      </c>
      <c r="W34" s="25">
        <v>211.22</v>
      </c>
      <c r="X34" s="25">
        <v>166423.76</v>
      </c>
      <c r="Y34" s="25">
        <f>(G34*60)+(F34*60)</f>
        <v>3420</v>
      </c>
      <c r="Z34" s="25">
        <v>12186</v>
      </c>
      <c r="AA34" s="25">
        <v>0</v>
      </c>
      <c r="AB34" s="25">
        <v>1026</v>
      </c>
      <c r="AC34" s="25">
        <f>F34*38</f>
        <v>2166</v>
      </c>
      <c r="AD34" s="25">
        <f>IF(F34="",G34*4.11,F34*4.11)</f>
        <v>234.27</v>
      </c>
      <c r="AE34" s="25">
        <v>332.85</v>
      </c>
      <c r="AF34" s="25">
        <f>V34+Y34+Z34+AA34+AB34+AC34+AD34</f>
        <v>153629.06999999998</v>
      </c>
      <c r="AG34" s="25">
        <f>IFERROR(IFERROR((H34*W34*J34/15)-AE34,""),"")</f>
        <v>169199.36266666668</v>
      </c>
      <c r="AH34" s="26">
        <f>IFERROR(AG34-AF34,0)</f>
        <v>15570.292666666704</v>
      </c>
      <c r="AI34" s="6">
        <f>IF(F34="",(G34/$F$128)*$AL$25,(F34/$F$128)*$AL$25)</f>
        <v>1819.6904761904761</v>
      </c>
      <c r="AJ34" s="25">
        <f>(AH34-AI34)*70%</f>
        <v>9625.4215333333577</v>
      </c>
      <c r="AL34" s="255">
        <f>AL33*30%</f>
        <v>9067.8321618849495</v>
      </c>
      <c r="AM34" s="124" t="s">
        <v>731</v>
      </c>
      <c r="AN34" s="256" t="s">
        <v>734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273.16302923976673</v>
      </c>
      <c r="AL35" s="257">
        <f>AL31*30%</f>
        <v>26476.586384114915</v>
      </c>
      <c r="AM35" s="137" t="s">
        <v>732</v>
      </c>
      <c r="AN35" s="258">
        <v>45219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9.2023352932724428E-2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45182</v>
      </c>
      <c r="B39" s="21" t="s">
        <v>330</v>
      </c>
      <c r="C39" s="21" t="s">
        <v>141</v>
      </c>
      <c r="D39" s="157">
        <v>155734</v>
      </c>
      <c r="E39" s="44" t="s">
        <v>641</v>
      </c>
      <c r="F39" s="21">
        <v>100</v>
      </c>
      <c r="G39" s="21"/>
      <c r="H39" s="22">
        <v>53680</v>
      </c>
      <c r="I39" s="33">
        <v>0.53</v>
      </c>
      <c r="J39" s="24">
        <f>IFERROR(K39/H39,"")</f>
        <v>0.56803278688524594</v>
      </c>
      <c r="K39" s="22">
        <v>30492</v>
      </c>
      <c r="L39" s="21">
        <f>62+1</f>
        <v>63</v>
      </c>
      <c r="M39" s="21">
        <v>31</v>
      </c>
      <c r="N39" s="21">
        <v>5</v>
      </c>
      <c r="O39" s="21">
        <v>1</v>
      </c>
      <c r="P39" s="21"/>
      <c r="Q39" s="21"/>
      <c r="R39" s="21"/>
      <c r="S39" s="21"/>
      <c r="T39" s="21"/>
      <c r="U39" s="25">
        <v>200</v>
      </c>
      <c r="V39" s="25">
        <f>H39*U39*I39/15</f>
        <v>379338.66666666669</v>
      </c>
      <c r="W39" s="25">
        <v>220.65</v>
      </c>
      <c r="X39" s="25">
        <v>448536.56</v>
      </c>
      <c r="Y39" s="25">
        <f>(G39*60)+(F39*60)</f>
        <v>6000</v>
      </c>
      <c r="Z39" s="25">
        <v>18311</v>
      </c>
      <c r="AA39" s="25">
        <v>0</v>
      </c>
      <c r="AB39" s="25">
        <v>2000</v>
      </c>
      <c r="AC39" s="25">
        <f>G39*35+F39*38</f>
        <v>3800</v>
      </c>
      <c r="AD39" s="25">
        <f>IF(F39="",G39*4.11,F39*4.11)</f>
        <v>411.00000000000006</v>
      </c>
      <c r="AE39" s="25">
        <v>897.07</v>
      </c>
      <c r="AF39" s="25">
        <f>V39+Y39+Z39+AA39+AB39+AC39+AD39</f>
        <v>409860.66666666669</v>
      </c>
      <c r="AG39" s="25">
        <f>IFERROR(IFERROR((H39*W39*J39/15)-AE39,""),"")</f>
        <v>447640.25000000006</v>
      </c>
      <c r="AH39" s="26">
        <f>IFERROR(AG39-AF39,0)</f>
        <v>37779.583333333372</v>
      </c>
      <c r="AI39" s="6">
        <f>IF(F39="",(G39/$F$128)*$AL$25,(F39/$F$128)*$AL$25)</f>
        <v>3192.4394319131161</v>
      </c>
      <c r="AJ39" s="25">
        <f>(AH39-AI39)*70%</f>
        <v>24211.000730994176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377.79583333333375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8.4397199164582201E-2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45182</v>
      </c>
      <c r="B44" s="21" t="s">
        <v>330</v>
      </c>
      <c r="C44" s="21" t="s">
        <v>253</v>
      </c>
      <c r="D44" s="44">
        <v>1869638</v>
      </c>
      <c r="E44" s="44" t="s">
        <v>652</v>
      </c>
      <c r="F44" s="21">
        <v>175</v>
      </c>
      <c r="G44" s="21"/>
      <c r="H44" s="22">
        <v>88795</v>
      </c>
      <c r="I44" s="33">
        <v>0.54</v>
      </c>
      <c r="J44" s="24">
        <f>IFERROR(K44/H44,"")</f>
        <v>0.55118910130074883</v>
      </c>
      <c r="K44" s="22">
        <f>55934.67/200*F44</f>
        <v>48942.836249999993</v>
      </c>
      <c r="L44" s="21">
        <v>9</v>
      </c>
      <c r="M44" s="21">
        <v>65</v>
      </c>
      <c r="N44" s="21">
        <v>77</v>
      </c>
      <c r="O44" s="21">
        <v>22</v>
      </c>
      <c r="P44" s="21">
        <v>2</v>
      </c>
      <c r="Q44" s="21"/>
      <c r="R44" s="21"/>
      <c r="S44" s="21"/>
      <c r="T44" s="21"/>
      <c r="U44" s="25">
        <v>190</v>
      </c>
      <c r="V44" s="25">
        <f>H44*U44*I44/15</f>
        <v>607357.80000000005</v>
      </c>
      <c r="W44" s="25">
        <v>204.61</v>
      </c>
      <c r="X44" s="25">
        <f>762977.88/200*F44</f>
        <v>667605.64500000002</v>
      </c>
      <c r="Y44" s="25">
        <f>(G44*60)+(F44*60)</f>
        <v>10500</v>
      </c>
      <c r="Z44" s="25">
        <f>45364.8/200*F44</f>
        <v>39694.200000000004</v>
      </c>
      <c r="AA44" s="25">
        <v>0</v>
      </c>
      <c r="AB44" s="25">
        <v>3325</v>
      </c>
      <c r="AC44" s="25">
        <f>F44*38</f>
        <v>6650</v>
      </c>
      <c r="AD44" s="25">
        <f>IF(F44="",G44*4.11,F44*4.11)</f>
        <v>719.25</v>
      </c>
      <c r="AE44" s="25">
        <f>X44*0.2%</f>
        <v>1335.21129</v>
      </c>
      <c r="AF44" s="25">
        <f>V44+Y44+Z44+AA44+AB44+AC44+AD44</f>
        <v>668246.25</v>
      </c>
      <c r="AG44" s="25">
        <f>IFERROR(IFERROR((H44*W44*J44/15)-AE44,""),"")</f>
        <v>666277.70371749997</v>
      </c>
      <c r="AH44" s="26">
        <f>IFERROR(AG44-AF44,0)</f>
        <v>-1968.5462825000286</v>
      </c>
      <c r="AI44" s="6">
        <f>IF(F44="",(G44/$F$128)*$AL$25,(F44/$F$128)*$AL$25)</f>
        <v>5586.7690058479529</v>
      </c>
      <c r="AJ44" s="25">
        <f>(AH44-AI44)*70%</f>
        <v>-5288.7207018435865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-11.248835900000163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-2.9545432355255388E-3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45182</v>
      </c>
      <c r="B49" s="21" t="s">
        <v>330</v>
      </c>
      <c r="C49" s="21" t="s">
        <v>253</v>
      </c>
      <c r="D49" s="44">
        <v>1869638</v>
      </c>
      <c r="E49" s="44" t="s">
        <v>652</v>
      </c>
      <c r="F49" s="21">
        <v>25</v>
      </c>
      <c r="G49" s="21"/>
      <c r="H49" s="22">
        <v>12685</v>
      </c>
      <c r="I49" s="33">
        <v>0.54</v>
      </c>
      <c r="J49" s="24">
        <f>IFERROR(K49/H49,"")</f>
        <v>0.55118910130074883</v>
      </c>
      <c r="K49" s="22">
        <f>55934.67/200*F49</f>
        <v>6991.8337499999989</v>
      </c>
      <c r="L49" s="21">
        <v>1</v>
      </c>
      <c r="M49" s="21">
        <v>9</v>
      </c>
      <c r="N49" s="21">
        <v>11</v>
      </c>
      <c r="O49" s="21">
        <v>4</v>
      </c>
      <c r="P49" s="252"/>
      <c r="Q49" s="21"/>
      <c r="R49" s="21"/>
      <c r="S49" s="21"/>
      <c r="T49" s="21"/>
      <c r="U49" s="25">
        <v>170</v>
      </c>
      <c r="V49" s="25">
        <f>H49*U49*I49/15</f>
        <v>77632.2</v>
      </c>
      <c r="W49" s="25">
        <v>204.61</v>
      </c>
      <c r="X49" s="25">
        <f>762977.88/200*F49</f>
        <v>95372.235000000001</v>
      </c>
      <c r="Y49" s="25">
        <f>(G49*60)+(F49*60)</f>
        <v>1500</v>
      </c>
      <c r="Z49" s="25">
        <f>45364.8/200*F49</f>
        <v>5670.6</v>
      </c>
      <c r="AA49" s="25">
        <v>0</v>
      </c>
      <c r="AB49" s="25">
        <v>425</v>
      </c>
      <c r="AC49" s="25">
        <f>F49*38</f>
        <v>950</v>
      </c>
      <c r="AD49" s="25">
        <f>IF(F49="",G49*4.11,F49*4.11)</f>
        <v>102.75000000000001</v>
      </c>
      <c r="AE49" s="25">
        <f>X49*0.2%</f>
        <v>190.74447000000001</v>
      </c>
      <c r="AF49" s="25">
        <f>V49+Y49+Z49+AA49+AB49+AC49+AD49</f>
        <v>86280.55</v>
      </c>
      <c r="AG49" s="25">
        <f>IFERROR(IFERROR((H49*W49*J49/15)-AE49,""),"")</f>
        <v>95182.52910249999</v>
      </c>
      <c r="AH49" s="26">
        <f>IFERROR(AG49-AF49,0)</f>
        <v>8901.9791024999868</v>
      </c>
      <c r="AI49" s="6">
        <f>IF(F49="",(G49/$F$128)*$AL$25,(F49/$F$128)*$AL$25)</f>
        <v>798.10985797827902</v>
      </c>
      <c r="AJ49" s="25">
        <f>(AH49-AI49)*70%</f>
        <v>5672.7084711651951</v>
      </c>
      <c r="AL49" s="6"/>
      <c r="AM49" s="6"/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356.07916409999945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9.3525347418680585E-2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47"/>
      <c r="AJ52" s="47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51">
        <v>45182</v>
      </c>
      <c r="B54" s="21" t="s">
        <v>700</v>
      </c>
      <c r="C54" s="21" t="s">
        <v>370</v>
      </c>
      <c r="D54" s="44">
        <v>1869627</v>
      </c>
      <c r="E54" s="44" t="s">
        <v>652</v>
      </c>
      <c r="F54" s="21">
        <v>50</v>
      </c>
      <c r="G54" s="21"/>
      <c r="H54" s="22">
        <v>27924</v>
      </c>
      <c r="I54" s="33">
        <v>0.55000000000000004</v>
      </c>
      <c r="J54" s="24">
        <f>IFERROR(K54/H54,"")</f>
        <v>0.66185002148689298</v>
      </c>
      <c r="K54" s="22">
        <v>18481.5</v>
      </c>
      <c r="L54" s="21">
        <v>7</v>
      </c>
      <c r="M54" s="21">
        <v>14</v>
      </c>
      <c r="N54" s="21">
        <v>16</v>
      </c>
      <c r="O54" s="21">
        <v>10</v>
      </c>
      <c r="P54" s="21">
        <v>3</v>
      </c>
      <c r="Q54" s="21"/>
      <c r="R54" s="21"/>
      <c r="S54" s="21"/>
      <c r="T54" s="21"/>
      <c r="U54" s="25">
        <v>210</v>
      </c>
      <c r="V54" s="25">
        <f>H54*U54*I54/15</f>
        <v>215014.80000000002</v>
      </c>
      <c r="W54" s="25">
        <v>205.22</v>
      </c>
      <c r="X54" s="25">
        <f>889920.19/200*F54</f>
        <v>222480.04749999999</v>
      </c>
      <c r="Y54" s="25">
        <v>0</v>
      </c>
      <c r="Z54" s="25">
        <v>3696</v>
      </c>
      <c r="AA54" s="25">
        <v>0</v>
      </c>
      <c r="AB54" s="25">
        <v>1050</v>
      </c>
      <c r="AC54" s="25">
        <v>0</v>
      </c>
      <c r="AD54" s="25">
        <f>IF(F54="",G54*4.11,F54*4.11)</f>
        <v>205.50000000000003</v>
      </c>
      <c r="AE54" s="82">
        <v>444.96</v>
      </c>
      <c r="AF54" s="25">
        <f>V54+Y54+Z54+AA54+AB54+AC54+AD54</f>
        <v>219966.30000000002</v>
      </c>
      <c r="AG54" s="25">
        <f>IFERROR(IFERROR((H54*W54*J54/15)-AE54,""),"")</f>
        <v>252406.60200000001</v>
      </c>
      <c r="AH54" s="26">
        <f>IFERROR(AG54-AF54,0)</f>
        <v>32440.301999999996</v>
      </c>
      <c r="AI54" s="6">
        <f>IF(F54="",(G54/$F$128)*$AL$25,(F54/$F$128)*$AL$25)</f>
        <v>1596.219715956558</v>
      </c>
      <c r="AJ54" s="25">
        <f>(AH54-AI54)*70%</f>
        <v>21590.857598830404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648.80603999999994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0.12852398369516496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45182</v>
      </c>
      <c r="B59" s="21" t="s">
        <v>700</v>
      </c>
      <c r="C59" s="21" t="s">
        <v>370</v>
      </c>
      <c r="D59" s="157">
        <v>156206</v>
      </c>
      <c r="E59" s="44" t="s">
        <v>641</v>
      </c>
      <c r="F59" s="21">
        <v>100</v>
      </c>
      <c r="G59" s="21"/>
      <c r="H59" s="22">
        <v>55846</v>
      </c>
      <c r="I59" s="33">
        <v>0.55000000000000004</v>
      </c>
      <c r="J59" s="24">
        <f>IFERROR(K59/H59,"")</f>
        <v>0.56892167747018585</v>
      </c>
      <c r="K59" s="22">
        <v>31772</v>
      </c>
      <c r="L59" s="21">
        <v>49</v>
      </c>
      <c r="M59" s="21">
        <f>40+1</f>
        <v>41</v>
      </c>
      <c r="N59" s="21">
        <v>10</v>
      </c>
      <c r="O59" s="21"/>
      <c r="P59" s="21"/>
      <c r="Q59" s="21"/>
      <c r="R59" s="21"/>
      <c r="S59" s="21"/>
      <c r="T59" s="21"/>
      <c r="U59" s="25">
        <v>210</v>
      </c>
      <c r="V59" s="25">
        <f>H59*U59*I59/15</f>
        <v>430014.20000000007</v>
      </c>
      <c r="W59" s="25">
        <v>219.23</v>
      </c>
      <c r="X59" s="25">
        <v>464358.24</v>
      </c>
      <c r="Y59" s="25">
        <v>0</v>
      </c>
      <c r="Z59" s="25">
        <v>6160</v>
      </c>
      <c r="AA59" s="25">
        <v>0</v>
      </c>
      <c r="AB59" s="25">
        <v>2100</v>
      </c>
      <c r="AC59" s="25">
        <v>0</v>
      </c>
      <c r="AD59" s="25">
        <f>IF(F59="",G59*4.11,F59*4.11)</f>
        <v>411.00000000000006</v>
      </c>
      <c r="AE59" s="25">
        <v>928.71</v>
      </c>
      <c r="AF59" s="25">
        <f>V59+Y59+Z59+AA59+AB59+AC59+AD59</f>
        <v>438685.20000000007</v>
      </c>
      <c r="AG59" s="25">
        <f>IFERROR(IFERROR((H59*W59*J59/15)-AE59,""),"")</f>
        <v>463429.66066666663</v>
      </c>
      <c r="AH59" s="26">
        <f>IFERROR(AG59-AF59,0)</f>
        <v>24744.460666666564</v>
      </c>
      <c r="AI59" s="6">
        <f>IF(F59="",(G59/$F$128)*$AL$25,(F59/$F$128)*$AL$25)</f>
        <v>3192.4394319131161</v>
      </c>
      <c r="AJ59" s="25">
        <f>(AH59-AI59)*70%</f>
        <v>15086.414864327411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2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5"/>
      <c r="AC60" s="21"/>
      <c r="AD60" s="21"/>
      <c r="AE60" s="21"/>
      <c r="AF60" s="21"/>
      <c r="AG60" s="21"/>
      <c r="AH60" s="26">
        <f>IFERROR(AH59/F59,0)+IFERROR(AH59/G59,0)</f>
        <v>247.44460666666563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5.3394210096674492E-2</v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>
        <v>45183</v>
      </c>
      <c r="B64" s="21" t="s">
        <v>702</v>
      </c>
      <c r="C64" s="21" t="s">
        <v>703</v>
      </c>
      <c r="D64" s="44">
        <v>156234</v>
      </c>
      <c r="E64" s="44" t="s">
        <v>641</v>
      </c>
      <c r="F64" s="21">
        <v>21</v>
      </c>
      <c r="G64" s="21"/>
      <c r="H64" s="22">
        <v>10360</v>
      </c>
      <c r="I64" s="33">
        <v>0.52</v>
      </c>
      <c r="J64" s="24">
        <f>IFERROR(K64/H64,"")</f>
        <v>0.54652509652509651</v>
      </c>
      <c r="K64" s="22">
        <v>5662</v>
      </c>
      <c r="L64" s="21">
        <f>2+15</f>
        <v>17</v>
      </c>
      <c r="M64" s="21">
        <v>4</v>
      </c>
      <c r="N64" s="21"/>
      <c r="O64" s="21"/>
      <c r="P64" s="21"/>
      <c r="Q64" s="21"/>
      <c r="R64" s="21"/>
      <c r="S64" s="21"/>
      <c r="T64" s="21"/>
      <c r="U64" s="25">
        <v>210</v>
      </c>
      <c r="V64" s="25">
        <f>H64*U64*I64/15</f>
        <v>75420.800000000003</v>
      </c>
      <c r="W64" s="25">
        <v>219.24</v>
      </c>
      <c r="X64" s="25">
        <v>82756.67</v>
      </c>
      <c r="Y64" s="25">
        <v>0</v>
      </c>
      <c r="Z64" s="25">
        <v>800</v>
      </c>
      <c r="AA64" s="25">
        <v>0</v>
      </c>
      <c r="AB64" s="25">
        <v>441</v>
      </c>
      <c r="AC64" s="25">
        <v>0</v>
      </c>
      <c r="AD64" s="25">
        <f>IF(F64="",G64*4.11,F64*4.11)</f>
        <v>86.31</v>
      </c>
      <c r="AE64" s="25">
        <v>165.51</v>
      </c>
      <c r="AF64" s="25">
        <f>V64+Y64+Z64+AA64+AB64+AC64+AD64</f>
        <v>76748.11</v>
      </c>
      <c r="AG64" s="25">
        <f>IFERROR(IFERROR((H64*W64*J64/15)-AE64,""),"")</f>
        <v>82590.281999999992</v>
      </c>
      <c r="AH64" s="26">
        <f>IFERROR(AG64-AF64,0)</f>
        <v>5842.1719999999914</v>
      </c>
      <c r="AI64" s="6">
        <f>IF(F64="",(G64/$F$128)*$AL$25,(F64/$F$128)*$AL$25)</f>
        <v>670.4122807017543</v>
      </c>
      <c r="AJ64" s="25">
        <f>(AH64-AI64)*70%</f>
        <v>3620.231803508766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278.19866666666627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7.0736796854622586E-2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6" x14ac:dyDescent="0.35">
      <c r="A68" s="37" t="s">
        <v>1</v>
      </c>
      <c r="B68" s="37" t="s">
        <v>2</v>
      </c>
      <c r="C68" s="37" t="s">
        <v>110</v>
      </c>
      <c r="D68" s="37" t="s">
        <v>66</v>
      </c>
      <c r="E68" s="37" t="s">
        <v>638</v>
      </c>
      <c r="F68" s="37" t="s">
        <v>137</v>
      </c>
      <c r="G68" s="37" t="s">
        <v>138</v>
      </c>
      <c r="H68" s="37" t="s">
        <v>4</v>
      </c>
      <c r="I68" s="37" t="s">
        <v>5</v>
      </c>
      <c r="J68" s="37" t="s">
        <v>6</v>
      </c>
      <c r="K68" s="37" t="s">
        <v>7</v>
      </c>
      <c r="L68" s="37" t="s">
        <v>279</v>
      </c>
      <c r="M68" s="37" t="s">
        <v>280</v>
      </c>
      <c r="N68" s="37" t="s">
        <v>281</v>
      </c>
      <c r="O68" s="37" t="s">
        <v>282</v>
      </c>
      <c r="P68" s="37" t="s">
        <v>283</v>
      </c>
      <c r="Q68" s="37" t="s">
        <v>284</v>
      </c>
      <c r="R68" s="37" t="s">
        <v>904</v>
      </c>
      <c r="S68" s="37" t="s">
        <v>285</v>
      </c>
      <c r="T68" s="37" t="s">
        <v>289</v>
      </c>
      <c r="U68" s="37" t="s">
        <v>8</v>
      </c>
      <c r="V68" s="37" t="s">
        <v>9</v>
      </c>
      <c r="W68" s="37" t="s">
        <v>10</v>
      </c>
      <c r="X68" s="37" t="s">
        <v>100</v>
      </c>
      <c r="Y68" s="37" t="s">
        <v>106</v>
      </c>
      <c r="Z68" s="37" t="s">
        <v>12</v>
      </c>
      <c r="AA68" s="37" t="s">
        <v>258</v>
      </c>
      <c r="AB68" s="37" t="s">
        <v>13</v>
      </c>
      <c r="AC68" s="37" t="s">
        <v>74</v>
      </c>
      <c r="AD68" s="37" t="s">
        <v>21</v>
      </c>
      <c r="AE68" s="37" t="s">
        <v>14</v>
      </c>
      <c r="AF68" s="37" t="s">
        <v>15</v>
      </c>
      <c r="AG68" s="37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38">
        <v>45183</v>
      </c>
      <c r="B69" s="39" t="s">
        <v>704</v>
      </c>
      <c r="C69" s="39" t="s">
        <v>707</v>
      </c>
      <c r="D69" s="157">
        <v>156208</v>
      </c>
      <c r="E69" s="45" t="s">
        <v>641</v>
      </c>
      <c r="F69" s="39">
        <v>26</v>
      </c>
      <c r="G69" s="39"/>
      <c r="H69" s="40">
        <f>10470+3130</f>
        <v>13600</v>
      </c>
      <c r="I69" s="53">
        <v>0.55000000000000004</v>
      </c>
      <c r="J69" s="42">
        <f>IFERROR(K69/H69,"")</f>
        <v>0.5534941176470588</v>
      </c>
      <c r="K69" s="40">
        <f>14476/50*F69</f>
        <v>7527.5199999999995</v>
      </c>
      <c r="L69" s="39">
        <v>3</v>
      </c>
      <c r="M69" s="39">
        <v>14</v>
      </c>
      <c r="N69" s="39">
        <v>8</v>
      </c>
      <c r="O69" s="39"/>
      <c r="P69" s="39"/>
      <c r="Q69" s="39">
        <v>1</v>
      </c>
      <c r="R69" s="39"/>
      <c r="S69" s="39"/>
      <c r="T69" s="39"/>
      <c r="U69" s="43">
        <v>205</v>
      </c>
      <c r="V69" s="43">
        <f>H69*U69*I69/15</f>
        <v>102226.66666666669</v>
      </c>
      <c r="W69" s="43">
        <v>220.4</v>
      </c>
      <c r="X69" s="43">
        <f>212701.64/50*F69</f>
        <v>110604.85279999999</v>
      </c>
      <c r="Y69" s="43">
        <v>0</v>
      </c>
      <c r="Z69" s="43">
        <f>(700+1404+1404)/119*F69</f>
        <v>766.45378151260502</v>
      </c>
      <c r="AA69" s="43">
        <v>0</v>
      </c>
      <c r="AB69" s="43">
        <f>2439.5/119*F69</f>
        <v>533</v>
      </c>
      <c r="AC69" s="43">
        <v>0</v>
      </c>
      <c r="AD69" s="43">
        <f>IF(F69="",G69*4.11,F69*4.11)</f>
        <v>106.86000000000001</v>
      </c>
      <c r="AE69" s="43">
        <f>425.4/50*F69</f>
        <v>221.20799999999997</v>
      </c>
      <c r="AF69" s="43">
        <f>V69+Y69+Z69+AA69+AB69+AC69+AD69</f>
        <v>103632.9804481793</v>
      </c>
      <c r="AG69" s="43">
        <f>IFERROR(IFERROR((H69*W69*J69/15)-AE69,""),"")</f>
        <v>110383.15253333334</v>
      </c>
      <c r="AH69" s="26">
        <f>IFERROR(AG69-AF69,0)</f>
        <v>6750.1720851540449</v>
      </c>
      <c r="AI69" s="6">
        <f>IF(F69="",(G69/$F$128)*$AL$25,(F69/$F$128)*$AL$25)</f>
        <v>830.03425229741015</v>
      </c>
      <c r="AJ69" s="25">
        <f>(AH69-AI69)*70%</f>
        <v>4144.0964829996446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259.62200327515558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6.115219515148055E-2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37" t="s">
        <v>1</v>
      </c>
      <c r="B73" s="37" t="s">
        <v>2</v>
      </c>
      <c r="C73" s="37" t="s">
        <v>110</v>
      </c>
      <c r="D73" s="37" t="s">
        <v>66</v>
      </c>
      <c r="E73" s="37" t="s">
        <v>638</v>
      </c>
      <c r="F73" s="37" t="s">
        <v>137</v>
      </c>
      <c r="G73" s="37" t="s">
        <v>138</v>
      </c>
      <c r="H73" s="37" t="s">
        <v>4</v>
      </c>
      <c r="I73" s="37" t="s">
        <v>5</v>
      </c>
      <c r="J73" s="37" t="s">
        <v>6</v>
      </c>
      <c r="K73" s="37" t="s">
        <v>7</v>
      </c>
      <c r="L73" s="37" t="s">
        <v>279</v>
      </c>
      <c r="M73" s="37" t="s">
        <v>280</v>
      </c>
      <c r="N73" s="37" t="s">
        <v>281</v>
      </c>
      <c r="O73" s="37" t="s">
        <v>282</v>
      </c>
      <c r="P73" s="37" t="s">
        <v>283</v>
      </c>
      <c r="Q73" s="37" t="s">
        <v>284</v>
      </c>
      <c r="R73" s="37" t="s">
        <v>904</v>
      </c>
      <c r="S73" s="37" t="s">
        <v>285</v>
      </c>
      <c r="T73" s="37" t="s">
        <v>289</v>
      </c>
      <c r="U73" s="37" t="s">
        <v>8</v>
      </c>
      <c r="V73" s="37" t="s">
        <v>9</v>
      </c>
      <c r="W73" s="37" t="s">
        <v>10</v>
      </c>
      <c r="X73" s="37" t="s">
        <v>100</v>
      </c>
      <c r="Y73" s="37" t="s">
        <v>106</v>
      </c>
      <c r="Z73" s="37" t="s">
        <v>12</v>
      </c>
      <c r="AA73" s="37" t="s">
        <v>258</v>
      </c>
      <c r="AB73" s="37" t="s">
        <v>13</v>
      </c>
      <c r="AC73" s="37" t="s">
        <v>74</v>
      </c>
      <c r="AD73" s="37" t="s">
        <v>21</v>
      </c>
      <c r="AE73" s="37" t="s">
        <v>14</v>
      </c>
      <c r="AF73" s="37" t="s">
        <v>15</v>
      </c>
      <c r="AG73" s="37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38">
        <v>45183</v>
      </c>
      <c r="B74" s="39" t="s">
        <v>705</v>
      </c>
      <c r="C74" s="39" t="s">
        <v>706</v>
      </c>
      <c r="D74" s="157">
        <v>156208</v>
      </c>
      <c r="E74" s="45" t="s">
        <v>641</v>
      </c>
      <c r="F74" s="39">
        <v>24</v>
      </c>
      <c r="G74" s="39"/>
      <c r="H74" s="40">
        <f>(50100/93)*F74</f>
        <v>12929.032258064517</v>
      </c>
      <c r="I74" s="53">
        <v>0.55000000000000004</v>
      </c>
      <c r="J74" s="42">
        <f>IFERROR(K74/H74,"")</f>
        <v>0.5374323353293412</v>
      </c>
      <c r="K74" s="40">
        <f>14476/50*F74</f>
        <v>6948.48</v>
      </c>
      <c r="L74" s="39">
        <v>3</v>
      </c>
      <c r="M74" s="39">
        <v>14</v>
      </c>
      <c r="N74" s="39">
        <v>7</v>
      </c>
      <c r="O74" s="39"/>
      <c r="P74" s="39"/>
      <c r="Q74" s="39"/>
      <c r="R74" s="39"/>
      <c r="S74" s="39"/>
      <c r="T74" s="39"/>
      <c r="U74" s="43">
        <v>205</v>
      </c>
      <c r="V74" s="43">
        <f>H74*U74*I74/15</f>
        <v>97183.225806451635</v>
      </c>
      <c r="W74" s="43">
        <v>220.4</v>
      </c>
      <c r="X74" s="43">
        <f>212701.64/50*F74</f>
        <v>102096.78719999999</v>
      </c>
      <c r="Y74" s="43">
        <v>0</v>
      </c>
      <c r="Z74" s="43">
        <f>(700+1404+1404)/119*F74</f>
        <v>707.49579831932772</v>
      </c>
      <c r="AA74" s="43">
        <v>0</v>
      </c>
      <c r="AB74" s="43">
        <f>2439.5/119*F74</f>
        <v>492</v>
      </c>
      <c r="AC74" s="43">
        <v>0</v>
      </c>
      <c r="AD74" s="43">
        <f>IF(F74="",G74*4.11,F74*4.11)</f>
        <v>98.640000000000015</v>
      </c>
      <c r="AE74" s="43">
        <f>425.4/50*F74</f>
        <v>204.19199999999998</v>
      </c>
      <c r="AF74" s="43">
        <f>V74+Y74+Z74+AA74+AB74+AC74+AD74</f>
        <v>98481.361604770966</v>
      </c>
      <c r="AG74" s="43">
        <f>IFERROR(IFERROR((H74*W74*J74/15)-AE74,""),"")</f>
        <v>101892.14079999999</v>
      </c>
      <c r="AH74" s="26">
        <f>IFERROR(AG74-AF74,0)</f>
        <v>3410.7791952290281</v>
      </c>
      <c r="AI74" s="6">
        <f>IF(F74="",(G74/$F$128)*$AL$25,(F74/$F$128)*$AL$25)</f>
        <v>766.18546365914779</v>
      </c>
      <c r="AJ74" s="25">
        <f>(AH74-AI74)*70%</f>
        <v>1851.2156120989159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142.1157998012095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3.3474409002004483E-2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47"/>
      <c r="AJ77" s="47"/>
    </row>
    <row r="78" spans="1:36" x14ac:dyDescent="0.35">
      <c r="A78" s="37" t="s">
        <v>1</v>
      </c>
      <c r="B78" s="37" t="s">
        <v>2</v>
      </c>
      <c r="C78" s="37" t="s">
        <v>110</v>
      </c>
      <c r="D78" s="37" t="s">
        <v>66</v>
      </c>
      <c r="E78" s="37" t="s">
        <v>638</v>
      </c>
      <c r="F78" s="37" t="s">
        <v>137</v>
      </c>
      <c r="G78" s="37" t="s">
        <v>138</v>
      </c>
      <c r="H78" s="37" t="s">
        <v>4</v>
      </c>
      <c r="I78" s="37" t="s">
        <v>5</v>
      </c>
      <c r="J78" s="37" t="s">
        <v>6</v>
      </c>
      <c r="K78" s="37" t="s">
        <v>7</v>
      </c>
      <c r="L78" s="37" t="s">
        <v>279</v>
      </c>
      <c r="M78" s="37" t="s">
        <v>280</v>
      </c>
      <c r="N78" s="37" t="s">
        <v>281</v>
      </c>
      <c r="O78" s="37" t="s">
        <v>282</v>
      </c>
      <c r="P78" s="37" t="s">
        <v>283</v>
      </c>
      <c r="Q78" s="37" t="s">
        <v>284</v>
      </c>
      <c r="R78" s="37" t="s">
        <v>904</v>
      </c>
      <c r="S78" s="37" t="s">
        <v>285</v>
      </c>
      <c r="T78" s="37" t="s">
        <v>289</v>
      </c>
      <c r="U78" s="37" t="s">
        <v>8</v>
      </c>
      <c r="V78" s="37" t="s">
        <v>9</v>
      </c>
      <c r="W78" s="37" t="s">
        <v>10</v>
      </c>
      <c r="X78" s="37" t="s">
        <v>100</v>
      </c>
      <c r="Y78" s="37" t="s">
        <v>106</v>
      </c>
      <c r="Z78" s="37" t="s">
        <v>12</v>
      </c>
      <c r="AA78" s="37" t="s">
        <v>258</v>
      </c>
      <c r="AB78" s="37" t="s">
        <v>13</v>
      </c>
      <c r="AC78" s="37" t="s">
        <v>74</v>
      </c>
      <c r="AD78" s="37" t="s">
        <v>21</v>
      </c>
      <c r="AE78" s="37" t="s">
        <v>14</v>
      </c>
      <c r="AF78" s="37" t="s">
        <v>15</v>
      </c>
      <c r="AG78" s="37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38">
        <v>45183</v>
      </c>
      <c r="B79" s="39" t="s">
        <v>705</v>
      </c>
      <c r="C79" s="39" t="s">
        <v>706</v>
      </c>
      <c r="D79" s="45">
        <v>156211</v>
      </c>
      <c r="E79" s="45" t="s">
        <v>641</v>
      </c>
      <c r="F79" s="39">
        <v>69</v>
      </c>
      <c r="G79" s="39"/>
      <c r="H79" s="40">
        <f>(50100/93)*F79</f>
        <v>37170.967741935485</v>
      </c>
      <c r="I79" s="53">
        <v>0.55000000000000004</v>
      </c>
      <c r="J79" s="42">
        <f>IFERROR(K79/H79,"")</f>
        <v>0.57162891608088173</v>
      </c>
      <c r="K79" s="40">
        <v>21248</v>
      </c>
      <c r="L79" s="39">
        <v>5</v>
      </c>
      <c r="M79" s="39">
        <v>39</v>
      </c>
      <c r="N79" s="39">
        <v>24</v>
      </c>
      <c r="O79" s="39">
        <v>1</v>
      </c>
      <c r="P79" s="39"/>
      <c r="Q79" s="39"/>
      <c r="R79" s="39"/>
      <c r="S79" s="39"/>
      <c r="T79" s="39"/>
      <c r="U79" s="43">
        <v>205</v>
      </c>
      <c r="V79" s="43">
        <f>H79*U79*I79/15</f>
        <v>279401.77419354842</v>
      </c>
      <c r="W79" s="43">
        <v>219.74</v>
      </c>
      <c r="X79" s="43">
        <v>311263.34000000003</v>
      </c>
      <c r="Y79" s="43">
        <v>0</v>
      </c>
      <c r="Z79" s="43">
        <f>(700+1404+1404)/119*F79</f>
        <v>2034.0504201680671</v>
      </c>
      <c r="AA79" s="43">
        <v>0</v>
      </c>
      <c r="AB79" s="43">
        <f>2439.5/119*F79</f>
        <v>1414.5</v>
      </c>
      <c r="AC79" s="43">
        <v>0</v>
      </c>
      <c r="AD79" s="43">
        <f>IF(F79="",G79*4.11,F79*4.11)</f>
        <v>283.59000000000003</v>
      </c>
      <c r="AE79" s="43">
        <v>622.52</v>
      </c>
      <c r="AF79" s="43">
        <f>V79+Y79+Z79+AA79+AB79+AC79+AD79</f>
        <v>283133.91461371654</v>
      </c>
      <c r="AG79" s="43">
        <f>IFERROR(IFERROR((H79*W79*J79/15)-AE79,""),"")</f>
        <v>310646.51466666668</v>
      </c>
      <c r="AH79" s="26">
        <f>IFERROR(AG79-AF79,0)</f>
        <v>27512.600052950147</v>
      </c>
      <c r="AI79" s="6">
        <f>IF(F79="",(G79/$F$128)*$AL$25,(F79/$F$128)*$AL$25)</f>
        <v>2202.7832080200501</v>
      </c>
      <c r="AJ79" s="25">
        <f>(AH79-AI79)*70%</f>
        <v>17716.871791451067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398.73333410072678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>
        <f>IFERROR(AH79/AG79,"")</f>
        <v>8.8565616396733174E-2</v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22">
        <v>0</v>
      </c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f>(G84*60)+(F84*60)</f>
        <v>0</v>
      </c>
      <c r="Z84" s="25">
        <v>0</v>
      </c>
      <c r="AA84" s="25">
        <v>0</v>
      </c>
      <c r="AB84" s="25">
        <v>0</v>
      </c>
      <c r="AC84" s="25">
        <f>F84*38</f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6">
        <f>IF(F84="",(G84/$F$128)*$AL$25,(F84/$F$128)*$AL$25)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2">
        <v>0</v>
      </c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>
        <v>0</v>
      </c>
      <c r="Y89" s="25"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6">
        <f>IF(F89="",(G89/$F$128)*$AL$25,(F89/$F$128)*$AL$25)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2">
        <f>81049/150*F94</f>
        <v>0</v>
      </c>
      <c r="I94" s="33">
        <v>0</v>
      </c>
      <c r="J94" s="24" t="str">
        <f>IFERROR(K94/H94,"")</f>
        <v/>
      </c>
      <c r="K94" s="22"/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f>F94*40</f>
        <v>0</v>
      </c>
      <c r="Z94" s="25">
        <v>0</v>
      </c>
      <c r="AA94" s="25">
        <v>0</v>
      </c>
      <c r="AB94" s="25">
        <v>0</v>
      </c>
      <c r="AC94" s="25">
        <f>G94*35+F94*38</f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6">
        <f>IF(F94="",(G94/$F$128)*$AL$25,(F94/$F$128)*$AL$25)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2">
        <v>0</v>
      </c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(G99*60)+(F99*60)</f>
        <v>0</v>
      </c>
      <c r="Z99" s="25">
        <v>0</v>
      </c>
      <c r="AA99" s="25">
        <v>0</v>
      </c>
      <c r="AB99" s="25">
        <v>0</v>
      </c>
      <c r="AC99" s="25">
        <f>F99*35</f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6">
        <f>IF(F99="",(G99/$F$128)*$AL$25,(F99/$F$128)*$AL$25)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  <c r="AI102" s="47"/>
      <c r="AJ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(G104*60)+(F104*60)</f>
        <v>0</v>
      </c>
      <c r="Z104" s="25">
        <v>0</v>
      </c>
      <c r="AA104" s="25">
        <v>0</v>
      </c>
      <c r="AB104" s="25">
        <v>0</v>
      </c>
      <c r="AC104" s="25">
        <f>F104*35</f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6">
        <f>IF(F104="",(G104/$F$128)*$AL$25,(F104/$F$128)*$AL$25)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2"/>
      <c r="I109" s="33">
        <v>0</v>
      </c>
      <c r="J109" s="24" t="str">
        <f>IFERROR(K109/H109,"")</f>
        <v/>
      </c>
      <c r="K109" s="22"/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/>
      <c r="X109" s="25"/>
      <c r="Y109" s="25">
        <f>(G109*60)+(F109*60)</f>
        <v>0</v>
      </c>
      <c r="Z109" s="25"/>
      <c r="AA109" s="25">
        <v>0</v>
      </c>
      <c r="AB109" s="25"/>
      <c r="AC109" s="25">
        <f>G109*35+F109*38</f>
        <v>0</v>
      </c>
      <c r="AD109" s="25">
        <f>IF(F109="",G109*4.11,F109*4.11)</f>
        <v>0</v>
      </c>
      <c r="AE109" s="25"/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6">
        <f>IF(F109="",(G109/$F$128)*$AL$25,(F109/$F$128)*$AL$25)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22"/>
      <c r="I114" s="33">
        <v>0</v>
      </c>
      <c r="J114" s="24" t="str">
        <f>IFERROR(K114/H114,"")</f>
        <v/>
      </c>
      <c r="K114" s="22"/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/>
      <c r="X114" s="25"/>
      <c r="Y114" s="25">
        <f>(G114*60)+(F114*60)</f>
        <v>0</v>
      </c>
      <c r="Z114" s="25"/>
      <c r="AA114" s="25">
        <v>0</v>
      </c>
      <c r="AB114" s="25"/>
      <c r="AC114" s="25">
        <f>G114*35+F114*38</f>
        <v>0</v>
      </c>
      <c r="AD114" s="25">
        <f>IF(F114="",G114*4.11,F114*4.11)</f>
        <v>0</v>
      </c>
      <c r="AE114" s="25"/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6">
        <f>IF(F114="",(G114/$F$128)*$AL$25,(F114/$F$128)*$AL$25)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B119" s="21"/>
      <c r="C119" s="21"/>
      <c r="D119" s="44"/>
      <c r="E119" s="44"/>
      <c r="F119" s="21"/>
      <c r="G119" s="21"/>
      <c r="H119" s="22"/>
      <c r="I119" s="33">
        <v>0</v>
      </c>
      <c r="J119" s="24" t="str">
        <f>IFERROR(K119/H119,"")</f>
        <v/>
      </c>
      <c r="K119" s="22"/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/>
      <c r="X119" s="25"/>
      <c r="Y119" s="25">
        <f>(G119*60)+(F119*60)</f>
        <v>0</v>
      </c>
      <c r="Z119" s="25"/>
      <c r="AA119" s="25">
        <v>0</v>
      </c>
      <c r="AB119" s="25"/>
      <c r="AC119" s="25">
        <f>G119*35+F119*38</f>
        <v>0</v>
      </c>
      <c r="AD119" s="25">
        <f>IF(F119="",G119*4.11,F119*4.11)</f>
        <v>0</v>
      </c>
      <c r="AE119" s="25"/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6">
        <f>IF(F119="",(G119/$F$128)*$AL$25,(F119/$F$128)*$AL$25)</f>
        <v>0</v>
      </c>
      <c r="AJ119" s="25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x14ac:dyDescent="0.35">
      <c r="A124" s="20"/>
      <c r="B124" s="21"/>
      <c r="C124" s="21"/>
      <c r="D124" s="44"/>
      <c r="E124" s="44"/>
      <c r="F124" s="21"/>
      <c r="G124" s="21"/>
      <c r="H124" s="22"/>
      <c r="I124" s="33">
        <v>0</v>
      </c>
      <c r="J124" s="24" t="str">
        <f>IFERROR(K124/H124,"")</f>
        <v/>
      </c>
      <c r="K124" s="22"/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/>
      <c r="X124" s="25"/>
      <c r="Y124" s="25">
        <f>(G124*60)+(F124*60)</f>
        <v>0</v>
      </c>
      <c r="Z124" s="25"/>
      <c r="AA124" s="25">
        <v>0</v>
      </c>
      <c r="AB124" s="25"/>
      <c r="AC124" s="25">
        <f>G124*35+F124*38</f>
        <v>0</v>
      </c>
      <c r="AD124" s="25">
        <f>IF(F124="",G124*4.11,F124*4.11)</f>
        <v>0</v>
      </c>
      <c r="AE124" s="25"/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6">
        <f>IF(F124="",(G124/$F$128)*$AL$25,(F124/$F$128)*$AL$25)</f>
        <v>0</v>
      </c>
      <c r="AJ124" s="25">
        <f>(AH124-AI124)*70%</f>
        <v>0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ht="15" thickBot="1" x14ac:dyDescent="0.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  <c r="AI127" s="47"/>
      <c r="AJ127" s="47"/>
    </row>
    <row r="128" spans="1:36" ht="16" thickBot="1" x14ac:dyDescent="0.4">
      <c r="A128" s="377" t="s">
        <v>695</v>
      </c>
      <c r="B128" s="378"/>
      <c r="C128" s="378"/>
      <c r="D128" s="378"/>
      <c r="E128" s="378"/>
      <c r="F128" s="163">
        <f>SUM(F4:G124)</f>
        <v>1197</v>
      </c>
      <c r="G128" s="163"/>
      <c r="H128" s="30"/>
      <c r="I128" s="30"/>
      <c r="J128" s="30"/>
      <c r="K128" s="30"/>
      <c r="L128" s="46"/>
      <c r="M128" s="46"/>
      <c r="N128" s="46"/>
      <c r="O128" s="46"/>
      <c r="P128" s="46"/>
      <c r="Q128" s="46"/>
      <c r="R128" s="46"/>
      <c r="S128" s="46"/>
      <c r="T128" s="46"/>
      <c r="U128" s="30"/>
      <c r="V128" s="31">
        <f>SUM(V4:V127)</f>
        <v>4359804.9666666668</v>
      </c>
      <c r="W128" s="31"/>
      <c r="X128" s="31"/>
      <c r="Y128" s="31">
        <f t="shared" ref="Y128:AG128" si="0">SUM(Y4:Y127)</f>
        <v>48120</v>
      </c>
      <c r="Z128" s="31">
        <f t="shared" si="0"/>
        <v>273953.10000000015</v>
      </c>
      <c r="AA128" s="31">
        <f t="shared" si="0"/>
        <v>0</v>
      </c>
      <c r="AB128" s="31">
        <f t="shared" si="0"/>
        <v>22869</v>
      </c>
      <c r="AC128" s="31">
        <f t="shared" si="0"/>
        <v>21166</v>
      </c>
      <c r="AD128" s="31">
        <f t="shared" si="0"/>
        <v>4919.670000000001</v>
      </c>
      <c r="AE128" s="31">
        <f t="shared" si="0"/>
        <v>9788.3257599999997</v>
      </c>
      <c r="AF128" s="31">
        <f t="shared" si="0"/>
        <v>4730832.7366666654</v>
      </c>
      <c r="AG128" s="31">
        <f t="shared" si="0"/>
        <v>4887527.6318199998</v>
      </c>
      <c r="AH128" s="161">
        <f>AH4+AH9+AH14+AH19+AH24+AH29+AH34+AH39+AH44+AH49+AH54+AH59+AH64+AH69+AH74+AH79+AH84+AH89+AH94+AH99+AH104+AH109+AH114+AH119+AH124</f>
        <v>156694.89515333288</v>
      </c>
      <c r="AI128" s="165">
        <f>SUM(AI4:AI126)</f>
        <v>38213.5</v>
      </c>
      <c r="AJ128" s="165">
        <f>SUM(AJ4:AJ126)</f>
        <v>82936.976607332996</v>
      </c>
    </row>
    <row r="130" spans="22:34" x14ac:dyDescent="0.35">
      <c r="V130" s="162">
        <v>3173324.9000000004</v>
      </c>
      <c r="AH130" s="6"/>
    </row>
  </sheetData>
  <mergeCells count="2">
    <mergeCell ref="U2:AC2"/>
    <mergeCell ref="A128:E12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35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19.179687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AF133</f>
        <v>5065600.3466666667</v>
      </c>
      <c r="AM3" s="164">
        <f>AH133-AI133</f>
        <v>-237.83801333372503</v>
      </c>
    </row>
    <row r="4" spans="1:40" x14ac:dyDescent="0.35">
      <c r="A4" s="20">
        <v>45187</v>
      </c>
      <c r="B4" s="21" t="s">
        <v>632</v>
      </c>
      <c r="C4" s="21" t="s">
        <v>712</v>
      </c>
      <c r="D4" s="44">
        <v>1876726</v>
      </c>
      <c r="E4" s="44" t="s">
        <v>652</v>
      </c>
      <c r="F4" s="21">
        <v>100</v>
      </c>
      <c r="G4" s="21"/>
      <c r="H4" s="22">
        <v>51200</v>
      </c>
      <c r="I4" s="33">
        <v>0.54</v>
      </c>
      <c r="J4" s="24">
        <f>IFERROR(K4/H4,"")</f>
        <v>0.537353515625</v>
      </c>
      <c r="K4" s="22">
        <v>27512.5</v>
      </c>
      <c r="L4" s="21">
        <v>10</v>
      </c>
      <c r="M4" s="21">
        <v>47</v>
      </c>
      <c r="N4" s="21">
        <v>29</v>
      </c>
      <c r="O4" s="21">
        <v>13</v>
      </c>
      <c r="P4" s="21">
        <v>1</v>
      </c>
      <c r="Q4" s="21"/>
      <c r="R4" s="21"/>
      <c r="S4" s="21"/>
      <c r="T4" s="21"/>
      <c r="U4" s="25">
        <v>180</v>
      </c>
      <c r="V4" s="25">
        <f>H4*U4*I4/15</f>
        <v>331776</v>
      </c>
      <c r="W4" s="25">
        <v>216.87</v>
      </c>
      <c r="X4" s="25">
        <f>1013467.43/255*F4</f>
        <v>397438.20784313732</v>
      </c>
      <c r="Y4" s="25">
        <f>(G4*42)+(F4*42)</f>
        <v>4200</v>
      </c>
      <c r="Z4" s="25">
        <v>38853.65</v>
      </c>
      <c r="AA4" s="25">
        <v>0</v>
      </c>
      <c r="AB4" s="25">
        <v>0</v>
      </c>
      <c r="AC4" s="25">
        <v>0</v>
      </c>
      <c r="AD4" s="25">
        <f>IF(F4="",G4*4.11,F4*4.11)</f>
        <v>411.00000000000006</v>
      </c>
      <c r="AE4" s="25">
        <f>2026.94/255*F4</f>
        <v>794.87843137254913</v>
      </c>
      <c r="AF4" s="25">
        <f>V4+Y4+Z4+AA4+AB4+AC4+AD4</f>
        <v>375240.65</v>
      </c>
      <c r="AG4" s="25">
        <f>IFERROR(IFERROR((H4*W4*J4/15)-AE4,""),"")</f>
        <v>396980.8465686274</v>
      </c>
      <c r="AH4" s="26">
        <f>IFERROR(AG4-AF4,0)</f>
        <v>21740.196568627376</v>
      </c>
      <c r="AI4" s="6">
        <f>IF(F4="",(G4/$F$133)*$AL$28,(F4/$F$133)*$AL$28)</f>
        <v>1116.9234167385678</v>
      </c>
      <c r="AJ4" s="25">
        <f>(AH4-AI4)*70%</f>
        <v>14436.291206322163</v>
      </c>
      <c r="AL4" s="166" t="s">
        <v>749</v>
      </c>
      <c r="AM4" s="167">
        <f>AM3/AL3</f>
        <v>-4.6951594491703307E-5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217.40196568627377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5.4763842529287052E-2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45188</v>
      </c>
      <c r="B9" s="21" t="s">
        <v>563</v>
      </c>
      <c r="C9" s="21" t="s">
        <v>566</v>
      </c>
      <c r="D9" s="44">
        <v>1876726</v>
      </c>
      <c r="E9" s="44" t="s">
        <v>652</v>
      </c>
      <c r="F9" s="21">
        <v>100</v>
      </c>
      <c r="G9" s="21"/>
      <c r="H9" s="22">
        <v>50000</v>
      </c>
      <c r="I9" s="33">
        <v>0.55000000000000004</v>
      </c>
      <c r="J9" s="24">
        <f>IFERROR(K9/H9,"")</f>
        <v>0.54706999999999995</v>
      </c>
      <c r="K9" s="22">
        <v>27353.5</v>
      </c>
      <c r="L9" s="21">
        <v>15</v>
      </c>
      <c r="M9" s="21">
        <v>34</v>
      </c>
      <c r="N9" s="21">
        <v>38</v>
      </c>
      <c r="O9" s="21">
        <v>13</v>
      </c>
      <c r="P9" s="21"/>
      <c r="Q9" s="21"/>
      <c r="R9" s="21"/>
      <c r="S9" s="21"/>
      <c r="T9" s="21"/>
      <c r="U9" s="25">
        <v>200</v>
      </c>
      <c r="V9" s="25">
        <f>H9*U9*I9/15</f>
        <v>366666.66666666669</v>
      </c>
      <c r="W9" s="25">
        <v>216.87</v>
      </c>
      <c r="X9" s="25">
        <f>1013467.43/255*F9</f>
        <v>397438.20784313732</v>
      </c>
      <c r="Y9" s="25">
        <f>(G9*60)+(F9*60)</f>
        <v>6000</v>
      </c>
      <c r="Z9" s="25">
        <v>25030.6</v>
      </c>
      <c r="AA9" s="25">
        <v>0</v>
      </c>
      <c r="AB9" s="25">
        <v>2000</v>
      </c>
      <c r="AC9" s="25">
        <f>F9*38</f>
        <v>3800</v>
      </c>
      <c r="AD9" s="25">
        <f>IF(F9="",G9*4.11,F9*4.11)</f>
        <v>411.00000000000006</v>
      </c>
      <c r="AE9" s="25">
        <f>2026.94/255*F9</f>
        <v>794.87843137254913</v>
      </c>
      <c r="AF9" s="25">
        <f>V9+Y9+Z9+AA9+AB9+AC9+AD9</f>
        <v>403908.26666666666</v>
      </c>
      <c r="AG9" s="25">
        <f>IFERROR(IFERROR((H9*W9*J9/15)-AE9,""),"")</f>
        <v>394682.02456862736</v>
      </c>
      <c r="AH9" s="26">
        <f>IFERROR(AG9-AF9,0)</f>
        <v>-9226.2420980393072</v>
      </c>
      <c r="AI9" s="6">
        <f>IF(F9="",(G9/$F$133)*$AL$28,(F9/$F$133)*$AL$28)</f>
        <v>1116.9234167385678</v>
      </c>
      <c r="AJ9" s="25">
        <f>(AH9-AI9)*70%</f>
        <v>-7240.2158603445114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-92.262420980393074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-2.3376392953601683E-2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51">
        <v>45189</v>
      </c>
      <c r="B14" s="21" t="s">
        <v>714</v>
      </c>
      <c r="C14" s="21" t="s">
        <v>715</v>
      </c>
      <c r="D14" s="44">
        <v>1876726</v>
      </c>
      <c r="E14" s="44" t="s">
        <v>652</v>
      </c>
      <c r="F14" s="98">
        <v>55</v>
      </c>
      <c r="G14" s="21"/>
      <c r="H14" s="22">
        <f>30070/59*F14</f>
        <v>28031.355932203391</v>
      </c>
      <c r="I14" s="33">
        <v>0.53</v>
      </c>
      <c r="J14" s="24">
        <f>IFERROR(K14/H14,"")</f>
        <v>0.54335580614928802</v>
      </c>
      <c r="K14" s="22">
        <v>15231</v>
      </c>
      <c r="L14" s="21">
        <v>31</v>
      </c>
      <c r="M14" s="21">
        <v>18</v>
      </c>
      <c r="N14" s="21">
        <v>6</v>
      </c>
      <c r="O14" s="21"/>
      <c r="P14" s="21"/>
      <c r="Q14" s="21"/>
      <c r="R14" s="21"/>
      <c r="S14" s="21"/>
      <c r="T14" s="21"/>
      <c r="U14" s="25">
        <v>210</v>
      </c>
      <c r="V14" s="25">
        <f>H14*U14*I14/15</f>
        <v>207992.66101694916</v>
      </c>
      <c r="W14" s="25">
        <v>216.87</v>
      </c>
      <c r="X14" s="25">
        <f>1013467.43/255*F14</f>
        <v>218591.01431372552</v>
      </c>
      <c r="Y14" s="25">
        <v>0</v>
      </c>
      <c r="Z14" s="25">
        <f>1504/59*F14</f>
        <v>1402.0338983050847</v>
      </c>
      <c r="AA14" s="25">
        <v>0</v>
      </c>
      <c r="AB14" s="25">
        <f>1239/59*F14</f>
        <v>1155</v>
      </c>
      <c r="AC14" s="25">
        <v>0</v>
      </c>
      <c r="AD14" s="25">
        <f>IF(F14="",G14*4.11,F14*4.11)</f>
        <v>226.05</v>
      </c>
      <c r="AE14" s="25">
        <f>2026.94/255*F14</f>
        <v>437.18313725490196</v>
      </c>
      <c r="AF14" s="25">
        <f>V14+Y14+Z14+AA14+AB14+AC14+AD14</f>
        <v>210775.74491525424</v>
      </c>
      <c r="AG14" s="25">
        <f>IFERROR(IFERROR((H14*W14*J14/15)-AE14,""),"")</f>
        <v>219772.6148627451</v>
      </c>
      <c r="AH14" s="26">
        <f>IFERROR(AG14-AF14,0)</f>
        <v>8996.8699474908644</v>
      </c>
      <c r="AI14" s="6">
        <f>IF(F14="",(G14/$F$133)*$AL$28,(F14/$F$133)*$AL$28)</f>
        <v>614.30787920621231</v>
      </c>
      <c r="AJ14" s="25">
        <f>(AH14-AI14)*70%</f>
        <v>5867.7934477992567</v>
      </c>
      <c r="AL14" s="14">
        <f>F4+G4+F9+G9+F14+G14+F19+G19+F24+G24+F29+G29+F34+G34+F39+G39+F44+G44+F49+G49+F54+G54+F64+G64+F69+G69+F59+G59+F74+G74+F79+G79+F84+G84+F89+G89+F94+G94+F99+G99+F104+G104+F109+G109+F114+G114+F119+G119+F124+G124+F129+G129</f>
        <v>1159</v>
      </c>
      <c r="AM14" s="118" t="s">
        <v>22</v>
      </c>
      <c r="AN14" t="s">
        <v>71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163.57945359074299</v>
      </c>
      <c r="AL15" s="11">
        <f>AH133</f>
        <v>12707.304386666274</v>
      </c>
      <c r="AM15" s="11">
        <f>AL15*30%</f>
        <v>3812.1913159998821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4.0937174784536699E-2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51">
        <v>45189</v>
      </c>
      <c r="B19" s="21" t="s">
        <v>714</v>
      </c>
      <c r="C19" s="21" t="s">
        <v>715</v>
      </c>
      <c r="D19" s="44">
        <v>1869878</v>
      </c>
      <c r="E19" s="44" t="s">
        <v>652</v>
      </c>
      <c r="F19" s="98">
        <v>4</v>
      </c>
      <c r="G19" s="21"/>
      <c r="H19" s="22">
        <f>30070/59*F19</f>
        <v>2038.6440677966102</v>
      </c>
      <c r="I19" s="33">
        <v>0.53</v>
      </c>
      <c r="J19" s="24">
        <f>IFERROR(K19/H19,"")</f>
        <v>0.55299154913046034</v>
      </c>
      <c r="K19" s="22">
        <f>(26756/102*2)+(30739/102*2)</f>
        <v>1127.3529411764707</v>
      </c>
      <c r="L19" s="21">
        <v>4</v>
      </c>
      <c r="M19" s="21"/>
      <c r="N19" s="21"/>
      <c r="O19" s="21"/>
      <c r="P19" s="21"/>
      <c r="Q19" s="21"/>
      <c r="R19" s="21"/>
      <c r="S19" s="21"/>
      <c r="T19" s="21"/>
      <c r="U19" s="25">
        <v>210</v>
      </c>
      <c r="V19" s="25">
        <f>H19*U19*I19/15</f>
        <v>15126.738983050849</v>
      </c>
      <c r="W19" s="25">
        <v>212.26</v>
      </c>
      <c r="X19" s="25">
        <f>813597.07/204*F19</f>
        <v>15952.883725490196</v>
      </c>
      <c r="Y19" s="25">
        <v>0</v>
      </c>
      <c r="Z19" s="25">
        <f>1504/59*F19</f>
        <v>101.96610169491525</v>
      </c>
      <c r="AA19" s="25">
        <v>0</v>
      </c>
      <c r="AB19" s="25">
        <f>1239/59*F19</f>
        <v>84</v>
      </c>
      <c r="AC19" s="25">
        <v>0</v>
      </c>
      <c r="AD19" s="25">
        <f>IF(F19="",G19*4.11,F19*4.11)</f>
        <v>16.440000000000001</v>
      </c>
      <c r="AE19" s="25">
        <f>1627.19/204*F19</f>
        <v>31.905686274509804</v>
      </c>
      <c r="AF19" s="25">
        <f>V19+Y19+Z19+AA19+AB19+AC19+AD19</f>
        <v>15329.145084745765</v>
      </c>
      <c r="AG19" s="25">
        <f>IFERROR(IFERROR((H19*W19*J19/15)-AE19,""),"")</f>
        <v>15920.890000000001</v>
      </c>
      <c r="AH19" s="26">
        <f>IFERROR(AG19-AF19,0)</f>
        <v>591.74491525423582</v>
      </c>
      <c r="AI19" s="6">
        <f>IF(F19="",(G19/$F$133)*$AL$28,(F19/$F$133)*$AL$28)</f>
        <v>44.676936669542712</v>
      </c>
      <c r="AJ19" s="25">
        <f>(AH19-AI19)*70%</f>
        <v>382.94758500928521</v>
      </c>
      <c r="AL19" s="178">
        <v>200</v>
      </c>
      <c r="AM19" s="6" t="s">
        <v>386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5"/>
      <c r="AC20" s="21"/>
      <c r="AD20" s="21"/>
      <c r="AE20" s="21"/>
      <c r="AF20" s="21"/>
      <c r="AG20" s="21"/>
      <c r="AH20" s="26">
        <f>IFERROR(AH19/F19,0)+IFERROR(AH19/G19,0)</f>
        <v>147.93622881355896</v>
      </c>
      <c r="AL20" s="178">
        <v>2091</v>
      </c>
      <c r="AM20" s="6" t="s">
        <v>716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3.7167828887344601E-2</v>
      </c>
      <c r="AL21" s="178">
        <v>1000</v>
      </c>
      <c r="AM21" s="6" t="s">
        <v>717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130</v>
      </c>
      <c r="AM22" s="6" t="s">
        <v>718</v>
      </c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>
        <v>175.16</v>
      </c>
      <c r="AM23" s="6" t="s">
        <v>719</v>
      </c>
      <c r="AN23" s="174"/>
    </row>
    <row r="24" spans="1:40" x14ac:dyDescent="0.35">
      <c r="A24" s="20">
        <v>45189</v>
      </c>
      <c r="B24" s="21" t="s">
        <v>632</v>
      </c>
      <c r="C24" s="21" t="s">
        <v>712</v>
      </c>
      <c r="D24" s="44">
        <v>3960329</v>
      </c>
      <c r="E24" s="44" t="s">
        <v>652</v>
      </c>
      <c r="F24" s="21">
        <v>100</v>
      </c>
      <c r="G24" s="21"/>
      <c r="H24" s="22">
        <v>54879</v>
      </c>
      <c r="I24" s="33">
        <v>0.55000000000000004</v>
      </c>
      <c r="J24" s="24">
        <f>IFERROR(K24/H24,"")</f>
        <v>0.53511179139561582</v>
      </c>
      <c r="K24" s="22">
        <v>29366.400000000001</v>
      </c>
      <c r="L24" s="21">
        <v>39</v>
      </c>
      <c r="M24" s="21">
        <v>24</v>
      </c>
      <c r="N24" s="21">
        <v>22</v>
      </c>
      <c r="O24" s="21">
        <v>8</v>
      </c>
      <c r="P24" s="21">
        <v>7</v>
      </c>
      <c r="Q24" s="21"/>
      <c r="R24" s="21"/>
      <c r="S24" s="21"/>
      <c r="T24" s="21"/>
      <c r="U24" s="25">
        <v>185</v>
      </c>
      <c r="V24" s="25">
        <f>H24*U24*I24/15</f>
        <v>372262.55</v>
      </c>
      <c r="W24" s="25">
        <v>220.3</v>
      </c>
      <c r="X24" s="25">
        <v>431297.58</v>
      </c>
      <c r="Y24" s="25">
        <f>(G24*42)+(F24*42)</f>
        <v>4200</v>
      </c>
      <c r="Z24" s="25">
        <v>41820.86</v>
      </c>
      <c r="AA24" s="25">
        <v>0</v>
      </c>
      <c r="AB24" s="25">
        <v>1850</v>
      </c>
      <c r="AC24" s="25">
        <v>0</v>
      </c>
      <c r="AD24" s="25">
        <f>IF(F24="",G24*4.11,F24*4.11)</f>
        <v>411.00000000000006</v>
      </c>
      <c r="AE24" s="25">
        <v>862.6</v>
      </c>
      <c r="AF24" s="25">
        <f>V24+Y24+Z24+AA24+AB24+AC24+AD24</f>
        <v>420544.41</v>
      </c>
      <c r="AG24" s="25">
        <f>IFERROR(IFERROR((H24*W24*J24/15)-AE24,""),"")</f>
        <v>430431.92800000007</v>
      </c>
      <c r="AH24" s="26">
        <f>IFERROR(AG24-AF24,0)</f>
        <v>9887.5180000000983</v>
      </c>
      <c r="AI24" s="6">
        <f>IF(F24="",(G24/$F$133)*$AL$28,(F24/$F$133)*$AL$28)</f>
        <v>1116.9234167385678</v>
      </c>
      <c r="AJ24" s="25">
        <f>(AH24-AI24)*70%</f>
        <v>6139.4162082830708</v>
      </c>
      <c r="AL24" s="178">
        <v>4332.2</v>
      </c>
      <c r="AM24" s="6" t="s">
        <v>720</v>
      </c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2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98.875180000000981</v>
      </c>
      <c r="AL25" s="178">
        <v>220</v>
      </c>
      <c r="AM25" s="6" t="s">
        <v>728</v>
      </c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2.29711537569771E-2</v>
      </c>
      <c r="AL26" s="178">
        <v>4796.7824000000001</v>
      </c>
      <c r="AM26" s="6" t="s">
        <v>750</v>
      </c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3"/>
      <c r="AA27" s="21"/>
      <c r="AB27" s="21"/>
      <c r="AC27" s="21"/>
      <c r="AD27" s="21"/>
      <c r="AE27" s="21"/>
      <c r="AF27" s="21"/>
      <c r="AG27" s="21"/>
      <c r="AH27" s="24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4">
        <f>SUM(AL19:AL27)</f>
        <v>12945.142400000001</v>
      </c>
      <c r="AM28" s="189" t="s">
        <v>673</v>
      </c>
      <c r="AN28" s="191"/>
    </row>
    <row r="29" spans="1:40" x14ac:dyDescent="0.35">
      <c r="A29" s="20">
        <v>45189</v>
      </c>
      <c r="B29" s="21" t="s">
        <v>563</v>
      </c>
      <c r="C29" s="21" t="s">
        <v>574</v>
      </c>
      <c r="D29" s="44">
        <v>1869878</v>
      </c>
      <c r="E29" s="44" t="s">
        <v>652</v>
      </c>
      <c r="F29" s="21">
        <v>100</v>
      </c>
      <c r="G29" s="21"/>
      <c r="H29" s="22">
        <v>48100</v>
      </c>
      <c r="I29" s="33">
        <v>0.53</v>
      </c>
      <c r="J29" s="24">
        <f>IFERROR(K29/H29,"")</f>
        <v>0.54535078064489828</v>
      </c>
      <c r="K29" s="22">
        <f>26756/102*F29</f>
        <v>26231.372549019608</v>
      </c>
      <c r="L29" s="21">
        <v>13</v>
      </c>
      <c r="M29" s="21">
        <v>41</v>
      </c>
      <c r="N29" s="21">
        <v>40</v>
      </c>
      <c r="O29" s="21">
        <v>6</v>
      </c>
      <c r="P29" s="21"/>
      <c r="Q29" s="21"/>
      <c r="R29" s="21"/>
      <c r="S29" s="21"/>
      <c r="T29" s="21"/>
      <c r="U29" s="25">
        <v>210</v>
      </c>
      <c r="V29" s="25">
        <f>H29*U29*I29/15</f>
        <v>356902</v>
      </c>
      <c r="W29" s="25">
        <v>212.26</v>
      </c>
      <c r="X29" s="25">
        <f>813597.07/204*F29</f>
        <v>398822.09313725488</v>
      </c>
      <c r="Y29" s="25">
        <f>(G29*60)+(F29*60)</f>
        <v>6000</v>
      </c>
      <c r="Z29" s="25">
        <v>21643.599999999999</v>
      </c>
      <c r="AA29" s="25">
        <v>0</v>
      </c>
      <c r="AB29" s="25">
        <v>2100</v>
      </c>
      <c r="AC29" s="25">
        <f>F29*38</f>
        <v>3800</v>
      </c>
      <c r="AD29" s="25">
        <f>IF(F29="",G29*4.11,F29*4.11)</f>
        <v>411.00000000000006</v>
      </c>
      <c r="AE29" s="25">
        <f>1627.19/204*F29</f>
        <v>797.64215686274508</v>
      </c>
      <c r="AF29" s="25">
        <f>V29+Y29+Z29+AA29+AB29+AC29+AD29</f>
        <v>390856.6</v>
      </c>
      <c r="AG29" s="25">
        <f>IFERROR(IFERROR((H29*W29*J29/15)-AE29,""),"")</f>
        <v>370393.76699346403</v>
      </c>
      <c r="AH29" s="26">
        <f>IFERROR(AG29-AF29,0)</f>
        <v>-20462.833006535948</v>
      </c>
      <c r="AI29" s="6">
        <f>IF(F29="",(G29/$F$133)*$AL$28,(F29/$F$133)*$AL$28)</f>
        <v>1116.9234167385678</v>
      </c>
      <c r="AJ29" s="25">
        <f>(AH29-AI29)*70%</f>
        <v>-15105.829496292161</v>
      </c>
      <c r="AL29" s="57"/>
      <c r="AM29" s="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-204.62833006535948</v>
      </c>
      <c r="AL30" s="57"/>
      <c r="AM30" s="118" t="s">
        <v>22</v>
      </c>
      <c r="AN30" s="12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-5.5246159169025741E-2</v>
      </c>
      <c r="AL31" s="247">
        <f>AL15-AL28</f>
        <v>-237.83801333372685</v>
      </c>
      <c r="AM31" s="248">
        <f>AL31*30%</f>
        <v>-71.351404000118052</v>
      </c>
      <c r="AN31" s="12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47"/>
      <c r="AJ32" s="47"/>
      <c r="AL32" s="57"/>
      <c r="AM32" s="249"/>
      <c r="AN32" s="246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7"/>
      <c r="AM33" s="248"/>
      <c r="AN33" s="1"/>
    </row>
    <row r="34" spans="1:40" x14ac:dyDescent="0.35">
      <c r="A34" s="251">
        <v>45189</v>
      </c>
      <c r="B34" s="21" t="s">
        <v>563</v>
      </c>
      <c r="C34" s="21" t="s">
        <v>574</v>
      </c>
      <c r="D34" s="44">
        <v>1869878</v>
      </c>
      <c r="E34" s="44" t="s">
        <v>652</v>
      </c>
      <c r="F34" s="21">
        <v>100</v>
      </c>
      <c r="G34" s="21"/>
      <c r="H34" s="22">
        <v>54830</v>
      </c>
      <c r="I34" s="33">
        <v>0.54</v>
      </c>
      <c r="J34" s="24">
        <f>IFERROR(K34/H34,"")</f>
        <v>0.54963112365135736</v>
      </c>
      <c r="K34" s="22">
        <f>30739/102*F34</f>
        <v>30136.274509803923</v>
      </c>
      <c r="L34" s="21">
        <v>19</v>
      </c>
      <c r="M34" s="21">
        <v>36</v>
      </c>
      <c r="N34" s="21">
        <v>36</v>
      </c>
      <c r="O34" s="21">
        <v>9</v>
      </c>
      <c r="P34" s="21"/>
      <c r="Q34" s="21"/>
      <c r="R34" s="21"/>
      <c r="S34" s="21"/>
      <c r="T34" s="21"/>
      <c r="U34" s="25">
        <v>210</v>
      </c>
      <c r="V34" s="25">
        <f>H34*U34*I34/15</f>
        <v>414514.8</v>
      </c>
      <c r="W34" s="25">
        <v>212.26</v>
      </c>
      <c r="X34" s="25">
        <f>813597.07/204*F34</f>
        <v>398822.09313725488</v>
      </c>
      <c r="Y34" s="25">
        <f>(G34*60)+(F34*60)</f>
        <v>6000</v>
      </c>
      <c r="Z34" s="25">
        <v>21510.2</v>
      </c>
      <c r="AA34" s="25">
        <v>0</v>
      </c>
      <c r="AB34" s="25">
        <v>2100</v>
      </c>
      <c r="AC34" s="25">
        <f>F34*38</f>
        <v>3800</v>
      </c>
      <c r="AD34" s="25">
        <f>IF(F34="",G34*4.11,F34*4.11)</f>
        <v>411.00000000000006</v>
      </c>
      <c r="AE34" s="25">
        <f>1627.19/204*F34</f>
        <v>797.64215686274508</v>
      </c>
      <c r="AF34" s="25">
        <f>V34+Y34+Z34+AA34+AB34+AC34+AD34</f>
        <v>448336</v>
      </c>
      <c r="AG34" s="25">
        <f>IFERROR(IFERROR((H34*W34*J34/15)-AE34,""),"")</f>
        <v>425650.73300653591</v>
      </c>
      <c r="AH34" s="26">
        <f>IFERROR(AG34-AF34,0)</f>
        <v>-22685.266993464087</v>
      </c>
      <c r="AI34" s="6">
        <f>IF(F34="",(G34/$F$133)*$AL$28,(F34/$F$133)*$AL$28)</f>
        <v>1116.9234167385678</v>
      </c>
      <c r="AJ34" s="25">
        <f>(AH34-AI34)*70%</f>
        <v>-16661.533287141858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-226.85266993464086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-5.329549612948923E-2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45190</v>
      </c>
      <c r="B39" s="21" t="s">
        <v>563</v>
      </c>
      <c r="C39" s="21" t="s">
        <v>335</v>
      </c>
      <c r="D39" s="44">
        <v>3953357</v>
      </c>
      <c r="E39" s="44" t="s">
        <v>652</v>
      </c>
      <c r="F39" s="21">
        <v>100</v>
      </c>
      <c r="G39" s="21"/>
      <c r="H39" s="22">
        <v>57330</v>
      </c>
      <c r="I39" s="33">
        <v>0.55000000000000004</v>
      </c>
      <c r="J39" s="24">
        <f>IFERROR(K39/H39,"")</f>
        <v>0.54734693877551022</v>
      </c>
      <c r="K39" s="22">
        <v>31379.4</v>
      </c>
      <c r="L39" s="21">
        <v>53</v>
      </c>
      <c r="M39" s="21">
        <v>44</v>
      </c>
      <c r="N39" s="21">
        <v>3</v>
      </c>
      <c r="O39" s="21"/>
      <c r="P39" s="21"/>
      <c r="Q39" s="21"/>
      <c r="R39" s="21"/>
      <c r="S39" s="21"/>
      <c r="T39" s="21"/>
      <c r="U39" s="25">
        <v>210</v>
      </c>
      <c r="V39" s="25">
        <f>H39*U39*I39/15</f>
        <v>441441.00000000006</v>
      </c>
      <c r="W39" s="25">
        <v>225.01</v>
      </c>
      <c r="X39" s="25">
        <v>470707.08</v>
      </c>
      <c r="Y39" s="25">
        <f>(G39*60)+(F39*60)</f>
        <v>6000</v>
      </c>
      <c r="Z39" s="25">
        <v>18028.599999999999</v>
      </c>
      <c r="AA39" s="25">
        <v>0</v>
      </c>
      <c r="AB39" s="25">
        <v>2100</v>
      </c>
      <c r="AC39" s="25">
        <f>F39*38</f>
        <v>3800</v>
      </c>
      <c r="AD39" s="25">
        <f>IF(F39="",G39*4.11,F39*4.11)</f>
        <v>411.00000000000006</v>
      </c>
      <c r="AE39" s="25">
        <v>941.42</v>
      </c>
      <c r="AF39" s="25">
        <f>V39+Y39+Z39+AA39+AB39+AC39+AD39</f>
        <v>471780.60000000003</v>
      </c>
      <c r="AG39" s="25">
        <f>IFERROR(IFERROR((H39*W39*J39/15)-AE39,""),"")</f>
        <v>469770.49959999998</v>
      </c>
      <c r="AH39" s="26">
        <f>IFERROR(AG39-AF39,0)</f>
        <v>-2010.1004000000539</v>
      </c>
      <c r="AI39" s="6">
        <f>IF(F39="",(G39/$F$133)*$AL$28,(F39/$F$133)*$AL$28)</f>
        <v>1116.9234167385678</v>
      </c>
      <c r="AJ39" s="25">
        <f>(AH39-AI39)*70%</f>
        <v>-2188.9166717170347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-20.10100400000054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-4.278898742495779E-3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45190</v>
      </c>
      <c r="B44" s="21" t="s">
        <v>632</v>
      </c>
      <c r="C44" s="21" t="s">
        <v>611</v>
      </c>
      <c r="D44" s="44">
        <v>3960328</v>
      </c>
      <c r="E44" s="44" t="s">
        <v>652</v>
      </c>
      <c r="F44" s="21">
        <v>201</v>
      </c>
      <c r="G44" s="21"/>
      <c r="H44" s="22">
        <f>(57330/100)+113081</f>
        <v>113654.3</v>
      </c>
      <c r="I44" s="33">
        <v>0.55000000000000004</v>
      </c>
      <c r="J44" s="24">
        <f>IFERROR(K44/H44,"")</f>
        <v>0.55741225804918948</v>
      </c>
      <c r="K44" s="22">
        <v>63352.3</v>
      </c>
      <c r="L44" s="21">
        <v>25</v>
      </c>
      <c r="M44" s="21">
        <v>55</v>
      </c>
      <c r="N44" s="21">
        <v>85</v>
      </c>
      <c r="O44" s="21">
        <v>30</v>
      </c>
      <c r="P44" s="21">
        <v>6</v>
      </c>
      <c r="Q44" s="21"/>
      <c r="R44" s="21"/>
      <c r="S44" s="21"/>
      <c r="T44" s="21"/>
      <c r="U44" s="25">
        <v>200</v>
      </c>
      <c r="V44" s="25">
        <f>H44*U44*I44/15</f>
        <v>833464.86666666681</v>
      </c>
      <c r="W44" s="25">
        <v>219.53</v>
      </c>
      <c r="X44" s="25">
        <v>927173.83</v>
      </c>
      <c r="Y44" s="43">
        <f>(G44*42)+(F44*42)</f>
        <v>8442</v>
      </c>
      <c r="Z44" s="25">
        <f>18644.93+56144.8</f>
        <v>74789.73000000001</v>
      </c>
      <c r="AA44" s="25">
        <v>0</v>
      </c>
      <c r="AB44" s="25">
        <v>6000</v>
      </c>
      <c r="AC44" s="25">
        <v>0</v>
      </c>
      <c r="AD44" s="25">
        <f>IF(F44="",G44*4.11,F44*4.11)</f>
        <v>826.11</v>
      </c>
      <c r="AE44" s="25">
        <v>1854.36</v>
      </c>
      <c r="AF44" s="25">
        <f>V44+Y44+Z44+AA44+AB44+AC44+AD44</f>
        <v>923522.70666666678</v>
      </c>
      <c r="AG44" s="25">
        <f>IFERROR(IFERROR((H44*W44*J44/15)-AE44,""),"")</f>
        <v>925327.66793333332</v>
      </c>
      <c r="AH44" s="26">
        <f>IFERROR(AG44-AF44,0)</f>
        <v>1804.9612666665344</v>
      </c>
      <c r="AI44" s="6">
        <f>IF(F44="",(G44/$F$133)*$AL$28,(F44/$F$133)*$AL$28)</f>
        <v>2245.0160676445212</v>
      </c>
      <c r="AJ44" s="25">
        <f>(AH44-AI44)*70%</f>
        <v>-308.03836068459077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8.9799067993359927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1.9506184989559565E-3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45191</v>
      </c>
      <c r="B49" s="21" t="s">
        <v>632</v>
      </c>
      <c r="C49" s="21" t="s">
        <v>697</v>
      </c>
      <c r="D49" s="44">
        <v>1876729</v>
      </c>
      <c r="E49" s="44" t="s">
        <v>652</v>
      </c>
      <c r="F49" s="21">
        <v>100</v>
      </c>
      <c r="G49" s="21"/>
      <c r="H49" s="22">
        <v>60940</v>
      </c>
      <c r="I49" s="33">
        <v>0.55000000000000004</v>
      </c>
      <c r="J49" s="24">
        <f>IFERROR(K49/H49,"")</f>
        <v>0.534591401378405</v>
      </c>
      <c r="K49" s="22">
        <v>32578</v>
      </c>
      <c r="L49" s="21">
        <v>11</v>
      </c>
      <c r="M49" s="21">
        <v>67</v>
      </c>
      <c r="N49" s="21">
        <v>15</v>
      </c>
      <c r="O49" s="21">
        <v>2</v>
      </c>
      <c r="P49" s="21">
        <v>5</v>
      </c>
      <c r="Q49" s="21"/>
      <c r="R49" s="21"/>
      <c r="S49" s="21"/>
      <c r="T49" s="21"/>
      <c r="U49" s="25">
        <v>200</v>
      </c>
      <c r="V49" s="25">
        <f>H49*U49*I49/15</f>
        <v>446893.33333333337</v>
      </c>
      <c r="W49" s="25">
        <v>221.76</v>
      </c>
      <c r="X49" s="25">
        <f>1432209.09/299*F49</f>
        <v>478999.69565217395</v>
      </c>
      <c r="Y49" s="25">
        <f>(G49*42)+(F49*42)</f>
        <v>4200</v>
      </c>
      <c r="Z49" s="25">
        <v>37626.1</v>
      </c>
      <c r="AA49" s="25">
        <v>0</v>
      </c>
      <c r="AB49" s="25">
        <v>2000</v>
      </c>
      <c r="AC49" s="25">
        <v>0</v>
      </c>
      <c r="AD49" s="25">
        <f>IF(F49="",G49*4.11,F49*4.11)</f>
        <v>411.00000000000006</v>
      </c>
      <c r="AE49" s="25">
        <f>2864.42/299*F49</f>
        <v>958</v>
      </c>
      <c r="AF49" s="25">
        <f>V49+Y49+Z49+AA49+AB49+AC49+AD49</f>
        <v>491130.43333333335</v>
      </c>
      <c r="AG49" s="25">
        <f>IFERROR(IFERROR((H49*W49*J49/15)-AE49,""),"")</f>
        <v>480675.152</v>
      </c>
      <c r="AH49" s="26">
        <f>IFERROR(AG49-AF49,0)</f>
        <v>-10455.281333333347</v>
      </c>
      <c r="AI49" s="6">
        <f>IF(F49="",(G49/$F$133)*$AL$28,(F49/$F$133)*$AL$28)</f>
        <v>1116.9234167385678</v>
      </c>
      <c r="AJ49" s="25">
        <f>(AH49-AI49)*70%</f>
        <v>-8100.5433250503393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-104.55281333333348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-2.1751241539802638E-2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L52" s="6"/>
      <c r="AM52" s="6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45191</v>
      </c>
      <c r="B54" s="21" t="s">
        <v>632</v>
      </c>
      <c r="C54" s="21" t="s">
        <v>723</v>
      </c>
      <c r="D54" s="44">
        <v>1876729</v>
      </c>
      <c r="E54" s="44" t="s">
        <v>652</v>
      </c>
      <c r="F54" s="21">
        <v>100</v>
      </c>
      <c r="G54" s="21"/>
      <c r="H54" s="22">
        <v>53127</v>
      </c>
      <c r="I54" s="33">
        <v>0.55000000000000004</v>
      </c>
      <c r="J54" s="24">
        <f>IFERROR(K54/H54,"")</f>
        <v>0.55384267886385452</v>
      </c>
      <c r="K54" s="22">
        <v>29424</v>
      </c>
      <c r="L54" s="21">
        <v>67</v>
      </c>
      <c r="M54" s="21">
        <v>17</v>
      </c>
      <c r="N54" s="21">
        <v>12</v>
      </c>
      <c r="O54" s="21">
        <v>4</v>
      </c>
      <c r="P54" s="252"/>
      <c r="Q54" s="21"/>
      <c r="R54" s="21"/>
      <c r="S54" s="21"/>
      <c r="T54" s="21"/>
      <c r="U54" s="25">
        <v>200</v>
      </c>
      <c r="V54" s="25">
        <f>H54*U54*I54/15</f>
        <v>389598.00000000006</v>
      </c>
      <c r="W54" s="25">
        <v>221.76</v>
      </c>
      <c r="X54" s="25">
        <f>1432209.09/299*F54</f>
        <v>478999.69565217395</v>
      </c>
      <c r="Y54" s="25">
        <f>(G54*42)+(F54*42)</f>
        <v>4200</v>
      </c>
      <c r="Z54" s="25">
        <v>37288.550000000003</v>
      </c>
      <c r="AA54" s="25">
        <v>0</v>
      </c>
      <c r="AB54" s="25">
        <v>3000</v>
      </c>
      <c r="AC54" s="25">
        <v>0</v>
      </c>
      <c r="AD54" s="25">
        <f>IF(F54="",G54*4.11,F54*4.11)</f>
        <v>411.00000000000006</v>
      </c>
      <c r="AE54" s="25">
        <f>2864.42/299*F54</f>
        <v>958</v>
      </c>
      <c r="AF54" s="25">
        <f>V54+Y54+Z54+AA54+AB54+AC54+AD54</f>
        <v>434497.55000000005</v>
      </c>
      <c r="AG54" s="25">
        <f>IFERROR(IFERROR((H54*W54*J54/15)-AE54,""),"")</f>
        <v>434046.41599999997</v>
      </c>
      <c r="AH54" s="26">
        <f>IFERROR(AG54-AF54,0)</f>
        <v>-451.13400000007823</v>
      </c>
      <c r="AI54" s="6">
        <f>IF(F54="",(G54/$F$133)*$AL$28,(F54/$F$133)*$AL$28)</f>
        <v>1116.9234167385678</v>
      </c>
      <c r="AJ54" s="25">
        <f>(AH54-AI54)*70%</f>
        <v>-1097.6401917170522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-4.5113400000007822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-1.0393681029728357E-3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  <c r="AI57" s="47"/>
      <c r="AJ57" s="47"/>
    </row>
    <row r="58" spans="1:39" x14ac:dyDescent="0.35">
      <c r="A58" s="37" t="s">
        <v>1</v>
      </c>
      <c r="B58" s="37" t="s">
        <v>2</v>
      </c>
      <c r="C58" s="37" t="s">
        <v>110</v>
      </c>
      <c r="D58" s="37" t="s">
        <v>66</v>
      </c>
      <c r="E58" s="37" t="s">
        <v>638</v>
      </c>
      <c r="F58" s="37" t="s">
        <v>137</v>
      </c>
      <c r="G58" s="37" t="s">
        <v>138</v>
      </c>
      <c r="H58" s="37" t="s">
        <v>4</v>
      </c>
      <c r="I58" s="37" t="s">
        <v>5</v>
      </c>
      <c r="J58" s="37" t="s">
        <v>6</v>
      </c>
      <c r="K58" s="37" t="s">
        <v>7</v>
      </c>
      <c r="L58" s="37" t="s">
        <v>279</v>
      </c>
      <c r="M58" s="37" t="s">
        <v>280</v>
      </c>
      <c r="N58" s="37" t="s">
        <v>281</v>
      </c>
      <c r="O58" s="37" t="s">
        <v>282</v>
      </c>
      <c r="P58" s="37" t="s">
        <v>283</v>
      </c>
      <c r="Q58" s="37" t="s">
        <v>284</v>
      </c>
      <c r="R58" s="37" t="s">
        <v>904</v>
      </c>
      <c r="S58" s="37" t="s">
        <v>285</v>
      </c>
      <c r="T58" s="37" t="s">
        <v>289</v>
      </c>
      <c r="U58" s="37" t="s">
        <v>8</v>
      </c>
      <c r="V58" s="37" t="s">
        <v>9</v>
      </c>
      <c r="W58" s="37" t="s">
        <v>10</v>
      </c>
      <c r="X58" s="37" t="s">
        <v>100</v>
      </c>
      <c r="Y58" s="37" t="s">
        <v>106</v>
      </c>
      <c r="Z58" s="37" t="s">
        <v>12</v>
      </c>
      <c r="AA58" s="37" t="s">
        <v>258</v>
      </c>
      <c r="AB58" s="37" t="s">
        <v>13</v>
      </c>
      <c r="AC58" s="37" t="s">
        <v>74</v>
      </c>
      <c r="AD58" s="37" t="s">
        <v>21</v>
      </c>
      <c r="AE58" s="37" t="s">
        <v>14</v>
      </c>
      <c r="AF58" s="37" t="s">
        <v>15</v>
      </c>
      <c r="AG58" s="37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54">
        <v>45191</v>
      </c>
      <c r="B59" s="39" t="s">
        <v>632</v>
      </c>
      <c r="C59" s="39" t="s">
        <v>697</v>
      </c>
      <c r="D59" s="45">
        <v>1876729</v>
      </c>
      <c r="E59" s="45" t="s">
        <v>652</v>
      </c>
      <c r="F59" s="117">
        <v>99</v>
      </c>
      <c r="G59" s="39"/>
      <c r="H59" s="40">
        <f>59814/100*F59</f>
        <v>59215.86</v>
      </c>
      <c r="I59" s="53">
        <v>0.55000000000000004</v>
      </c>
      <c r="J59" s="42">
        <f>IFERROR(K59/H59,"")</f>
        <v>0.58896011980574126</v>
      </c>
      <c r="K59" s="40">
        <f>34523.5+352.28</f>
        <v>34875.78</v>
      </c>
      <c r="L59" s="39">
        <v>2</v>
      </c>
      <c r="M59" s="39">
        <v>38</v>
      </c>
      <c r="N59" s="39">
        <v>49</v>
      </c>
      <c r="O59" s="39">
        <v>10</v>
      </c>
      <c r="P59" s="39"/>
      <c r="Q59" s="39"/>
      <c r="R59" s="39"/>
      <c r="S59" s="39"/>
      <c r="T59" s="39"/>
      <c r="U59" s="43">
        <v>200</v>
      </c>
      <c r="V59" s="43">
        <f>H59*U59*I59/15</f>
        <v>434249.64</v>
      </c>
      <c r="W59" s="43">
        <v>221.76</v>
      </c>
      <c r="X59" s="43">
        <f>1432209.09/299*F59</f>
        <v>474209.69869565225</v>
      </c>
      <c r="Y59" s="43">
        <f>42*100</f>
        <v>4200</v>
      </c>
      <c r="Z59" s="43">
        <v>38817.599999999999</v>
      </c>
      <c r="AA59" s="43">
        <v>0</v>
      </c>
      <c r="AB59" s="43">
        <v>2000</v>
      </c>
      <c r="AC59" s="43">
        <v>0</v>
      </c>
      <c r="AD59" s="43">
        <f>4.11*100</f>
        <v>411.00000000000006</v>
      </c>
      <c r="AE59" s="43">
        <f>2864.42/299*F59</f>
        <v>948.42</v>
      </c>
      <c r="AF59" s="43">
        <f>V59+Y59+Z59+AA59+AB59+AC59+AD59</f>
        <v>479678.24</v>
      </c>
      <c r="AG59" s="43">
        <f>IFERROR(IFERROR((H59*W59*J59/15)-AE59,""),"")</f>
        <v>514655.11151999998</v>
      </c>
      <c r="AH59" s="26">
        <f>IFERROR(AG59-AF59,0)</f>
        <v>34976.871519999986</v>
      </c>
      <c r="AI59" s="6">
        <f>IF(F59="",(G59/$F$133)*$AL$28,(F59/$F$133)*$AL$28)</f>
        <v>1105.7541825711821</v>
      </c>
      <c r="AJ59" s="25">
        <f>(AH59-AI59)*70%</f>
        <v>23709.782136200163</v>
      </c>
    </row>
    <row r="60" spans="1:39" x14ac:dyDescent="0.35">
      <c r="A60" s="21"/>
      <c r="B60" s="21"/>
      <c r="C60" s="21"/>
      <c r="D60" s="21"/>
      <c r="E60" s="21">
        <v>100</v>
      </c>
      <c r="F60" s="21"/>
      <c r="G60" s="21"/>
      <c r="H60" s="21">
        <v>59814</v>
      </c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353.30173252525236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6.7961768448579277E-2</v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/>
      <c r="B64" s="21"/>
      <c r="C64" s="21"/>
      <c r="D64" s="44"/>
      <c r="E64" s="44"/>
      <c r="F64" s="21"/>
      <c r="G64" s="21"/>
      <c r="H64" s="22">
        <v>0</v>
      </c>
      <c r="I64" s="33">
        <v>0</v>
      </c>
      <c r="J64" s="24" t="str">
        <f>IFERROR(K64/H64,"")</f>
        <v/>
      </c>
      <c r="K64" s="22">
        <v>0</v>
      </c>
      <c r="L64" s="21"/>
      <c r="M64" s="21"/>
      <c r="N64" s="21"/>
      <c r="O64" s="21"/>
      <c r="P64" s="21"/>
      <c r="Q64" s="21"/>
      <c r="R64" s="21"/>
      <c r="S64" s="21"/>
      <c r="T64" s="21"/>
      <c r="U64" s="25">
        <v>0</v>
      </c>
      <c r="V64" s="25">
        <f>H64*U64*I64/15</f>
        <v>0</v>
      </c>
      <c r="W64" s="25">
        <v>0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f>IF(F64="",G64*4.11,F64*4.11)</f>
        <v>0</v>
      </c>
      <c r="AE64" s="25">
        <v>0</v>
      </c>
      <c r="AF64" s="25">
        <v>0</v>
      </c>
      <c r="AG64" s="25" t="str">
        <f>IFERROR(IFERROR((H64*W64*J64/15)-AE64,""),"")</f>
        <v/>
      </c>
      <c r="AH64" s="26">
        <f>IFERROR(AG64-AF64,0)</f>
        <v>0</v>
      </c>
      <c r="AI64" s="6">
        <f>IF(F64="",(G64/$F$133)*$AL$28,(F64/$F$133)*$AL$28)</f>
        <v>0</v>
      </c>
      <c r="AJ64" s="25">
        <f>(AH64-AI64)*70%</f>
        <v>0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2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5"/>
      <c r="AC65" s="21"/>
      <c r="AD65" s="21"/>
      <c r="AE65" s="21"/>
      <c r="AF65" s="21"/>
      <c r="AG65" s="21"/>
      <c r="AH65" s="26">
        <f>IFERROR(AH64/F64,0)+IFERROR(AH64/G64,0)</f>
        <v>0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 t="str">
        <f>IFERROR(AH64/AG64,"")</f>
        <v/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/>
      <c r="B69" s="21"/>
      <c r="C69" s="21"/>
      <c r="D69" s="44"/>
      <c r="E69" s="44"/>
      <c r="F69" s="21"/>
      <c r="G69" s="21"/>
      <c r="H69" s="22">
        <v>0</v>
      </c>
      <c r="I69" s="33">
        <v>0</v>
      </c>
      <c r="J69" s="24" t="str">
        <f>IFERROR(K69/H69,"")</f>
        <v/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>
        <v>0</v>
      </c>
      <c r="V69" s="25">
        <f>H69*U69*I69/15</f>
        <v>0</v>
      </c>
      <c r="W69" s="25">
        <v>0</v>
      </c>
      <c r="X69" s="25">
        <v>0</v>
      </c>
      <c r="Y69" s="25"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f>IF(F69="",G69*4.11,F69*4.11)</f>
        <v>0</v>
      </c>
      <c r="AE69" s="25">
        <v>0</v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6">
        <f>IF(F69="",(G69/$F$133)*$AL$28,(F69/$F$133)*$AL$28)</f>
        <v>0</v>
      </c>
      <c r="AJ69" s="25">
        <f>(AH69-AI69)*70%</f>
        <v>0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/>
      <c r="B74" s="21"/>
      <c r="C74" s="21"/>
      <c r="D74" s="44"/>
      <c r="E74" s="44"/>
      <c r="F74" s="21"/>
      <c r="G74" s="21"/>
      <c r="H74" s="22">
        <v>0</v>
      </c>
      <c r="I74" s="33">
        <v>0</v>
      </c>
      <c r="J74" s="24" t="str">
        <f>IFERROR(K74/H74,"")</f>
        <v/>
      </c>
      <c r="K74" s="22">
        <f>14476/50*F74</f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>
        <v>0</v>
      </c>
      <c r="Y74" s="25">
        <v>0</v>
      </c>
      <c r="Z74" s="25">
        <v>0</v>
      </c>
      <c r="AA74" s="25">
        <v>0</v>
      </c>
      <c r="AB74" s="25">
        <v>0</v>
      </c>
      <c r="AC74" s="25">
        <v>0</v>
      </c>
      <c r="AD74" s="25">
        <f>IF(F74="",G74*4.11,F74*4.11)</f>
        <v>0</v>
      </c>
      <c r="AE74" s="25">
        <f>425.4/50*F74</f>
        <v>0</v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6">
        <f>IF(F74="",(G74/$F$133)*$AL$28,(F74/$F$133)*$AL$28)</f>
        <v>0</v>
      </c>
      <c r="AJ74" s="25">
        <f>(AH74-AI74)*70%</f>
        <v>0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22">
        <f>(50100/93)*F79</f>
        <v>0</v>
      </c>
      <c r="I79" s="33">
        <v>0</v>
      </c>
      <c r="J79" s="24" t="str">
        <f>IFERROR(K79/H79,"")</f>
        <v/>
      </c>
      <c r="K79" s="22">
        <f>14476/50*F79</f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>
        <v>0</v>
      </c>
      <c r="Y79" s="25"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f>425.4/50*F79</f>
        <v>0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6">
        <f>IF(F79="",(G79/$F$133)*$AL$28,(F79/$F$133)*$AL$28)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  <c r="AI82" s="47"/>
      <c r="AJ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22">
        <f>(50100/93)*F84</f>
        <v>0</v>
      </c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6">
        <f>IF(F84="",(G84/$F$133)*$AL$28,(F84/$F$133)*$AL$28)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2">
        <v>0</v>
      </c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200</v>
      </c>
      <c r="V89" s="25">
        <f>H89*U89*I89/15</f>
        <v>0</v>
      </c>
      <c r="W89" s="25">
        <v>0</v>
      </c>
      <c r="X89" s="25">
        <v>0</v>
      </c>
      <c r="Y89" s="25">
        <f>(G89*60)+(F89*60)</f>
        <v>0</v>
      </c>
      <c r="Z89" s="25">
        <v>0</v>
      </c>
      <c r="AA89" s="25">
        <v>0</v>
      </c>
      <c r="AB89" s="25">
        <v>0</v>
      </c>
      <c r="AC89" s="25">
        <f>F89*38</f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6">
        <f>IF(F89="",(G89/$F$133)*$AL$28,(F89/$F$133)*$AL$28)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2">
        <v>0</v>
      </c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6">
        <f>IF(F94="",(G94/$F$133)*$AL$28,(F94/$F$133)*$AL$28)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2">
        <f>81049/150*F99</f>
        <v>0</v>
      </c>
      <c r="I99" s="33">
        <v>0</v>
      </c>
      <c r="J99" s="24" t="str">
        <f>IFERROR(K99/H99,"")</f>
        <v/>
      </c>
      <c r="K99" s="22"/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F99*40</f>
        <v>0</v>
      </c>
      <c r="Z99" s="25">
        <v>0</v>
      </c>
      <c r="AA99" s="25">
        <v>0</v>
      </c>
      <c r="AB99" s="25">
        <v>0</v>
      </c>
      <c r="AC99" s="25">
        <f>G99*35+F99*38</f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6">
        <f>IF(F99="",(G99/$F$133)*$AL$28,(F99/$F$133)*$AL$28)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(G104*60)+(F104*60)</f>
        <v>0</v>
      </c>
      <c r="Z104" s="25">
        <v>0</v>
      </c>
      <c r="AA104" s="25">
        <v>0</v>
      </c>
      <c r="AB104" s="25">
        <v>0</v>
      </c>
      <c r="AC104" s="25">
        <f>F104*35</f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6">
        <f>IF(F104="",(G104/$F$133)*$AL$28,(F104/$F$133)*$AL$28)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  <c r="AI107" s="47"/>
      <c r="AJ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2">
        <v>0</v>
      </c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>
        <v>0</v>
      </c>
      <c r="Y109" s="25">
        <f>(G109*60)+(F109*60)</f>
        <v>0</v>
      </c>
      <c r="Z109" s="25">
        <v>0</v>
      </c>
      <c r="AA109" s="25">
        <v>0</v>
      </c>
      <c r="AB109" s="25">
        <v>0</v>
      </c>
      <c r="AC109" s="25">
        <f>F109*35</f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6">
        <f>IF(F109="",(G109/$F$133)*$AL$28,(F109/$F$133)*$AL$28)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22"/>
      <c r="I114" s="33">
        <v>0</v>
      </c>
      <c r="J114" s="24" t="str">
        <f>IFERROR(K114/H114,"")</f>
        <v/>
      </c>
      <c r="K114" s="22"/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/>
      <c r="X114" s="25"/>
      <c r="Y114" s="25">
        <f>(G114*60)+(F114*60)</f>
        <v>0</v>
      </c>
      <c r="Z114" s="25"/>
      <c r="AA114" s="25">
        <v>0</v>
      </c>
      <c r="AB114" s="25"/>
      <c r="AC114" s="25">
        <f>G114*35+F114*38</f>
        <v>0</v>
      </c>
      <c r="AD114" s="25">
        <f>IF(F114="",G114*4.11,F114*4.11)</f>
        <v>0</v>
      </c>
      <c r="AE114" s="25"/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6">
        <f>IF(F114="",(G114/$F$133)*$AL$28,(F114/$F$133)*$AL$28)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B119" s="21"/>
      <c r="C119" s="21"/>
      <c r="D119" s="44"/>
      <c r="E119" s="44"/>
      <c r="F119" s="21"/>
      <c r="G119" s="21"/>
      <c r="H119" s="22"/>
      <c r="I119" s="33">
        <v>0</v>
      </c>
      <c r="J119" s="24" t="str">
        <f>IFERROR(K119/H119,"")</f>
        <v/>
      </c>
      <c r="K119" s="22"/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/>
      <c r="X119" s="25"/>
      <c r="Y119" s="25">
        <f>(G119*60)+(F119*60)</f>
        <v>0</v>
      </c>
      <c r="Z119" s="25"/>
      <c r="AA119" s="25">
        <v>0</v>
      </c>
      <c r="AB119" s="25"/>
      <c r="AC119" s="25">
        <f>G119*35+F119*38</f>
        <v>0</v>
      </c>
      <c r="AD119" s="25">
        <f>IF(F119="",G119*4.11,F119*4.11)</f>
        <v>0</v>
      </c>
      <c r="AE119" s="25"/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6">
        <f>IF(F119="",(G119/$F$133)*$AL$28,(F119/$F$133)*$AL$28)</f>
        <v>0</v>
      </c>
      <c r="AJ119" s="25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x14ac:dyDescent="0.35">
      <c r="A124" s="20"/>
      <c r="B124" s="21"/>
      <c r="C124" s="21"/>
      <c r="D124" s="44"/>
      <c r="E124" s="44"/>
      <c r="F124" s="21"/>
      <c r="G124" s="21"/>
      <c r="H124" s="22"/>
      <c r="I124" s="33">
        <v>0</v>
      </c>
      <c r="J124" s="24" t="str">
        <f>IFERROR(K124/H124,"")</f>
        <v/>
      </c>
      <c r="K124" s="22"/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/>
      <c r="X124" s="25"/>
      <c r="Y124" s="25">
        <f>(G124*60)+(F124*60)</f>
        <v>0</v>
      </c>
      <c r="Z124" s="25"/>
      <c r="AA124" s="25">
        <v>0</v>
      </c>
      <c r="AB124" s="25"/>
      <c r="AC124" s="25">
        <f>G124*35+F124*38</f>
        <v>0</v>
      </c>
      <c r="AD124" s="25">
        <f>IF(F124="",G124*4.11,F124*4.11)</f>
        <v>0</v>
      </c>
      <c r="AE124" s="25"/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6">
        <f>IF(F124="",(G124/$F$133)*$AL$28,(F124/$F$133)*$AL$28)</f>
        <v>0</v>
      </c>
      <c r="AJ124" s="25">
        <f>(AH124-AI124)*70%</f>
        <v>0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</row>
    <row r="128" spans="1:36" x14ac:dyDescent="0.35">
      <c r="A128" s="14" t="s">
        <v>1</v>
      </c>
      <c r="B128" s="14" t="s">
        <v>2</v>
      </c>
      <c r="C128" s="14" t="s">
        <v>110</v>
      </c>
      <c r="D128" s="14" t="s">
        <v>66</v>
      </c>
      <c r="E128" s="14" t="s">
        <v>638</v>
      </c>
      <c r="F128" s="14" t="s">
        <v>137</v>
      </c>
      <c r="G128" s="14" t="s">
        <v>138</v>
      </c>
      <c r="H128" s="14" t="s">
        <v>4</v>
      </c>
      <c r="I128" s="14" t="s">
        <v>5</v>
      </c>
      <c r="J128" s="14" t="s">
        <v>6</v>
      </c>
      <c r="K128" s="14" t="s">
        <v>7</v>
      </c>
      <c r="L128" s="14" t="s">
        <v>279</v>
      </c>
      <c r="M128" s="14" t="s">
        <v>280</v>
      </c>
      <c r="N128" s="14" t="s">
        <v>281</v>
      </c>
      <c r="O128" s="14" t="s">
        <v>282</v>
      </c>
      <c r="P128" s="14" t="s">
        <v>283</v>
      </c>
      <c r="Q128" s="14" t="s">
        <v>284</v>
      </c>
      <c r="R128" s="14" t="s">
        <v>904</v>
      </c>
      <c r="S128" s="14" t="s">
        <v>285</v>
      </c>
      <c r="T128" s="14" t="s">
        <v>289</v>
      </c>
      <c r="U128" s="14" t="s">
        <v>8</v>
      </c>
      <c r="V128" s="14" t="s">
        <v>9</v>
      </c>
      <c r="W128" s="14" t="s">
        <v>10</v>
      </c>
      <c r="X128" s="14" t="s">
        <v>100</v>
      </c>
      <c r="Y128" s="14" t="s">
        <v>106</v>
      </c>
      <c r="Z128" s="14" t="s">
        <v>12</v>
      </c>
      <c r="AA128" s="14" t="s">
        <v>258</v>
      </c>
      <c r="AB128" s="14" t="s">
        <v>13</v>
      </c>
      <c r="AC128" s="14" t="s">
        <v>74</v>
      </c>
      <c r="AD128" s="14" t="s">
        <v>21</v>
      </c>
      <c r="AE128" s="14" t="s">
        <v>14</v>
      </c>
      <c r="AF128" s="14" t="s">
        <v>15</v>
      </c>
      <c r="AG128" s="14" t="s">
        <v>16</v>
      </c>
      <c r="AH128" s="15" t="s">
        <v>17</v>
      </c>
      <c r="AI128" s="14" t="s">
        <v>679</v>
      </c>
      <c r="AJ128" s="14" t="s">
        <v>678</v>
      </c>
    </row>
    <row r="129" spans="1:36" x14ac:dyDescent="0.35">
      <c r="A129" s="20"/>
      <c r="B129" s="21"/>
      <c r="C129" s="21"/>
      <c r="D129" s="44"/>
      <c r="E129" s="44"/>
      <c r="F129" s="21"/>
      <c r="G129" s="21"/>
      <c r="H129" s="22"/>
      <c r="I129" s="33">
        <v>0</v>
      </c>
      <c r="J129" s="24" t="str">
        <f>IFERROR(K129/H129,"")</f>
        <v/>
      </c>
      <c r="K129" s="22"/>
      <c r="L129" s="21"/>
      <c r="M129" s="21"/>
      <c r="N129" s="21"/>
      <c r="O129" s="21"/>
      <c r="P129" s="21"/>
      <c r="Q129" s="21"/>
      <c r="R129" s="21"/>
      <c r="S129" s="21"/>
      <c r="T129" s="21"/>
      <c r="U129" s="25">
        <v>0</v>
      </c>
      <c r="V129" s="25">
        <f>H129*U129*I129/15</f>
        <v>0</v>
      </c>
      <c r="W129" s="25"/>
      <c r="X129" s="25"/>
      <c r="Y129" s="25">
        <f>(G129*60)+(F129*60)</f>
        <v>0</v>
      </c>
      <c r="Z129" s="25"/>
      <c r="AA129" s="25">
        <v>0</v>
      </c>
      <c r="AB129" s="25"/>
      <c r="AC129" s="25">
        <f>G129*35+F129*38</f>
        <v>0</v>
      </c>
      <c r="AD129" s="25">
        <f>IF(F129="",G129*4.11,F129*4.11)</f>
        <v>0</v>
      </c>
      <c r="AE129" s="25"/>
      <c r="AF129" s="25">
        <f>V129+Y129+Z129+AA129+AB129+AC129+AD129</f>
        <v>0</v>
      </c>
      <c r="AG129" s="25" t="str">
        <f>IFERROR(IFERROR((H129*W129*J129/15)-AE129,""),"")</f>
        <v/>
      </c>
      <c r="AH129" s="26">
        <f>IFERROR(AG129-AF129,0)</f>
        <v>0</v>
      </c>
      <c r="AI129" s="6">
        <f>IF(F129="",(G129/$F$133)*$AL$28,(F129/$F$133)*$AL$28)</f>
        <v>0</v>
      </c>
      <c r="AJ129" s="25">
        <f>(AH129-AI129)*70%</f>
        <v>0</v>
      </c>
    </row>
    <row r="130" spans="1:36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3"/>
      <c r="AA130" s="21"/>
      <c r="AB130" s="21"/>
      <c r="AC130" s="21"/>
      <c r="AD130" s="21"/>
      <c r="AE130" s="21"/>
      <c r="AF130" s="21"/>
      <c r="AG130" s="21"/>
      <c r="AH130" s="26">
        <f>IFERROR(AH129/F129,0)+IFERROR(AH129/G129,0)</f>
        <v>0</v>
      </c>
    </row>
    <row r="131" spans="1:36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7" t="str">
        <f>IFERROR(AH129/AG129,"")</f>
        <v/>
      </c>
    </row>
    <row r="132" spans="1:36" ht="15" thickBot="1" x14ac:dyDescent="0.4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  <c r="AI132" s="47"/>
      <c r="AJ132" s="47"/>
    </row>
    <row r="133" spans="1:36" ht="16" thickBot="1" x14ac:dyDescent="0.4">
      <c r="A133" s="377" t="s">
        <v>741</v>
      </c>
      <c r="B133" s="378"/>
      <c r="C133" s="378"/>
      <c r="D133" s="378"/>
      <c r="E133" s="378"/>
      <c r="F133" s="163">
        <f>SUM(F4:G129)</f>
        <v>1159</v>
      </c>
      <c r="G133" s="163"/>
      <c r="H133" s="30"/>
      <c r="I133" s="30"/>
      <c r="J133" s="30"/>
      <c r="K133" s="30"/>
      <c r="L133" s="46"/>
      <c r="M133" s="46"/>
      <c r="N133" s="46"/>
      <c r="O133" s="46"/>
      <c r="P133" s="46"/>
      <c r="Q133" s="46"/>
      <c r="R133" s="46"/>
      <c r="S133" s="46"/>
      <c r="T133" s="46"/>
      <c r="U133" s="30"/>
      <c r="V133" s="31">
        <f>SUM(V4:V132)</f>
        <v>4610888.2566666668</v>
      </c>
      <c r="W133" s="31"/>
      <c r="X133" s="31"/>
      <c r="Y133" s="31">
        <f t="shared" ref="Y133:AG133" si="0">SUM(Y4:Y132)</f>
        <v>53442</v>
      </c>
      <c r="Z133" s="31">
        <f t="shared" si="0"/>
        <v>356913.49</v>
      </c>
      <c r="AA133" s="31">
        <f t="shared" si="0"/>
        <v>0</v>
      </c>
      <c r="AB133" s="31">
        <f t="shared" si="0"/>
        <v>24389</v>
      </c>
      <c r="AC133" s="31">
        <f t="shared" si="0"/>
        <v>15200</v>
      </c>
      <c r="AD133" s="31">
        <f t="shared" si="0"/>
        <v>4767.6000000000004</v>
      </c>
      <c r="AE133" s="31">
        <f t="shared" si="0"/>
        <v>10176.93</v>
      </c>
      <c r="AF133" s="31">
        <f t="shared" si="0"/>
        <v>5065600.3466666667</v>
      </c>
      <c r="AG133" s="31">
        <f t="shared" si="0"/>
        <v>5078307.6510533337</v>
      </c>
      <c r="AH133" s="161">
        <f>AH4+AH9+AH14+AH19+AH24+AH29+AH34+AH39+AH44+AH49+AH54+AH59+AH64+AH69+AH74+AH79+AH84+AH89+AH94+AH99+AH104+AH109+AH114+AH119+AH124+AH129</f>
        <v>12707.304386666274</v>
      </c>
      <c r="AI133" s="165">
        <f>SUM(AI4:AI131)</f>
        <v>12945.142399999999</v>
      </c>
      <c r="AJ133" s="165">
        <f>SUM(AJ4:AJ131)</f>
        <v>-166.48660933360225</v>
      </c>
    </row>
    <row r="135" spans="1:36" x14ac:dyDescent="0.35">
      <c r="V135" s="162">
        <v>3173324.9000000004</v>
      </c>
      <c r="AH135" s="6"/>
    </row>
  </sheetData>
  <mergeCells count="2">
    <mergeCell ref="U2:AC2"/>
    <mergeCell ref="A133:E13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45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7.26953125" customWidth="1"/>
    <col min="40" max="40" width="19.1796875" customWidth="1"/>
  </cols>
  <sheetData>
    <row r="1" spans="1:40" ht="15" thickBot="1" x14ac:dyDescent="0.4">
      <c r="AK1" s="6"/>
    </row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AF143</f>
        <v>6631897.7200000007</v>
      </c>
      <c r="AM3" s="164">
        <f>AH143-AI143</f>
        <v>164007.56760159141</v>
      </c>
    </row>
    <row r="4" spans="1:40" x14ac:dyDescent="0.35">
      <c r="A4" s="20">
        <v>45193</v>
      </c>
      <c r="B4" s="21" t="s">
        <v>725</v>
      </c>
      <c r="C4" s="21" t="s">
        <v>733</v>
      </c>
      <c r="D4" s="44">
        <v>1869943</v>
      </c>
      <c r="E4" s="44" t="s">
        <v>652</v>
      </c>
      <c r="F4" s="21">
        <v>150</v>
      </c>
      <c r="G4" s="21"/>
      <c r="H4" s="22">
        <v>83916</v>
      </c>
      <c r="I4" s="33">
        <v>0.55000000000000004</v>
      </c>
      <c r="J4" s="24">
        <f>IFERROR(K4/H4,"")</f>
        <v>0.54981767481767485</v>
      </c>
      <c r="K4" s="22">
        <v>46138.5</v>
      </c>
      <c r="L4" s="21">
        <v>14</v>
      </c>
      <c r="M4" s="21">
        <v>73</v>
      </c>
      <c r="N4" s="21">
        <v>57</v>
      </c>
      <c r="O4" s="21">
        <v>6</v>
      </c>
      <c r="P4" s="21"/>
      <c r="Q4" s="21"/>
      <c r="R4" s="21"/>
      <c r="S4" s="21"/>
      <c r="T4" s="21"/>
      <c r="U4" s="25">
        <v>210</v>
      </c>
      <c r="V4" s="25">
        <f>H4*U4*I4/15</f>
        <v>646153.19999999995</v>
      </c>
      <c r="W4" s="25">
        <v>224.85</v>
      </c>
      <c r="X4" s="25">
        <v>691608.41</v>
      </c>
      <c r="Y4" s="25">
        <f>IF(B4="FRANCISCO CAMACHO",((F4*42)+(G4*42)),IF(B4="JOSE INACIO",((F4*60)+(G4*60)),0))</f>
        <v>0</v>
      </c>
      <c r="Z4" s="25">
        <v>43331.14</v>
      </c>
      <c r="AA4" s="25">
        <v>0</v>
      </c>
      <c r="AB4" s="25">
        <v>3150</v>
      </c>
      <c r="AC4" s="25">
        <v>0</v>
      </c>
      <c r="AD4" s="25">
        <f>IF(F4="",G4*4.11,F4*4.11)</f>
        <v>616.5</v>
      </c>
      <c r="AE4" s="25">
        <v>1383.21</v>
      </c>
      <c r="AF4" s="25">
        <f>V4+Y4+Z4+AA4+AB4+AC4+AD4</f>
        <v>693250.84</v>
      </c>
      <c r="AG4" s="25">
        <f>IFERROR(IFERROR((H4*W4*J4/15)-AE4,""),"")</f>
        <v>690232.90500000003</v>
      </c>
      <c r="AH4" s="26">
        <f>IFERROR(AG4-AF4,0)</f>
        <v>-3017.9349999999395</v>
      </c>
      <c r="AI4" s="6">
        <f>IF(F4="",(G4/$F$143)*$AL$28,(F4/$F$143)*$AL$28)</f>
        <v>8260.4829659318639</v>
      </c>
      <c r="AJ4" s="25">
        <f>(AH4-AI4)*70%</f>
        <v>-7894.8925761522614</v>
      </c>
      <c r="AL4" s="166" t="s">
        <v>749</v>
      </c>
      <c r="AM4" s="167">
        <f>AM3/AL3</f>
        <v>2.4730111127466453E-2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-20.119566666666262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-4.3723429847204098E-3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45194</v>
      </c>
      <c r="B9" s="21" t="s">
        <v>563</v>
      </c>
      <c r="C9" s="21" t="s">
        <v>124</v>
      </c>
      <c r="D9" s="44">
        <v>1880585</v>
      </c>
      <c r="E9" s="44" t="s">
        <v>652</v>
      </c>
      <c r="F9" s="21">
        <v>50</v>
      </c>
      <c r="G9" s="21"/>
      <c r="H9" s="22">
        <v>26080</v>
      </c>
      <c r="I9" s="33">
        <v>0.53</v>
      </c>
      <c r="J9" s="24">
        <f>IFERROR(K9/H9,"")</f>
        <v>0.52772239263803677</v>
      </c>
      <c r="K9" s="22">
        <v>13763</v>
      </c>
      <c r="L9" s="21">
        <v>2</v>
      </c>
      <c r="M9" s="21">
        <v>32</v>
      </c>
      <c r="N9" s="21">
        <v>12</v>
      </c>
      <c r="O9" s="21">
        <v>3</v>
      </c>
      <c r="P9" s="21">
        <v>1</v>
      </c>
      <c r="Q9" s="21"/>
      <c r="R9" s="21"/>
      <c r="S9" s="21"/>
      <c r="T9" s="21"/>
      <c r="U9" s="25">
        <v>210</v>
      </c>
      <c r="V9" s="25">
        <f>H9*U9*I9/15</f>
        <v>193513.60000000001</v>
      </c>
      <c r="W9" s="25">
        <v>235.77</v>
      </c>
      <c r="X9" s="25">
        <f>652106.49/153*F9</f>
        <v>213106.69607843139</v>
      </c>
      <c r="Y9" s="25">
        <f>IF(B9="FRANCISCO CAMACHO",((F9*42)+(G9*42)),IF(B9="JOSE INACIO",((F9*60)+(G9*60)),0))</f>
        <v>3000</v>
      </c>
      <c r="Z9" s="25">
        <v>11418</v>
      </c>
      <c r="AA9" s="25">
        <v>0</v>
      </c>
      <c r="AB9" s="25">
        <v>1050</v>
      </c>
      <c r="AC9" s="25">
        <f>F9*38</f>
        <v>1900</v>
      </c>
      <c r="AD9" s="25">
        <f>IF(F9="",G9*4.11,F9*4.11)</f>
        <v>205.50000000000003</v>
      </c>
      <c r="AE9" s="25">
        <f>1304.21/153*F9</f>
        <v>426.21241830065361</v>
      </c>
      <c r="AF9" s="25">
        <f>V9+Y9+Z9+AA9+AB9+AC9+AD9</f>
        <v>211087.1</v>
      </c>
      <c r="AG9" s="25">
        <f>IFERROR(IFERROR((H9*W9*J9/15)-AE9,""),"")</f>
        <v>215900.62158169935</v>
      </c>
      <c r="AH9" s="26">
        <f>IFERROR(AG9-AF9,0)</f>
        <v>4813.5215816993441</v>
      </c>
      <c r="AI9" s="6">
        <f>IF(F9="",(G9/$F$143)*$AL$28,(F9/$F$143)*$AL$28)</f>
        <v>2753.4943219772881</v>
      </c>
      <c r="AJ9" s="25">
        <f>(AH9-AI9)*70%</f>
        <v>1442.0190818054391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96.270431633986888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2.2295079775293054E-2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51">
        <v>45194</v>
      </c>
      <c r="B14" s="21" t="s">
        <v>563</v>
      </c>
      <c r="C14" s="21" t="s">
        <v>727</v>
      </c>
      <c r="D14" s="44">
        <v>1880585</v>
      </c>
      <c r="E14" s="44" t="s">
        <v>652</v>
      </c>
      <c r="F14" s="21">
        <v>50</v>
      </c>
      <c r="G14" s="21"/>
      <c r="H14" s="22">
        <v>23620</v>
      </c>
      <c r="I14" s="33">
        <v>0.53</v>
      </c>
      <c r="J14" s="24">
        <f>IFERROR(K14/H14,"")</f>
        <v>0.52229043183742596</v>
      </c>
      <c r="K14" s="22">
        <v>12336.5</v>
      </c>
      <c r="L14" s="21">
        <v>44</v>
      </c>
      <c r="M14" s="21">
        <v>5</v>
      </c>
      <c r="N14" s="21">
        <v>1</v>
      </c>
      <c r="O14" s="21"/>
      <c r="P14" s="21"/>
      <c r="Q14" s="21"/>
      <c r="R14" s="21"/>
      <c r="S14" s="21"/>
      <c r="T14" s="21"/>
      <c r="U14" s="25">
        <v>210</v>
      </c>
      <c r="V14" s="25">
        <f>H14*U14*I14/15</f>
        <v>175260.4</v>
      </c>
      <c r="W14" s="25">
        <v>235.77</v>
      </c>
      <c r="X14" s="25">
        <f>652106.49/153*F14</f>
        <v>213106.69607843139</v>
      </c>
      <c r="Y14" s="25">
        <f>IF(B14="FRANCISCO CAMACHO",((F14*42)+(G14*42)),IF(B14="JOSE INACIO",((F14*60)+(G14*60)),0))</f>
        <v>3000</v>
      </c>
      <c r="Z14" s="25">
        <v>9293.2000000000007</v>
      </c>
      <c r="AA14" s="25">
        <v>0</v>
      </c>
      <c r="AB14" s="25">
        <v>1050</v>
      </c>
      <c r="AC14" s="25">
        <f>F14*38</f>
        <v>1900</v>
      </c>
      <c r="AD14" s="25">
        <f>IF(F14="",G14*4.11,F14*4.11)</f>
        <v>205.50000000000003</v>
      </c>
      <c r="AE14" s="25">
        <f>1304.21/153*F14</f>
        <v>426.21241830065361</v>
      </c>
      <c r="AF14" s="25">
        <f>V14+Y14+Z14+AA14+AB14+AC14+AD14</f>
        <v>190709.1</v>
      </c>
      <c r="AG14" s="25">
        <f>IFERROR(IFERROR((H14*W14*J14/15)-AE14,""),"")</f>
        <v>193478.89458169937</v>
      </c>
      <c r="AH14" s="26">
        <f>IFERROR(AG14-AF14,0)</f>
        <v>2769.7945816993597</v>
      </c>
      <c r="AI14" s="6">
        <f>IF(F14="",(G14/$F$143)*$AL$28,(F14/$F$143)*$AL$28)</f>
        <v>2753.4943219772881</v>
      </c>
      <c r="AJ14" s="25">
        <f>(AH14-AI14)*70%</f>
        <v>11.41018180545011</v>
      </c>
      <c r="AL14" s="14">
        <f>F4+G4+F9+G9+F14+G14+F19+G19+F24+G24+F29+G29+F34+G34+F39+G39+F44+G44+F49+G49+F54+G54+F59+G59+F64+G64+F74+G74+F79+G79+F69+G69+F84+G84+F89+G89+F94+G94+F99+G99+F104+G104+F109+G109+F114+G114+F119+G119+F124+G124+F129+G129+F134+G134+F139+G139</f>
        <v>1497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55.395891633987191</v>
      </c>
      <c r="AL15" s="11">
        <f>AH143</f>
        <v>246447.1876015914</v>
      </c>
      <c r="AM15" s="11">
        <f>AL15*30%</f>
        <v>73934.156280477415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1.4315745330712401E-2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51">
        <v>45194</v>
      </c>
      <c r="B19" s="21" t="s">
        <v>632</v>
      </c>
      <c r="C19" s="21" t="s">
        <v>697</v>
      </c>
      <c r="D19" s="44">
        <v>1879105</v>
      </c>
      <c r="E19" s="44" t="s">
        <v>652</v>
      </c>
      <c r="F19" s="98">
        <v>200</v>
      </c>
      <c r="G19" s="21"/>
      <c r="H19" s="22">
        <f>133547/250*F19</f>
        <v>106837.59999999999</v>
      </c>
      <c r="I19" s="33">
        <v>0.55000000000000004</v>
      </c>
      <c r="J19" s="24">
        <f>IFERROR(K19/H19,"")</f>
        <v>0.549951515196897</v>
      </c>
      <c r="K19" s="22">
        <v>58755.5</v>
      </c>
      <c r="L19" s="21">
        <v>148</v>
      </c>
      <c r="M19" s="21">
        <v>51</v>
      </c>
      <c r="N19" s="21">
        <v>1</v>
      </c>
      <c r="O19" s="21"/>
      <c r="P19" s="21"/>
      <c r="Q19" s="21"/>
      <c r="R19" s="21"/>
      <c r="S19" s="21"/>
      <c r="T19" s="21"/>
      <c r="U19" s="25">
        <v>200</v>
      </c>
      <c r="V19" s="25">
        <f>H19*U19*I19/15</f>
        <v>783475.73333333351</v>
      </c>
      <c r="W19" s="25">
        <v>232.21</v>
      </c>
      <c r="X19" s="25">
        <v>909574.31</v>
      </c>
      <c r="Y19" s="25">
        <f>IF(B19="FRANCISCO CAMACHO",((F19*42)+(G19*42)),IF(B19="JOSE INACIO",((F19*60)+(G19*60)),0))</f>
        <v>8400</v>
      </c>
      <c r="Z19" s="25">
        <v>84217.24</v>
      </c>
      <c r="AA19" s="25">
        <v>0</v>
      </c>
      <c r="AB19" s="25">
        <f>5000/250*F19</f>
        <v>4000</v>
      </c>
      <c r="AC19" s="25">
        <v>0</v>
      </c>
      <c r="AD19" s="25">
        <f>IF(F19="",G19*4.11,F19*4.11)</f>
        <v>822.00000000000011</v>
      </c>
      <c r="AE19" s="25">
        <v>1819.15</v>
      </c>
      <c r="AF19" s="25">
        <f>V19+Y19+Z19+AA19+AB19+AC19+AD19</f>
        <v>880914.9733333335</v>
      </c>
      <c r="AG19" s="25">
        <f>IFERROR(IFERROR((H19*W19*J19/15)-AE19,""),"")</f>
        <v>907755.1603333333</v>
      </c>
      <c r="AH19" s="26">
        <f>IFERROR(AG19-AF19,0)</f>
        <v>26840.186999999802</v>
      </c>
      <c r="AI19" s="6">
        <f>IF(F19="",(G19/$F$143)*$AL$28,(F19/$F$143)*$AL$28)</f>
        <v>11013.977287909152</v>
      </c>
      <c r="AJ19" s="25">
        <f>(AH19-AI19)*70%</f>
        <v>11078.346798463454</v>
      </c>
      <c r="AL19" s="178">
        <v>824.74</v>
      </c>
      <c r="AM19" s="6" t="s">
        <v>720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5"/>
      <c r="AC20" s="21"/>
      <c r="AD20" s="21"/>
      <c r="AE20" s="21"/>
      <c r="AF20" s="21"/>
      <c r="AG20" s="21"/>
      <c r="AH20" s="26">
        <f>IFERROR(AH19/F19,0)+IFERROR(AH19/G19,0)</f>
        <v>134.20093499999902</v>
      </c>
      <c r="AL20" s="178">
        <v>220</v>
      </c>
      <c r="AM20" s="6" t="s">
        <v>728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2.9567650147143111E-2</v>
      </c>
      <c r="AL21" s="178">
        <v>1732.88</v>
      </c>
      <c r="AM21" s="6" t="s">
        <v>720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220</v>
      </c>
      <c r="AM22" s="6" t="s">
        <v>728</v>
      </c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>
        <v>4442</v>
      </c>
      <c r="AM23" s="6" t="s">
        <v>736</v>
      </c>
      <c r="AN23" s="174"/>
    </row>
    <row r="24" spans="1:40" x14ac:dyDescent="0.35">
      <c r="A24" s="251">
        <v>45194</v>
      </c>
      <c r="B24" s="21" t="s">
        <v>632</v>
      </c>
      <c r="C24" s="21" t="s">
        <v>697</v>
      </c>
      <c r="D24" s="44">
        <v>1880081</v>
      </c>
      <c r="E24" s="44" t="s">
        <v>652</v>
      </c>
      <c r="F24" s="98">
        <v>50</v>
      </c>
      <c r="G24" s="21"/>
      <c r="H24" s="22">
        <f>133547/250*F24</f>
        <v>26709.399999999998</v>
      </c>
      <c r="I24" s="33">
        <v>0.55000000000000004</v>
      </c>
      <c r="J24" s="24">
        <f>IFERROR(K24/H24,"")</f>
        <v>0.56860131639048428</v>
      </c>
      <c r="K24" s="22">
        <v>15187</v>
      </c>
      <c r="L24" s="21">
        <v>31</v>
      </c>
      <c r="M24" s="21">
        <v>15</v>
      </c>
      <c r="N24" s="21">
        <v>4</v>
      </c>
      <c r="O24" s="21"/>
      <c r="P24" s="21"/>
      <c r="Q24" s="21"/>
      <c r="R24" s="21"/>
      <c r="S24" s="21"/>
      <c r="T24" s="21"/>
      <c r="U24" s="25">
        <v>200</v>
      </c>
      <c r="V24" s="25">
        <f>H24*U24*I24/15</f>
        <v>195868.93333333338</v>
      </c>
      <c r="W24" s="25">
        <v>238.43</v>
      </c>
      <c r="X24" s="25">
        <v>241402.43</v>
      </c>
      <c r="Y24" s="25">
        <f>IF(B24="FRANCISCO CAMACHO",((F24*42)+(G24*42)),IF(B24="JOSE INACIO",((F24*60)+(G24*60)),0))</f>
        <v>2100</v>
      </c>
      <c r="Z24" s="25">
        <v>20955</v>
      </c>
      <c r="AA24" s="25">
        <v>0</v>
      </c>
      <c r="AB24" s="25">
        <f>5000/250*F24</f>
        <v>1000</v>
      </c>
      <c r="AC24" s="25">
        <v>0</v>
      </c>
      <c r="AD24" s="25">
        <f>IF(F24="",G24*4.11,F24*4.11)</f>
        <v>205.50000000000003</v>
      </c>
      <c r="AE24" s="25">
        <v>482.8</v>
      </c>
      <c r="AF24" s="25">
        <f>V24+Y24+Z24+AA24+AB24+AC24+AD24</f>
        <v>220129.43333333338</v>
      </c>
      <c r="AG24" s="25">
        <f>IFERROR(IFERROR((H24*W24*J24/15)-AE24,""),"")</f>
        <v>240919.62733333337</v>
      </c>
      <c r="AH24" s="26">
        <f>IFERROR(AG24-AF24,0)</f>
        <v>20790.193999999989</v>
      </c>
      <c r="AI24" s="6">
        <f>IF(F24="",(G24/$F$143)*$AL$28,(F24/$F$143)*$AL$28)</f>
        <v>2753.4943219772881</v>
      </c>
      <c r="AJ24" s="25">
        <f>(AH24-AI24)*70%</f>
        <v>12625.68977461589</v>
      </c>
      <c r="AL24" s="178">
        <v>75000</v>
      </c>
      <c r="AM24" s="6" t="s">
        <v>737</v>
      </c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5"/>
      <c r="AC25" s="21"/>
      <c r="AD25" s="21"/>
      <c r="AE25" s="21"/>
      <c r="AF25" s="21"/>
      <c r="AG25" s="21"/>
      <c r="AH25" s="26">
        <f>IFERROR(AH24/F24,0)+IFERROR(AH24/G24,0)</f>
        <v>415.80387999999977</v>
      </c>
      <c r="AL25" s="178"/>
      <c r="AM25" s="6"/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8.6295144277452066E-2</v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4">
        <f>SUM(AL19:AL27)</f>
        <v>82439.62</v>
      </c>
      <c r="AM28" s="189" t="s">
        <v>673</v>
      </c>
      <c r="AN28" s="191"/>
    </row>
    <row r="29" spans="1:40" x14ac:dyDescent="0.35">
      <c r="A29" s="20">
        <v>45194</v>
      </c>
      <c r="B29" s="21" t="s">
        <v>725</v>
      </c>
      <c r="C29" s="21" t="s">
        <v>733</v>
      </c>
      <c r="D29" s="44">
        <v>1869959</v>
      </c>
      <c r="E29" s="44" t="s">
        <v>652</v>
      </c>
      <c r="F29" s="21">
        <v>47</v>
      </c>
      <c r="G29" s="21"/>
      <c r="H29" s="22">
        <f>55558/100*F29</f>
        <v>26112.260000000002</v>
      </c>
      <c r="I29" s="33">
        <v>0.55000000000000004</v>
      </c>
      <c r="J29" s="24">
        <f>IFERROR(K29/H29,"")</f>
        <v>0.54616107529566571</v>
      </c>
      <c r="K29" s="22">
        <v>14261.5</v>
      </c>
      <c r="L29" s="21">
        <v>8</v>
      </c>
      <c r="M29" s="21">
        <v>21</v>
      </c>
      <c r="N29" s="21">
        <v>16</v>
      </c>
      <c r="O29" s="21">
        <v>2</v>
      </c>
      <c r="P29" s="21"/>
      <c r="Q29" s="21"/>
      <c r="R29" s="21"/>
      <c r="S29" s="21"/>
      <c r="T29" s="21"/>
      <c r="U29" s="25">
        <v>210</v>
      </c>
      <c r="V29" s="25">
        <f>H29*U29*I29/15</f>
        <v>201064.40200000006</v>
      </c>
      <c r="W29" s="25">
        <v>228.2</v>
      </c>
      <c r="X29" s="25">
        <v>216962.57</v>
      </c>
      <c r="Y29" s="25">
        <f>IF(B29="FRANCISCO CAMACHO",((F29*42)+(G29*42)),IF(B29="JOSE INACIO",((F29*60)+(G29*60)),0))</f>
        <v>0</v>
      </c>
      <c r="Z29" s="25">
        <f>28862.71/100*F29</f>
        <v>13565.473699999999</v>
      </c>
      <c r="AA29" s="25">
        <v>0</v>
      </c>
      <c r="AB29" s="25">
        <f>2100/100*F29</f>
        <v>987</v>
      </c>
      <c r="AC29" s="25">
        <v>0</v>
      </c>
      <c r="AD29" s="25">
        <f>IF(F29="",G29*4.11,F29*4.11)</f>
        <v>193.17000000000002</v>
      </c>
      <c r="AE29" s="25">
        <v>433.93</v>
      </c>
      <c r="AF29" s="25">
        <f>V29+Y29+Z29+AA29+AB29+AC29+AD29</f>
        <v>215810.04570000008</v>
      </c>
      <c r="AG29" s="25">
        <f>IFERROR(IFERROR((H29*W29*J29/15)-AE29,""),"")</f>
        <v>216531.02333333332</v>
      </c>
      <c r="AH29" s="26">
        <f>IFERROR(AG29-AF29,0)</f>
        <v>720.9776333332411</v>
      </c>
      <c r="AI29" s="6">
        <f>IF(F29="",(G29/$F$143)*$AL$28,(F29/$F$143)*$AL$28)</f>
        <v>2588.2846626586506</v>
      </c>
      <c r="AJ29" s="25">
        <f>(AH29-AI29)*70%</f>
        <v>-1307.1149205277866</v>
      </c>
      <c r="AL29" s="57"/>
      <c r="AM29" s="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2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15.339949645388108</v>
      </c>
      <c r="AL30" s="57"/>
      <c r="AM30" s="118" t="s">
        <v>22</v>
      </c>
      <c r="AN30" s="12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3.3296736062774245E-3</v>
      </c>
      <c r="AL31" s="247">
        <f>AL15-AL28</f>
        <v>164007.56760159141</v>
      </c>
      <c r="AM31" s="248">
        <f>AL31*30%</f>
        <v>49202.270280477424</v>
      </c>
      <c r="AN31" s="12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3"/>
      <c r="AA32" s="21"/>
      <c r="AB32" s="21"/>
      <c r="AC32" s="21"/>
      <c r="AD32" s="21"/>
      <c r="AE32" s="21"/>
      <c r="AF32" s="21"/>
      <c r="AG32" s="21"/>
      <c r="AH32" s="24"/>
      <c r="AL32" s="57"/>
      <c r="AM32" s="249"/>
      <c r="AN32" s="246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6">
        <f>AH4+AH9+AH14+AH19+AH24+AH29+AH34+AH44+AH59+AH64</f>
        <v>174643.537934925</v>
      </c>
      <c r="AM33" s="248" t="s">
        <v>596</v>
      </c>
      <c r="AN33" s="1"/>
    </row>
    <row r="34" spans="1:40" x14ac:dyDescent="0.35">
      <c r="A34" s="20">
        <v>45194</v>
      </c>
      <c r="B34" s="21" t="s">
        <v>725</v>
      </c>
      <c r="C34" s="21" t="s">
        <v>733</v>
      </c>
      <c r="D34" s="44">
        <v>1880585</v>
      </c>
      <c r="E34" s="44" t="s">
        <v>652</v>
      </c>
      <c r="F34" s="21">
        <v>53</v>
      </c>
      <c r="G34" s="21"/>
      <c r="H34" s="22">
        <f>55558/100*F34</f>
        <v>29445.74</v>
      </c>
      <c r="I34" s="33">
        <v>0.55000000000000004</v>
      </c>
      <c r="J34" s="24">
        <f>IFERROR(K34/H34,"")</f>
        <v>0.52262228763821184</v>
      </c>
      <c r="K34" s="22">
        <v>15389</v>
      </c>
      <c r="L34" s="21">
        <v>8</v>
      </c>
      <c r="M34" s="21">
        <v>33</v>
      </c>
      <c r="N34" s="21">
        <v>11</v>
      </c>
      <c r="O34" s="21">
        <v>1</v>
      </c>
      <c r="P34" s="21"/>
      <c r="Q34" s="21"/>
      <c r="R34" s="21"/>
      <c r="S34" s="21"/>
      <c r="T34" s="21"/>
      <c r="U34" s="25">
        <v>210</v>
      </c>
      <c r="V34" s="25">
        <f>H34*U34*I34/15</f>
        <v>226732.19800000003</v>
      </c>
      <c r="W34" s="25">
        <v>235.77</v>
      </c>
      <c r="X34" s="25">
        <f>652106.49/153*F34</f>
        <v>225893.09784313725</v>
      </c>
      <c r="Y34" s="25">
        <f>IF(B34="FRANCISCO CAMACHO",((F34*42)+(G34*42)),IF(B34="JOSE INACIO",((F34*60)+(G34*60)),0))</f>
        <v>0</v>
      </c>
      <c r="Z34" s="25">
        <f>28862.71/100*F34</f>
        <v>15297.236299999999</v>
      </c>
      <c r="AA34" s="25">
        <v>0</v>
      </c>
      <c r="AB34" s="25">
        <f>2100/100*F34</f>
        <v>1113</v>
      </c>
      <c r="AC34" s="25">
        <v>0</v>
      </c>
      <c r="AD34" s="25">
        <f>IF(F34="",G34*4.11,F34*4.11)</f>
        <v>217.83</v>
      </c>
      <c r="AE34" s="25">
        <f>1304.21/153*F34</f>
        <v>451.78516339869282</v>
      </c>
      <c r="AF34" s="25">
        <f>V34+Y34+Z34+AA34+AB34+AC34+AD34</f>
        <v>243360.26430000001</v>
      </c>
      <c r="AG34" s="25">
        <f>IFERROR(IFERROR((H34*W34*J34/15)-AE34,""),"")</f>
        <v>241432.51683660134</v>
      </c>
      <c r="AH34" s="26">
        <f>IFERROR(AG34-AF34,0)</f>
        <v>-1927.7474633986712</v>
      </c>
      <c r="AI34" s="6">
        <f>IF(F34="",(G34/$F$143)*$AL$28,(F34/$F$143)*$AL$28)</f>
        <v>2918.7039812959247</v>
      </c>
      <c r="AJ34" s="25">
        <f>(AH34-AI34)*70%</f>
        <v>-3392.5160112862168</v>
      </c>
      <c r="AL34" s="6">
        <f>AH39+AH49+AH54</f>
        <v>71803.649666666402</v>
      </c>
      <c r="AM34" s="248" t="s">
        <v>599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2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-36.372593649031536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-7.9846223228636094E-3</v>
      </c>
      <c r="AL36" s="6">
        <f>AL33-AL28</f>
        <v>92203.917934925004</v>
      </c>
      <c r="AM36" t="s">
        <v>756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3"/>
      <c r="AA37" s="21"/>
      <c r="AB37" s="21"/>
      <c r="AC37" s="21"/>
      <c r="AD37" s="21"/>
      <c r="AE37" s="21"/>
      <c r="AF37" s="21"/>
      <c r="AG37" s="21"/>
      <c r="AH37" s="24"/>
      <c r="AL37" s="6">
        <f>AL36*30%</f>
        <v>27661.1753804775</v>
      </c>
      <c r="AM37" t="s">
        <v>731</v>
      </c>
      <c r="AN37" t="s">
        <v>769</v>
      </c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  <c r="AL38" s="6">
        <f>AL34*30%</f>
        <v>21541.09489999992</v>
      </c>
      <c r="AM38" t="s">
        <v>732</v>
      </c>
      <c r="AN38" t="s">
        <v>780</v>
      </c>
    </row>
    <row r="39" spans="1:40" x14ac:dyDescent="0.35">
      <c r="A39" s="20">
        <v>45195</v>
      </c>
      <c r="B39" s="21" t="s">
        <v>729</v>
      </c>
      <c r="C39" s="21" t="s">
        <v>726</v>
      </c>
      <c r="D39" s="157">
        <v>157020</v>
      </c>
      <c r="E39" s="44" t="s">
        <v>641</v>
      </c>
      <c r="F39" s="21">
        <v>100</v>
      </c>
      <c r="G39" s="21"/>
      <c r="H39" s="22">
        <v>56487</v>
      </c>
      <c r="I39" s="33">
        <v>0.55000000000000004</v>
      </c>
      <c r="J39" s="24">
        <f>IFERROR(K39/H39,"")</f>
        <v>0.54626728273762104</v>
      </c>
      <c r="K39" s="22">
        <v>30857</v>
      </c>
      <c r="L39" s="21">
        <v>7</v>
      </c>
      <c r="M39" s="21">
        <v>69</v>
      </c>
      <c r="N39" s="21">
        <v>23</v>
      </c>
      <c r="O39" s="21">
        <v>1</v>
      </c>
      <c r="P39" s="21"/>
      <c r="Q39" s="21"/>
      <c r="R39" s="21"/>
      <c r="S39" s="21"/>
      <c r="T39" s="21"/>
      <c r="U39" s="25">
        <v>210</v>
      </c>
      <c r="V39" s="25">
        <f>H39*U39*I39/15</f>
        <v>434949.90000000008</v>
      </c>
      <c r="W39" s="25">
        <v>230.06</v>
      </c>
      <c r="X39" s="25">
        <v>473256.28</v>
      </c>
      <c r="Y39" s="25">
        <f>IF(B39="FRANCISCO CAMACHO",((F39*42)+(G39*42)),IF(B39="JOSE INACIO",((F39*60)+(G39*60)),0))</f>
        <v>0</v>
      </c>
      <c r="Z39" s="25">
        <v>27599.4</v>
      </c>
      <c r="AA39" s="25">
        <v>0</v>
      </c>
      <c r="AB39" s="25">
        <v>2100</v>
      </c>
      <c r="AC39" s="25">
        <v>0</v>
      </c>
      <c r="AD39" s="25">
        <f>IF(F39="",G39*4.11,F39*4.11)</f>
        <v>411.00000000000006</v>
      </c>
      <c r="AE39" s="25">
        <v>946.52</v>
      </c>
      <c r="AF39" s="25">
        <f>V39+Y39+Z39+AA39+AB39+AC39+AD39</f>
        <v>465060.3000000001</v>
      </c>
      <c r="AG39" s="25">
        <f>IFERROR(IFERROR((H39*W39*J39/15)-AE39,""),"")</f>
        <v>472317.57466666662</v>
      </c>
      <c r="AH39" s="26">
        <f>IFERROR(AG39-AF39,0)</f>
        <v>7257.2746666665189</v>
      </c>
      <c r="AI39" s="6">
        <f>IF(F39="",(G39/$F$143)*$AL$28,(F39/$F$143)*$AL$28)</f>
        <v>5506.9886439545762</v>
      </c>
      <c r="AJ39" s="25">
        <f>(AH39-AI39)*70%</f>
        <v>1225.2002158983598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72.572746666665182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1.5365243759536722E-2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51">
        <v>45195</v>
      </c>
      <c r="B44" s="21" t="s">
        <v>632</v>
      </c>
      <c r="C44" s="21" t="s">
        <v>697</v>
      </c>
      <c r="D44" s="44">
        <v>1876744</v>
      </c>
      <c r="E44" s="44" t="s">
        <v>652</v>
      </c>
      <c r="F44" s="21">
        <v>250</v>
      </c>
      <c r="G44" s="21"/>
      <c r="H44" s="22">
        <v>137958</v>
      </c>
      <c r="I44" s="33">
        <v>0.55000000000000004</v>
      </c>
      <c r="J44" s="24">
        <f>IFERROR(K44/H44,"")</f>
        <v>0.54062105858304699</v>
      </c>
      <c r="K44" s="22">
        <v>74583</v>
      </c>
      <c r="L44" s="21">
        <v>183</v>
      </c>
      <c r="M44" s="21">
        <v>60</v>
      </c>
      <c r="N44" s="21">
        <v>7</v>
      </c>
      <c r="O44" s="21"/>
      <c r="P44" s="21"/>
      <c r="Q44" s="21"/>
      <c r="R44" s="21"/>
      <c r="S44" s="21"/>
      <c r="T44" s="21"/>
      <c r="U44" s="25">
        <v>200</v>
      </c>
      <c r="V44" s="25">
        <f>H44*U44*I44/15</f>
        <v>1011692.0000000001</v>
      </c>
      <c r="W44" s="25">
        <v>234.55</v>
      </c>
      <c r="X44" s="25">
        <v>1166219.55</v>
      </c>
      <c r="Y44" s="25">
        <f>IF(B44="FRANCISCO CAMACHO",((F44*42)+(G44*42)),IF(B44="JOSE INACIO",((F44*60)+(G44*60)),0))</f>
        <v>10500</v>
      </c>
      <c r="Z44" s="25">
        <v>104951.4</v>
      </c>
      <c r="AA44" s="25">
        <v>0</v>
      </c>
      <c r="AB44" s="25">
        <v>5000</v>
      </c>
      <c r="AC44" s="25">
        <v>0</v>
      </c>
      <c r="AD44" s="25">
        <f>IF(F44="",G44*4.11,F44*4.11)</f>
        <v>1027.5</v>
      </c>
      <c r="AE44" s="25">
        <v>2332.44</v>
      </c>
      <c r="AF44" s="25">
        <f>V44+Y44+Z44+AA44+AB44+AC44+AD44</f>
        <v>1133170.9000000001</v>
      </c>
      <c r="AG44" s="25">
        <f>IFERROR(IFERROR((H44*W44*J44/15)-AE44,""),"")</f>
        <v>1163897.07</v>
      </c>
      <c r="AH44" s="26">
        <f>IFERROR(AG44-AF44,0)</f>
        <v>30726.169999999925</v>
      </c>
      <c r="AI44" s="6">
        <f>IF(F44="",(G44/$F$143)*$AL$28,(F44/$F$143)*$AL$28)</f>
        <v>13767.471609886439</v>
      </c>
      <c r="AJ44" s="25">
        <f>(AH44-AI44)*70%</f>
        <v>11871.088873079441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122.9046799999997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2.6399387705306213E-2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45196</v>
      </c>
      <c r="B49" s="21" t="s">
        <v>632</v>
      </c>
      <c r="C49" s="21" t="s">
        <v>735</v>
      </c>
      <c r="D49" s="157">
        <v>157021</v>
      </c>
      <c r="E49" s="44" t="s">
        <v>641</v>
      </c>
      <c r="F49" s="21">
        <v>145</v>
      </c>
      <c r="G49" s="21"/>
      <c r="H49" s="260">
        <v>85440</v>
      </c>
      <c r="I49" s="33">
        <v>0.55000000000000004</v>
      </c>
      <c r="J49" s="24">
        <f>IFERROR(K49/H49,"")</f>
        <v>0.55179476109263936</v>
      </c>
      <c r="K49" s="22">
        <f>63727.5/196*F49</f>
        <v>47145.344387755104</v>
      </c>
      <c r="L49" s="21">
        <v>10</v>
      </c>
      <c r="M49" s="21">
        <v>31</v>
      </c>
      <c r="N49" s="21">
        <v>76</v>
      </c>
      <c r="O49" s="21">
        <v>25</v>
      </c>
      <c r="P49" s="21">
        <v>2</v>
      </c>
      <c r="Q49" s="21">
        <v>1</v>
      </c>
      <c r="R49" s="14"/>
      <c r="S49" s="21"/>
      <c r="T49" s="21"/>
      <c r="U49" s="25">
        <v>200</v>
      </c>
      <c r="V49" s="25">
        <f>H49*U49*I49/15</f>
        <v>626560</v>
      </c>
      <c r="W49" s="25">
        <v>227.89</v>
      </c>
      <c r="X49" s="25">
        <f>968171.06/196*F49</f>
        <v>716248.99846938788</v>
      </c>
      <c r="Y49" s="25">
        <f>IF(B49="FRANCISCO CAMACHO",((F49*42)+(G49*42)),IF(B49="JOSE INACIO",((F49*60)+(G49*60)),0))</f>
        <v>6090</v>
      </c>
      <c r="Z49" s="25">
        <f>76092/196*F49</f>
        <v>56292.551020408166</v>
      </c>
      <c r="AA49" s="25">
        <v>0</v>
      </c>
      <c r="AB49" s="25">
        <f>3920/196*F49</f>
        <v>2900</v>
      </c>
      <c r="AC49" s="25">
        <v>0</v>
      </c>
      <c r="AD49" s="25">
        <f>IF(F49="",G49*4.11,F49*4.11)</f>
        <v>595.95000000000005</v>
      </c>
      <c r="AE49" s="25">
        <f>1936.33/196*F49</f>
        <v>1432.489030612245</v>
      </c>
      <c r="AF49" s="25">
        <f>V49+Y49+Z49+AA49+AB49+AC49+AD49</f>
        <v>692438.50102040812</v>
      </c>
      <c r="AG49" s="25">
        <f>IFERROR(IFERROR((H49*W49*J49/15)-AE49,""),"")</f>
        <v>714831.01313775498</v>
      </c>
      <c r="AH49" s="26">
        <f>IFERROR(AG49-AF49,0)</f>
        <v>22392.512117346865</v>
      </c>
      <c r="AI49" s="6">
        <f>IF(F49="",(G49/$F$143)*$AL$28,(F49/$F$143)*$AL$28)</f>
        <v>7985.1335337341343</v>
      </c>
      <c r="AJ49" s="25">
        <f>(AH49-AI49)*70%</f>
        <v>10085.165008528911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154.43111805066803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3.1325602423228391E-2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L52" s="6"/>
      <c r="AM52" s="6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45196</v>
      </c>
      <c r="B54" s="21" t="s">
        <v>632</v>
      </c>
      <c r="C54" s="21" t="s">
        <v>735</v>
      </c>
      <c r="D54" s="157">
        <v>157021</v>
      </c>
      <c r="E54" s="44" t="s">
        <v>641</v>
      </c>
      <c r="F54" s="21">
        <v>51</v>
      </c>
      <c r="G54" s="21"/>
      <c r="H54" s="22">
        <v>25847</v>
      </c>
      <c r="I54" s="33">
        <v>0.54</v>
      </c>
      <c r="J54" s="24">
        <f>IFERROR(K54/H54,"")</f>
        <v>0.64155049376116746</v>
      </c>
      <c r="K54" s="22">
        <f>63727.5/196*F54</f>
        <v>16582.155612244896</v>
      </c>
      <c r="L54" s="21">
        <v>13</v>
      </c>
      <c r="M54" s="21">
        <v>20</v>
      </c>
      <c r="N54" s="21">
        <v>18</v>
      </c>
      <c r="O54" s="21"/>
      <c r="P54" s="21"/>
      <c r="Q54" s="21"/>
      <c r="R54" s="21"/>
      <c r="S54" s="21"/>
      <c r="T54" s="21"/>
      <c r="U54" s="25">
        <v>200</v>
      </c>
      <c r="V54" s="25">
        <f>H54*U54*I54/15</f>
        <v>186098.4</v>
      </c>
      <c r="W54" s="25">
        <v>227.89</v>
      </c>
      <c r="X54" s="25">
        <f>968171.06/196*F54</f>
        <v>251922.06153061226</v>
      </c>
      <c r="Y54" s="25">
        <f>IF(B54="FRANCISCO CAMACHO",((F54*42)+(G54*42)),IF(B54="JOSE INACIO",((F54*60)+(G54*60)),0))</f>
        <v>2142</v>
      </c>
      <c r="Z54" s="25">
        <f>76092/196*F54</f>
        <v>19799.448979591838</v>
      </c>
      <c r="AA54" s="25">
        <v>0</v>
      </c>
      <c r="AB54" s="25">
        <f>3920/196*F54</f>
        <v>1020</v>
      </c>
      <c r="AC54" s="25">
        <v>0</v>
      </c>
      <c r="AD54" s="25">
        <f>IF(F54="",G54*4.11,F54*4.11)</f>
        <v>209.61</v>
      </c>
      <c r="AE54" s="25">
        <f>1936.33/196*F54</f>
        <v>503.84096938775514</v>
      </c>
      <c r="AF54" s="25">
        <f>V54+Y54+Z54+AA54+AB54+AC54+AD54</f>
        <v>209269.45897959181</v>
      </c>
      <c r="AG54" s="25">
        <f>IFERROR(IFERROR((H54*W54*J54/15)-AE54,""),"")</f>
        <v>251423.32186224483</v>
      </c>
      <c r="AH54" s="26">
        <f>IFERROR(AG54-AF54,0)</f>
        <v>42153.862882653018</v>
      </c>
      <c r="AI54" s="6">
        <f>IF(F54="",(G54/$F$143)*$AL$28,(F54/$F$143)*$AL$28)</f>
        <v>2808.5642084168335</v>
      </c>
      <c r="AJ54" s="25">
        <f>(AH54-AI54)*70%</f>
        <v>27541.709071965328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826.54633103241213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0.16766090977729256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45198</v>
      </c>
      <c r="B59" s="21" t="s">
        <v>632</v>
      </c>
      <c r="C59" s="21" t="s">
        <v>738</v>
      </c>
      <c r="D59" s="44">
        <v>1878823</v>
      </c>
      <c r="E59" s="44" t="s">
        <v>652</v>
      </c>
      <c r="F59" s="21">
        <v>350</v>
      </c>
      <c r="G59" s="21"/>
      <c r="H59" s="22">
        <f>178420/351*F59</f>
        <v>177911.68091168092</v>
      </c>
      <c r="I59" s="33">
        <v>0.55000000000000004</v>
      </c>
      <c r="J59" s="24">
        <f>IFERROR(K59/H59,"")</f>
        <v>0.55741702563774076</v>
      </c>
      <c r="K59" s="22">
        <v>99171</v>
      </c>
      <c r="L59" s="21">
        <v>129</v>
      </c>
      <c r="M59" s="21">
        <v>132</v>
      </c>
      <c r="N59" s="21">
        <v>72</v>
      </c>
      <c r="O59" s="21">
        <v>15</v>
      </c>
      <c r="P59" s="261">
        <v>2</v>
      </c>
      <c r="Q59" s="21"/>
      <c r="R59" s="21"/>
      <c r="S59" s="21"/>
      <c r="T59" s="21"/>
      <c r="U59" s="25">
        <v>200</v>
      </c>
      <c r="V59" s="25">
        <f>H59*U59*I59/15</f>
        <v>1304685.6600189933</v>
      </c>
      <c r="W59" s="25">
        <v>236.82</v>
      </c>
      <c r="X59" s="25">
        <v>1565735.54</v>
      </c>
      <c r="Y59" s="25">
        <f>IF(B59="FRANCISCO CAMACHO",((F59*42)+(G59*42)),IF(B59="JOSE INACIO",((F59*60)+(G59*60)),0))</f>
        <v>14700</v>
      </c>
      <c r="Z59" s="25">
        <f>(20522.4+122476.46)/351*F59</f>
        <v>142591.45584045586</v>
      </c>
      <c r="AA59" s="25">
        <v>0</v>
      </c>
      <c r="AB59" s="25">
        <v>7000</v>
      </c>
      <c r="AC59" s="25">
        <v>0</v>
      </c>
      <c r="AD59" s="25">
        <f>IF(F59="",G59*4.11,F59*4.11)</f>
        <v>1438.5</v>
      </c>
      <c r="AE59" s="25">
        <f>X59*0.2%</f>
        <v>3131.4710800000003</v>
      </c>
      <c r="AF59" s="25">
        <f>V59+Y59+Z59+AA59+AB59+AC59+AD59</f>
        <v>1470415.6158594491</v>
      </c>
      <c r="AG59" s="25">
        <f>IFERROR(IFERROR((H59*W59*J59/15)-AE59,""),"")</f>
        <v>1562580.2769199999</v>
      </c>
      <c r="AH59" s="26">
        <f>IFERROR(AG59-AF59,0)</f>
        <v>92164.661060550716</v>
      </c>
      <c r="AI59" s="6">
        <f>IF(F59="",(G59/$F$143)*$AL$28,(F59/$F$143)*$AL$28)</f>
        <v>19274.460253841014</v>
      </c>
      <c r="AJ59" s="25">
        <f>(AH59-AI59)*70%</f>
        <v>51023.140564696791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263.32760303014493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5.8982352728921147E-2</v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>
        <v>45198</v>
      </c>
      <c r="B64" s="21" t="s">
        <v>632</v>
      </c>
      <c r="C64" s="21" t="s">
        <v>738</v>
      </c>
      <c r="D64" s="44">
        <v>1878825</v>
      </c>
      <c r="E64" s="44" t="s">
        <v>652</v>
      </c>
      <c r="F64" s="21">
        <v>1</v>
      </c>
      <c r="G64" s="21"/>
      <c r="H64" s="22">
        <f>178420/351*F64</f>
        <v>508.31908831908834</v>
      </c>
      <c r="I64" s="33">
        <v>0.55000000000000004</v>
      </c>
      <c r="J64" s="24">
        <f>IFERROR(K64/H64,"")</f>
        <v>0.59597951002748839</v>
      </c>
      <c r="K64" s="22">
        <f>60892.5/201*F64</f>
        <v>302.94776119402985</v>
      </c>
      <c r="L64" s="21">
        <v>1</v>
      </c>
      <c r="M64" s="21"/>
      <c r="N64" s="21"/>
      <c r="O64" s="21"/>
      <c r="P64" s="252"/>
      <c r="Q64" s="21"/>
      <c r="R64" s="21"/>
      <c r="S64" s="21"/>
      <c r="T64" s="21"/>
      <c r="U64" s="25">
        <v>200</v>
      </c>
      <c r="V64" s="25">
        <f>H64*U64*I64/15</f>
        <v>3727.6733143399815</v>
      </c>
      <c r="W64" s="25">
        <v>245.33</v>
      </c>
      <c r="X64" s="25">
        <f>995917.14/201*F64</f>
        <v>4954.8116417910451</v>
      </c>
      <c r="Y64" s="25">
        <f>IF(B64="FRANCISCO CAMACHO",((F64*42)+(G64*42)),IF(B64="JOSE INACIO",((F64*60)+(G64*60)),0))</f>
        <v>42</v>
      </c>
      <c r="Z64" s="25">
        <f>(20522.4+122476.46)/351*F64</f>
        <v>407.4041595441596</v>
      </c>
      <c r="AA64" s="25">
        <v>0</v>
      </c>
      <c r="AB64" s="25">
        <v>0</v>
      </c>
      <c r="AC64" s="25">
        <v>0</v>
      </c>
      <c r="AD64" s="25">
        <f>IF(F64="",G64*4.11,F64*4.11)</f>
        <v>4.1100000000000003</v>
      </c>
      <c r="AE64" s="25">
        <f>1991.83/201*F64</f>
        <v>9.909601990049751</v>
      </c>
      <c r="AF64" s="25">
        <f>V64+Y64+Z64+AA64+AB64+AC64+AD64</f>
        <v>4181.1874738841407</v>
      </c>
      <c r="AG64" s="25">
        <f>IFERROR(IFERROR((H64*W64*J64/15)-AE64,""),"")</f>
        <v>4944.9020149253738</v>
      </c>
      <c r="AH64" s="26">
        <f>IFERROR(AG64-AF64,0)</f>
        <v>763.71454104123313</v>
      </c>
      <c r="AI64" s="6">
        <f>IF(F64="",(G64/$F$143)*$AL$28,(F64/$F$143)*$AL$28)</f>
        <v>55.069886439545762</v>
      </c>
      <c r="AJ64" s="25">
        <f>(AH64-AI64)*70%</f>
        <v>496.05125822118117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763.71454104123313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0.15444482797355466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51"/>
      <c r="B69" s="21"/>
      <c r="C69" s="21"/>
      <c r="D69" s="44"/>
      <c r="E69" s="44"/>
      <c r="F69" s="21"/>
      <c r="G69" s="21"/>
      <c r="H69" s="22"/>
      <c r="I69" s="33">
        <v>0</v>
      </c>
      <c r="J69" s="24" t="str">
        <f>IFERROR(K69/H69,"")</f>
        <v/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>
        <v>0</v>
      </c>
      <c r="V69" s="25">
        <f>H69*U69*I69/15</f>
        <v>0</v>
      </c>
      <c r="W69" s="25">
        <v>0</v>
      </c>
      <c r="X69" s="25">
        <v>0</v>
      </c>
      <c r="Y69" s="25">
        <f>IF(B69="FRANCISCO CAMACHO",((F69*42)+(G69*42)),IF(B69="JOSE INACIO",((F69*60)+(G69*60)),0))</f>
        <v>0</v>
      </c>
      <c r="Z69" s="25"/>
      <c r="AA69" s="25">
        <v>0</v>
      </c>
      <c r="AB69" s="25">
        <v>0</v>
      </c>
      <c r="AC69" s="25">
        <v>0</v>
      </c>
      <c r="AD69" s="25">
        <f>IF(F69="",G69*4.11,F69*4.11)</f>
        <v>0</v>
      </c>
      <c r="AE69" s="82">
        <v>0</v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6">
        <f>IF(F69="",(G69/$F$143)*$AL$28,(F69/$F$143)*$AL$28)</f>
        <v>0</v>
      </c>
      <c r="AJ69" s="25">
        <f>(AH69-AI69)*70%</f>
        <v>0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/>
      <c r="B74" s="21"/>
      <c r="C74" s="21"/>
      <c r="D74" s="44"/>
      <c r="E74" s="44"/>
      <c r="F74" s="21"/>
      <c r="G74" s="21"/>
      <c r="H74" s="22">
        <v>0</v>
      </c>
      <c r="I74" s="33">
        <v>0</v>
      </c>
      <c r="J74" s="24" t="str">
        <f>IFERROR(K74/H74,"")</f>
        <v/>
      </c>
      <c r="K74" s="22"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>
        <v>0</v>
      </c>
      <c r="Y74" s="25">
        <f>IF(B74="FRANCISCO CAMACHO",((F74*42)+(G74*42)),IF(B74="JOSE INACIO",((F74*60)+(G74*60)),0))</f>
        <v>0</v>
      </c>
      <c r="Z74" s="25">
        <v>0</v>
      </c>
      <c r="AA74" s="25">
        <v>0</v>
      </c>
      <c r="AB74" s="25">
        <v>2100</v>
      </c>
      <c r="AC74" s="25">
        <v>0</v>
      </c>
      <c r="AD74" s="25">
        <f>IF(F74="",G74*4.11,F74*4.11)</f>
        <v>0</v>
      </c>
      <c r="AE74" s="25">
        <v>928.71</v>
      </c>
      <c r="AF74" s="25">
        <f>V74+Y74+Z74+AA74+AB74+AC74+AD74</f>
        <v>2100</v>
      </c>
      <c r="AG74" s="25" t="str">
        <f>IFERROR(IFERROR((H74*W74*J74/15)-AE74,""),"")</f>
        <v/>
      </c>
      <c r="AH74" s="26">
        <f>IFERROR(AG74-AF74,0)</f>
        <v>0</v>
      </c>
      <c r="AI74" s="6">
        <f>IF(F74="",(G74/$F$143)*$AL$28,(F74/$F$143)*$AL$28)</f>
        <v>0</v>
      </c>
      <c r="AJ74" s="25">
        <f>(AH74-AI74)*70%</f>
        <v>0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2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5"/>
      <c r="AC75" s="21"/>
      <c r="AD75" s="21"/>
      <c r="AE75" s="21"/>
      <c r="AF75" s="21"/>
      <c r="AG75" s="21"/>
      <c r="AH75" s="26">
        <f>IFERROR(AH74/F74,0)+IFERROR(AH74/G74,0)</f>
        <v>0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22">
        <v>0</v>
      </c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>
        <v>0</v>
      </c>
      <c r="Y79" s="25">
        <f>IF(B79="FRANCISCO CAMACHO",((F79*42)+(G79*42)),IF(B79="JOSE INACIO",((F79*60)+(G79*60)),0))</f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v>165.51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6">
        <f>IF(F79="",(G79/$F$143)*$AL$28,(F79/$F$143)*$AL$28)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22">
        <v>0</v>
      </c>
      <c r="I84" s="33">
        <v>0</v>
      </c>
      <c r="J84" s="24" t="str">
        <f>IFERROR(K84/H84,"")</f>
        <v/>
      </c>
      <c r="K84" s="22">
        <f>14476/50*F84</f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f>IF(B84="FRANCISCO CAMACHO",((F84*42)+(G84*42)),IF(B84="JOSE INACIO",((F84*60)+(G84*60)),0))</f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f>425.4/50*F84</f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6">
        <f>IF(F84="",(G84/$F$143)*$AL$28,(F84/$F$143)*$AL$28)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2">
        <f>(50100/93)*F89</f>
        <v>0</v>
      </c>
      <c r="I89" s="33">
        <v>0</v>
      </c>
      <c r="J89" s="24" t="str">
        <f>IFERROR(K89/H89,"")</f>
        <v/>
      </c>
      <c r="K89" s="22">
        <f>14476/50*F89</f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>
        <v>0</v>
      </c>
      <c r="Y89" s="25">
        <f>IF(B89="FRANCISCO CAMACHO",((F89*42)+(G89*42)),IF(B89="JOSE INACIO",((F89*60)+(G89*60)),0))</f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f>425.4/50*F89</f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6">
        <f>IF(F89="",(G89/$F$143)*$AL$28,(F89/$F$143)*$AL$28)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2">
        <f>(50100/93)*F94</f>
        <v>0</v>
      </c>
      <c r="I94" s="33">
        <v>0</v>
      </c>
      <c r="J94" s="24" t="str">
        <f>IFERROR(K94/H94,"")</f>
        <v/>
      </c>
      <c r="K94" s="22">
        <v>21248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f>IF(B94="FRANCISCO CAMACHO",((F94*42)+(G94*42)),IF(B94="JOSE INACIO",((F94*60)+(G94*60)),0))</f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622.52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6">
        <f>IF(F94="",(G94/$F$143)*$AL$28,(F94/$F$143)*$AL$28)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2">
        <v>0</v>
      </c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200</v>
      </c>
      <c r="V99" s="25">
        <f>H99*U99*I99/15</f>
        <v>0</v>
      </c>
      <c r="W99" s="25">
        <v>0</v>
      </c>
      <c r="X99" s="25">
        <v>0</v>
      </c>
      <c r="Y99" s="25">
        <f>IF(B99="FRANCISCO CAMACHO",((F99*42)+(G99*42)),IF(B99="JOSE INACIO",((F99*60)+(G99*60)),0))</f>
        <v>0</v>
      </c>
      <c r="Z99" s="25">
        <v>0</v>
      </c>
      <c r="AA99" s="25">
        <v>0</v>
      </c>
      <c r="AB99" s="25">
        <v>0</v>
      </c>
      <c r="AC99" s="25">
        <f>F99*38</f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6">
        <f>IF(F99="",(G99/$F$143)*$AL$28,(F99/$F$143)*$AL$28)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IF(B104="FRANCISCO CAMACHO",((F104*42)+(G104*42)),IF(B104="JOSE INACIO",((F104*60)+(G104*60)),0))</f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6">
        <f>IF(F104="",(G104/$F$143)*$AL$28,(F104/$F$143)*$AL$28)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2">
        <f>81049/150*F109</f>
        <v>0</v>
      </c>
      <c r="I109" s="33">
        <v>0</v>
      </c>
      <c r="J109" s="24" t="str">
        <f>IFERROR(K109/H109,"")</f>
        <v/>
      </c>
      <c r="K109" s="22"/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>
        <v>0</v>
      </c>
      <c r="Y109" s="25">
        <f>IF(B109="FRANCISCO CAMACHO",((F109*42)+(G109*42)),IF(B109="JOSE INACIO",((F109*60)+(G109*60)),0))</f>
        <v>0</v>
      </c>
      <c r="Z109" s="25">
        <v>0</v>
      </c>
      <c r="AA109" s="25">
        <v>0</v>
      </c>
      <c r="AB109" s="25">
        <v>0</v>
      </c>
      <c r="AC109" s="25">
        <f>G109*35+F109*38</f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6">
        <f>IF(F109="",(G109/$F$143)*$AL$28,(F109/$F$143)*$AL$28)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22">
        <v>0</v>
      </c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>
        <v>0</v>
      </c>
      <c r="X114" s="25">
        <v>0</v>
      </c>
      <c r="Y114" s="25">
        <f>IF(B114="FRANCISCO CAMACHO",((F114*42)+(G114*42)),IF(B114="JOSE INACIO",((F114*60)+(G114*60)),0))</f>
        <v>0</v>
      </c>
      <c r="Z114" s="25">
        <v>0</v>
      </c>
      <c r="AA114" s="25">
        <v>0</v>
      </c>
      <c r="AB114" s="25">
        <v>0</v>
      </c>
      <c r="AC114" s="25">
        <f>F114*35</f>
        <v>0</v>
      </c>
      <c r="AD114" s="25">
        <f>IF(F114="",G114*4.11,F114*4.11)</f>
        <v>0</v>
      </c>
      <c r="AE114" s="25">
        <v>0</v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6">
        <f>IF(F114="",(G114/$F$143)*$AL$28,(F114/$F$143)*$AL$28)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47"/>
      <c r="AJ117" s="47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B119" s="21"/>
      <c r="C119" s="21"/>
      <c r="D119" s="44"/>
      <c r="E119" s="44"/>
      <c r="F119" s="21"/>
      <c r="G119" s="21"/>
      <c r="H119" s="22">
        <v>0</v>
      </c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>
        <v>0</v>
      </c>
      <c r="X119" s="25">
        <v>0</v>
      </c>
      <c r="Y119" s="25">
        <f>IF(B119="FRANCISCO CAMACHO",((F119*42)+(G119*42)),IF(B119="JOSE INACIO",((F119*60)+(G119*60)),0))</f>
        <v>0</v>
      </c>
      <c r="Z119" s="25">
        <v>0</v>
      </c>
      <c r="AA119" s="25">
        <v>0</v>
      </c>
      <c r="AB119" s="25">
        <v>0</v>
      </c>
      <c r="AC119" s="25">
        <f>F119*35</f>
        <v>0</v>
      </c>
      <c r="AD119" s="25">
        <f>IF(F119="",G119*4.11,F119*4.11)</f>
        <v>0</v>
      </c>
      <c r="AE119" s="25">
        <v>0</v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6">
        <f>IF(F119="",(G119/$F$143)*$AL$28,(F119/$F$143)*$AL$28)</f>
        <v>0</v>
      </c>
      <c r="AJ119" s="25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x14ac:dyDescent="0.35">
      <c r="A124" s="20"/>
      <c r="B124" s="21"/>
      <c r="C124" s="21"/>
      <c r="D124" s="44"/>
      <c r="E124" s="44"/>
      <c r="F124" s="21"/>
      <c r="G124" s="21"/>
      <c r="H124" s="22"/>
      <c r="I124" s="33">
        <v>0</v>
      </c>
      <c r="J124" s="24" t="str">
        <f>IFERROR(K124/H124,"")</f>
        <v/>
      </c>
      <c r="K124" s="22"/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/>
      <c r="X124" s="25"/>
      <c r="Y124" s="25">
        <f>IF(B124="FRANCISCO CAMACHO",((F124*42)+(G124*42)),IF(B124="JOSE INACIO",((F124*60)+(G124*60)),0))</f>
        <v>0</v>
      </c>
      <c r="Z124" s="25"/>
      <c r="AA124" s="25">
        <v>0</v>
      </c>
      <c r="AB124" s="25"/>
      <c r="AC124" s="25">
        <f>G124*35+F124*38</f>
        <v>0</v>
      </c>
      <c r="AD124" s="25">
        <f>IF(F124="",G124*4.11,F124*4.11)</f>
        <v>0</v>
      </c>
      <c r="AE124" s="25"/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6">
        <f>IF(F124="",(G124/$F$143)*$AL$28,(F124/$F$143)*$AL$28)</f>
        <v>0</v>
      </c>
      <c r="AJ124" s="25">
        <f>(AH124-AI124)*70%</f>
        <v>0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</row>
    <row r="128" spans="1:36" x14ac:dyDescent="0.35">
      <c r="A128" s="14" t="s">
        <v>1</v>
      </c>
      <c r="B128" s="14" t="s">
        <v>2</v>
      </c>
      <c r="C128" s="14" t="s">
        <v>110</v>
      </c>
      <c r="D128" s="14" t="s">
        <v>66</v>
      </c>
      <c r="E128" s="14" t="s">
        <v>638</v>
      </c>
      <c r="F128" s="14" t="s">
        <v>137</v>
      </c>
      <c r="G128" s="14" t="s">
        <v>138</v>
      </c>
      <c r="H128" s="14" t="s">
        <v>4</v>
      </c>
      <c r="I128" s="14" t="s">
        <v>5</v>
      </c>
      <c r="J128" s="14" t="s">
        <v>6</v>
      </c>
      <c r="K128" s="14" t="s">
        <v>7</v>
      </c>
      <c r="L128" s="14" t="s">
        <v>279</v>
      </c>
      <c r="M128" s="14" t="s">
        <v>280</v>
      </c>
      <c r="N128" s="14" t="s">
        <v>281</v>
      </c>
      <c r="O128" s="14" t="s">
        <v>282</v>
      </c>
      <c r="P128" s="14" t="s">
        <v>283</v>
      </c>
      <c r="Q128" s="14" t="s">
        <v>284</v>
      </c>
      <c r="R128" s="14" t="s">
        <v>904</v>
      </c>
      <c r="S128" s="14" t="s">
        <v>285</v>
      </c>
      <c r="T128" s="14" t="s">
        <v>289</v>
      </c>
      <c r="U128" s="14" t="s">
        <v>8</v>
      </c>
      <c r="V128" s="14" t="s">
        <v>9</v>
      </c>
      <c r="W128" s="14" t="s">
        <v>10</v>
      </c>
      <c r="X128" s="14" t="s">
        <v>100</v>
      </c>
      <c r="Y128" s="14" t="s">
        <v>106</v>
      </c>
      <c r="Z128" s="14" t="s">
        <v>12</v>
      </c>
      <c r="AA128" s="14" t="s">
        <v>258</v>
      </c>
      <c r="AB128" s="14" t="s">
        <v>13</v>
      </c>
      <c r="AC128" s="14" t="s">
        <v>74</v>
      </c>
      <c r="AD128" s="14" t="s">
        <v>21</v>
      </c>
      <c r="AE128" s="14" t="s">
        <v>14</v>
      </c>
      <c r="AF128" s="14" t="s">
        <v>15</v>
      </c>
      <c r="AG128" s="14" t="s">
        <v>16</v>
      </c>
      <c r="AH128" s="15" t="s">
        <v>17</v>
      </c>
      <c r="AI128" s="14" t="s">
        <v>679</v>
      </c>
      <c r="AJ128" s="14" t="s">
        <v>678</v>
      </c>
    </row>
    <row r="129" spans="1:36" x14ac:dyDescent="0.35">
      <c r="A129" s="20"/>
      <c r="B129" s="21"/>
      <c r="C129" s="21"/>
      <c r="D129" s="44"/>
      <c r="E129" s="44"/>
      <c r="F129" s="21"/>
      <c r="G129" s="21"/>
      <c r="H129" s="22"/>
      <c r="I129" s="33">
        <v>0</v>
      </c>
      <c r="J129" s="24" t="str">
        <f>IFERROR(K129/H129,"")</f>
        <v/>
      </c>
      <c r="K129" s="22"/>
      <c r="L129" s="21"/>
      <c r="M129" s="21"/>
      <c r="N129" s="21"/>
      <c r="O129" s="21"/>
      <c r="P129" s="21"/>
      <c r="Q129" s="21"/>
      <c r="R129" s="21"/>
      <c r="S129" s="21"/>
      <c r="T129" s="21"/>
      <c r="U129" s="25">
        <v>0</v>
      </c>
      <c r="V129" s="25">
        <f>H129*U129*I129/15</f>
        <v>0</v>
      </c>
      <c r="W129" s="25"/>
      <c r="X129" s="25"/>
      <c r="Y129" s="25">
        <f>IF(B129="FRANCISCO CAMACHO",((F129*42)+(G129*42)),IF(B129="JOSE INACIO",((F129*60)+(G129*60)),0))</f>
        <v>0</v>
      </c>
      <c r="Z129" s="25"/>
      <c r="AA129" s="25">
        <v>0</v>
      </c>
      <c r="AB129" s="25"/>
      <c r="AC129" s="25">
        <f>G129*35+F129*38</f>
        <v>0</v>
      </c>
      <c r="AD129" s="25">
        <f>IF(F129="",G129*4.11,F129*4.11)</f>
        <v>0</v>
      </c>
      <c r="AE129" s="25"/>
      <c r="AF129" s="25">
        <f>V129+Y129+Z129+AA129+AB129+AC129+AD129</f>
        <v>0</v>
      </c>
      <c r="AG129" s="25" t="str">
        <f>IFERROR(IFERROR((H129*W129*J129/15)-AE129,""),"")</f>
        <v/>
      </c>
      <c r="AH129" s="26">
        <f>IFERROR(AG129-AF129,0)</f>
        <v>0</v>
      </c>
      <c r="AI129" s="6">
        <f>IF(F129="",(G129/$F$143)*$AL$28,(F129/$F$143)*$AL$28)</f>
        <v>0</v>
      </c>
      <c r="AJ129" s="25">
        <f>(AH129-AI129)*70%</f>
        <v>0</v>
      </c>
    </row>
    <row r="130" spans="1:36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3"/>
      <c r="AA130" s="21"/>
      <c r="AB130" s="21"/>
      <c r="AC130" s="21"/>
      <c r="AD130" s="21"/>
      <c r="AE130" s="21"/>
      <c r="AF130" s="21"/>
      <c r="AG130" s="21"/>
      <c r="AH130" s="26">
        <f>IFERROR(AH129/F129,0)+IFERROR(AH129/G129,0)</f>
        <v>0</v>
      </c>
    </row>
    <row r="131" spans="1:36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7" t="str">
        <f>IFERROR(AH129/AG129,"")</f>
        <v/>
      </c>
    </row>
    <row r="132" spans="1:36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</row>
    <row r="133" spans="1:36" x14ac:dyDescent="0.35">
      <c r="A133" s="14" t="s">
        <v>1</v>
      </c>
      <c r="B133" s="14" t="s">
        <v>2</v>
      </c>
      <c r="C133" s="14" t="s">
        <v>110</v>
      </c>
      <c r="D133" s="14" t="s">
        <v>66</v>
      </c>
      <c r="E133" s="14" t="s">
        <v>638</v>
      </c>
      <c r="F133" s="14" t="s">
        <v>137</v>
      </c>
      <c r="G133" s="14" t="s">
        <v>138</v>
      </c>
      <c r="H133" s="14" t="s">
        <v>4</v>
      </c>
      <c r="I133" s="14" t="s">
        <v>5</v>
      </c>
      <c r="J133" s="14" t="s">
        <v>6</v>
      </c>
      <c r="K133" s="14" t="s">
        <v>7</v>
      </c>
      <c r="L133" s="14" t="s">
        <v>279</v>
      </c>
      <c r="M133" s="14" t="s">
        <v>280</v>
      </c>
      <c r="N133" s="14" t="s">
        <v>281</v>
      </c>
      <c r="O133" s="14" t="s">
        <v>282</v>
      </c>
      <c r="P133" s="14" t="s">
        <v>283</v>
      </c>
      <c r="Q133" s="14" t="s">
        <v>284</v>
      </c>
      <c r="R133" s="14" t="s">
        <v>904</v>
      </c>
      <c r="S133" s="14" t="s">
        <v>285</v>
      </c>
      <c r="T133" s="14" t="s">
        <v>289</v>
      </c>
      <c r="U133" s="14" t="s">
        <v>8</v>
      </c>
      <c r="V133" s="14" t="s">
        <v>9</v>
      </c>
      <c r="W133" s="14" t="s">
        <v>10</v>
      </c>
      <c r="X133" s="14" t="s">
        <v>100</v>
      </c>
      <c r="Y133" s="14" t="s">
        <v>106</v>
      </c>
      <c r="Z133" s="14" t="s">
        <v>12</v>
      </c>
      <c r="AA133" s="14" t="s">
        <v>258</v>
      </c>
      <c r="AB133" s="14" t="s">
        <v>13</v>
      </c>
      <c r="AC133" s="14" t="s">
        <v>74</v>
      </c>
      <c r="AD133" s="14" t="s">
        <v>21</v>
      </c>
      <c r="AE133" s="14" t="s">
        <v>14</v>
      </c>
      <c r="AF133" s="14" t="s">
        <v>15</v>
      </c>
      <c r="AG133" s="14" t="s">
        <v>16</v>
      </c>
      <c r="AH133" s="15" t="s">
        <v>17</v>
      </c>
      <c r="AI133" s="14" t="s">
        <v>679</v>
      </c>
      <c r="AJ133" s="14" t="s">
        <v>678</v>
      </c>
    </row>
    <row r="134" spans="1:36" x14ac:dyDescent="0.35">
      <c r="A134" s="20"/>
      <c r="B134" s="21"/>
      <c r="C134" s="21"/>
      <c r="D134" s="44"/>
      <c r="E134" s="44"/>
      <c r="F134" s="21"/>
      <c r="G134" s="21"/>
      <c r="H134" s="22"/>
      <c r="I134" s="33">
        <v>0</v>
      </c>
      <c r="J134" s="24" t="str">
        <f>IFERROR(K134/H134,"")</f>
        <v/>
      </c>
      <c r="K134" s="22"/>
      <c r="L134" s="21"/>
      <c r="M134" s="21"/>
      <c r="N134" s="21"/>
      <c r="O134" s="21"/>
      <c r="P134" s="21"/>
      <c r="Q134" s="21"/>
      <c r="R134" s="21"/>
      <c r="S134" s="21"/>
      <c r="T134" s="21"/>
      <c r="U134" s="25">
        <v>0</v>
      </c>
      <c r="V134" s="25">
        <f>H134*U134*I134/15</f>
        <v>0</v>
      </c>
      <c r="W134" s="25"/>
      <c r="X134" s="25"/>
      <c r="Y134" s="25">
        <f>IF(B134="FRANCISCO CAMACHO",((F134*42)+(G134*42)),IF(B134="JOSE INACIO",((F134*60)+(G134*60)),0))</f>
        <v>0</v>
      </c>
      <c r="Z134" s="25"/>
      <c r="AA134" s="25">
        <v>0</v>
      </c>
      <c r="AB134" s="25"/>
      <c r="AC134" s="25">
        <f>G134*35+F134*38</f>
        <v>0</v>
      </c>
      <c r="AD134" s="25">
        <f>IF(F134="",G134*4.11,F134*4.11)</f>
        <v>0</v>
      </c>
      <c r="AE134" s="25"/>
      <c r="AF134" s="25">
        <f>V134+Y134+Z134+AA134+AB134+AC134+AD134</f>
        <v>0</v>
      </c>
      <c r="AG134" s="25" t="str">
        <f>IFERROR(IFERROR((H134*W134*J134/15)-AE134,""),"")</f>
        <v/>
      </c>
      <c r="AH134" s="26">
        <f>IFERROR(AG134-AF134,0)</f>
        <v>0</v>
      </c>
      <c r="AI134" s="6">
        <f>IF(F134="",(G134/$F$143)*$AL$28,(F134/$F$143)*$AL$28)</f>
        <v>0</v>
      </c>
      <c r="AJ134" s="25">
        <f>(AH134-AI134)*70%</f>
        <v>0</v>
      </c>
    </row>
    <row r="135" spans="1:36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3"/>
      <c r="AA135" s="21"/>
      <c r="AB135" s="21"/>
      <c r="AC135" s="21"/>
      <c r="AD135" s="21"/>
      <c r="AE135" s="21"/>
      <c r="AF135" s="21"/>
      <c r="AG135" s="21"/>
      <c r="AH135" s="26">
        <f>IFERROR(AH134/F134,0)+IFERROR(AH134/G134,0)</f>
        <v>0</v>
      </c>
    </row>
    <row r="136" spans="1:36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7" t="str">
        <f>IFERROR(AH134/AG134,"")</f>
        <v/>
      </c>
    </row>
    <row r="137" spans="1:36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47"/>
    </row>
    <row r="138" spans="1:36" x14ac:dyDescent="0.35">
      <c r="A138" s="14" t="s">
        <v>1</v>
      </c>
      <c r="B138" s="14" t="s">
        <v>2</v>
      </c>
      <c r="C138" s="14" t="s">
        <v>110</v>
      </c>
      <c r="D138" s="14" t="s">
        <v>66</v>
      </c>
      <c r="E138" s="14" t="s">
        <v>638</v>
      </c>
      <c r="F138" s="14" t="s">
        <v>137</v>
      </c>
      <c r="G138" s="14" t="s">
        <v>138</v>
      </c>
      <c r="H138" s="14" t="s">
        <v>4</v>
      </c>
      <c r="I138" s="14" t="s">
        <v>5</v>
      </c>
      <c r="J138" s="14" t="s">
        <v>6</v>
      </c>
      <c r="K138" s="14" t="s">
        <v>7</v>
      </c>
      <c r="L138" s="14" t="s">
        <v>279</v>
      </c>
      <c r="M138" s="14" t="s">
        <v>280</v>
      </c>
      <c r="N138" s="14" t="s">
        <v>281</v>
      </c>
      <c r="O138" s="14" t="s">
        <v>282</v>
      </c>
      <c r="P138" s="14" t="s">
        <v>283</v>
      </c>
      <c r="Q138" s="14" t="s">
        <v>284</v>
      </c>
      <c r="R138" s="14" t="s">
        <v>904</v>
      </c>
      <c r="S138" s="14" t="s">
        <v>285</v>
      </c>
      <c r="T138" s="14" t="s">
        <v>289</v>
      </c>
      <c r="U138" s="14" t="s">
        <v>8</v>
      </c>
      <c r="V138" s="14" t="s">
        <v>9</v>
      </c>
      <c r="W138" s="14" t="s">
        <v>10</v>
      </c>
      <c r="X138" s="14" t="s">
        <v>100</v>
      </c>
      <c r="Y138" s="14" t="s">
        <v>106</v>
      </c>
      <c r="Z138" s="14" t="s">
        <v>12</v>
      </c>
      <c r="AA138" s="14" t="s">
        <v>258</v>
      </c>
      <c r="AB138" s="14" t="s">
        <v>13</v>
      </c>
      <c r="AC138" s="14" t="s">
        <v>74</v>
      </c>
      <c r="AD138" s="14" t="s">
        <v>21</v>
      </c>
      <c r="AE138" s="14" t="s">
        <v>14</v>
      </c>
      <c r="AF138" s="14" t="s">
        <v>15</v>
      </c>
      <c r="AG138" s="14" t="s">
        <v>16</v>
      </c>
      <c r="AH138" s="15" t="s">
        <v>17</v>
      </c>
      <c r="AI138" s="14" t="s">
        <v>679</v>
      </c>
      <c r="AJ138" s="14" t="s">
        <v>678</v>
      </c>
    </row>
    <row r="139" spans="1:36" x14ac:dyDescent="0.35">
      <c r="A139" s="20"/>
      <c r="B139" s="21"/>
      <c r="C139" s="21"/>
      <c r="D139" s="44"/>
      <c r="E139" s="44"/>
      <c r="F139" s="21"/>
      <c r="G139" s="21"/>
      <c r="H139" s="22"/>
      <c r="I139" s="33">
        <v>0</v>
      </c>
      <c r="J139" s="24" t="str">
        <f>IFERROR(K139/H139,"")</f>
        <v/>
      </c>
      <c r="K139" s="22"/>
      <c r="L139" s="21"/>
      <c r="M139" s="21"/>
      <c r="N139" s="21"/>
      <c r="O139" s="21"/>
      <c r="P139" s="21"/>
      <c r="Q139" s="21"/>
      <c r="R139" s="21"/>
      <c r="S139" s="21"/>
      <c r="T139" s="21"/>
      <c r="U139" s="25">
        <v>0</v>
      </c>
      <c r="V139" s="25">
        <f>H139*U139*I139/15</f>
        <v>0</v>
      </c>
      <c r="W139" s="25"/>
      <c r="X139" s="25"/>
      <c r="Y139" s="25">
        <f>IF(B139="FRANCISCO CAMACHO",((F139*42)+(G139*42)),IF(B139="JOSE INACIO",((F139*60)+(G139*60)),0))</f>
        <v>0</v>
      </c>
      <c r="Z139" s="25"/>
      <c r="AA139" s="25">
        <v>0</v>
      </c>
      <c r="AB139" s="25"/>
      <c r="AC139" s="25">
        <f>G139*35+F139*38</f>
        <v>0</v>
      </c>
      <c r="AD139" s="25">
        <f>IF(F139="",G139*4.11,F139*4.11)</f>
        <v>0</v>
      </c>
      <c r="AE139" s="25"/>
      <c r="AF139" s="25">
        <f>V139+Y139+Z139+AA139+AB139+AC139+AD139</f>
        <v>0</v>
      </c>
      <c r="AG139" s="25" t="str">
        <f>IFERROR(IFERROR((H139*W139*J139/15)-AE139,""),"")</f>
        <v/>
      </c>
      <c r="AH139" s="26">
        <f>IFERROR(AG139-AF139,0)</f>
        <v>0</v>
      </c>
      <c r="AI139" s="6">
        <f>IF(F139="",(G139/$F$143)*$AL$28,(F139/$F$143)*$AL$28)</f>
        <v>0</v>
      </c>
      <c r="AJ139" s="25">
        <f>(AH139-AI139)*70%</f>
        <v>0</v>
      </c>
    </row>
    <row r="140" spans="1:36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3"/>
      <c r="AA140" s="21"/>
      <c r="AB140" s="21"/>
      <c r="AC140" s="21"/>
      <c r="AD140" s="21"/>
      <c r="AE140" s="21"/>
      <c r="AF140" s="21"/>
      <c r="AG140" s="21"/>
      <c r="AH140" s="26">
        <f>IFERROR(AH139/F139,0)+IFERROR(AH139/G139,0)</f>
        <v>0</v>
      </c>
    </row>
    <row r="141" spans="1:36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7" t="str">
        <f>IFERROR(AH139/AG139,"")</f>
        <v/>
      </c>
    </row>
    <row r="142" spans="1:36" ht="15" thickBot="1" x14ac:dyDescent="0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47"/>
      <c r="AI142" s="47"/>
      <c r="AJ142" s="47"/>
    </row>
    <row r="143" spans="1:36" ht="16" thickBot="1" x14ac:dyDescent="0.4">
      <c r="A143" s="377" t="s">
        <v>740</v>
      </c>
      <c r="B143" s="378"/>
      <c r="C143" s="378"/>
      <c r="D143" s="378"/>
      <c r="E143" s="378"/>
      <c r="F143" s="163">
        <f>SUM(F4:G139)</f>
        <v>1497</v>
      </c>
      <c r="G143" s="163"/>
      <c r="H143" s="30"/>
      <c r="I143" s="30"/>
      <c r="J143" s="30"/>
      <c r="K143" s="30"/>
      <c r="L143" s="46"/>
      <c r="M143" s="46"/>
      <c r="N143" s="46"/>
      <c r="O143" s="46"/>
      <c r="P143" s="46"/>
      <c r="Q143" s="46"/>
      <c r="R143" s="46"/>
      <c r="S143" s="46"/>
      <c r="T143" s="46"/>
      <c r="U143" s="30"/>
      <c r="V143" s="31">
        <f>SUM(V4:V142)</f>
        <v>5989782.1000000015</v>
      </c>
      <c r="W143" s="31"/>
      <c r="X143" s="31"/>
      <c r="Y143" s="31">
        <f t="shared" ref="Y143:AG143" si="0">SUM(Y4:Y142)</f>
        <v>49974</v>
      </c>
      <c r="Z143" s="31">
        <f t="shared" si="0"/>
        <v>549718.94999999995</v>
      </c>
      <c r="AA143" s="31">
        <f t="shared" si="0"/>
        <v>0</v>
      </c>
      <c r="AB143" s="31">
        <f t="shared" si="0"/>
        <v>32470</v>
      </c>
      <c r="AC143" s="31">
        <f t="shared" si="0"/>
        <v>3800</v>
      </c>
      <c r="AD143" s="31">
        <f t="shared" si="0"/>
        <v>6152.6699999999992</v>
      </c>
      <c r="AE143" s="31">
        <f t="shared" si="0"/>
        <v>15496.710681990049</v>
      </c>
      <c r="AF143" s="31">
        <f t="shared" si="0"/>
        <v>6631897.7200000007</v>
      </c>
      <c r="AG143" s="31">
        <f t="shared" si="0"/>
        <v>6876244.9076015921</v>
      </c>
      <c r="AH143" s="161">
        <f>AH4+AH9+AH14+AH19+AH24+AH29+AH34+AH39+AH44+AH49+AH54+AH59+AH64+AH69+AH74+AH79+AH84+AH89+AH94+AH99+AH104+AH109+AH114+AH119+AH124+AH129+AH134+AH139</f>
        <v>246447.1876015914</v>
      </c>
      <c r="AI143" s="165">
        <f>SUM(AI4:AI141)</f>
        <v>82439.62000000001</v>
      </c>
      <c r="AJ143" s="165">
        <f>SUM(AJ4:AJ141)</f>
        <v>114805.29732111399</v>
      </c>
    </row>
    <row r="145" spans="22:35" x14ac:dyDescent="0.35">
      <c r="V145" s="162">
        <v>3173324.9000000004</v>
      </c>
      <c r="AI145" s="25"/>
    </row>
  </sheetData>
  <mergeCells count="2">
    <mergeCell ref="U2:AC2"/>
    <mergeCell ref="A143:E14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45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5.26953125" bestFit="1" customWidth="1"/>
    <col min="40" max="40" width="14.26953125" customWidth="1"/>
    <col min="41" max="41" width="10.7265625" bestFit="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AF143</f>
        <v>7888392.6246666685</v>
      </c>
      <c r="AM3" s="164">
        <f>AH143-AI143</f>
        <v>318885.8796517406</v>
      </c>
    </row>
    <row r="4" spans="1:40" x14ac:dyDescent="0.35">
      <c r="A4" s="20">
        <v>45200</v>
      </c>
      <c r="B4" s="21" t="s">
        <v>743</v>
      </c>
      <c r="C4" s="21" t="s">
        <v>744</v>
      </c>
      <c r="D4" s="44">
        <v>1878826</v>
      </c>
      <c r="E4" s="44" t="s">
        <v>652</v>
      </c>
      <c r="F4" s="21">
        <v>85</v>
      </c>
      <c r="G4" s="21"/>
      <c r="H4" s="22">
        <v>40020</v>
      </c>
      <c r="I4" s="33">
        <v>0.53</v>
      </c>
      <c r="J4" s="24">
        <f>IFERROR(K4/H4,"")</f>
        <v>0.53650674662668663</v>
      </c>
      <c r="K4" s="22">
        <v>21471</v>
      </c>
      <c r="L4" s="21">
        <v>10</v>
      </c>
      <c r="M4" s="21">
        <v>34</v>
      </c>
      <c r="N4" s="21">
        <v>29</v>
      </c>
      <c r="O4" s="21">
        <v>9</v>
      </c>
      <c r="P4" s="21">
        <v>3</v>
      </c>
      <c r="Q4" s="21"/>
      <c r="R4" s="21"/>
      <c r="S4" s="21"/>
      <c r="T4" s="21"/>
      <c r="U4" s="25">
        <v>220</v>
      </c>
      <c r="V4" s="25">
        <f>H4*U4*I4/15</f>
        <v>311088.8</v>
      </c>
      <c r="W4" s="25">
        <v>237.44</v>
      </c>
      <c r="X4" s="25">
        <f>798500.13/200*F4</f>
        <v>339362.55524999998</v>
      </c>
      <c r="Y4" s="25">
        <f>IF(B4="FRANCISCO CAMACHO",((F4*42)+(G4*42)),IF(B4="JOSE INACIO",((F4*60)+(G4*60)),0))</f>
        <v>0</v>
      </c>
      <c r="Z4" s="25">
        <f>23051.6/100*F4</f>
        <v>19593.86</v>
      </c>
      <c r="AA4" s="25">
        <v>0</v>
      </c>
      <c r="AB4" s="25">
        <f>2177.5/100*F4</f>
        <v>1850.8749999999998</v>
      </c>
      <c r="AC4" s="25">
        <f>38*F4</f>
        <v>3230</v>
      </c>
      <c r="AD4" s="25">
        <f>IF(F4="",G4*4.11,F4*4.11)</f>
        <v>349.35</v>
      </c>
      <c r="AE4" s="25">
        <f>1596.99/200*F4</f>
        <v>678.72075000000007</v>
      </c>
      <c r="AF4" s="25">
        <f>V4+Y4+Z4+AA4+AB4+AC4+AD4</f>
        <v>336112.88499999995</v>
      </c>
      <c r="AG4" s="25">
        <f>IFERROR(IFERROR((H4*W4*J4/15)-AE4,""),"")</f>
        <v>339192.89525000006</v>
      </c>
      <c r="AH4" s="26">
        <f>IFERROR(AG4-AF4,0)</f>
        <v>3080.0102500001085</v>
      </c>
      <c r="AI4" s="6">
        <f>IF(F4="",(G4/$F$143)*$AL$28,(F4/$F$143)*$AL$28)</f>
        <v>1282.5323226544624</v>
      </c>
      <c r="AJ4" s="25">
        <f>(AH4-AI4)*70%</f>
        <v>1258.2345491419521</v>
      </c>
      <c r="AL4" s="166" t="s">
        <v>749</v>
      </c>
      <c r="AM4" s="167">
        <f>AM3/AL3</f>
        <v>4.0424696744251545E-2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36.235414705883628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9.0804090920890475E-3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45200</v>
      </c>
      <c r="B9" s="21" t="s">
        <v>743</v>
      </c>
      <c r="C9" s="21" t="s">
        <v>744</v>
      </c>
      <c r="D9" s="44">
        <v>1878826</v>
      </c>
      <c r="E9" s="44" t="s">
        <v>652</v>
      </c>
      <c r="F9" s="21"/>
      <c r="G9" s="21">
        <v>15</v>
      </c>
      <c r="H9" s="22">
        <v>5340</v>
      </c>
      <c r="I9" s="33">
        <v>0.5</v>
      </c>
      <c r="J9" s="24">
        <f>IFERROR(K9/H9,"")</f>
        <v>0.49653558052434454</v>
      </c>
      <c r="K9" s="22">
        <v>2651.5</v>
      </c>
      <c r="L9" s="21">
        <v>8</v>
      </c>
      <c r="M9" s="21">
        <v>3</v>
      </c>
      <c r="N9" s="21">
        <v>3</v>
      </c>
      <c r="O9" s="21">
        <v>1</v>
      </c>
      <c r="P9" s="21"/>
      <c r="Q9" s="21"/>
      <c r="R9" s="21"/>
      <c r="S9" s="21"/>
      <c r="T9" s="21"/>
      <c r="U9" s="25">
        <v>205</v>
      </c>
      <c r="V9" s="25">
        <f>H9*U9*I9/15</f>
        <v>36490</v>
      </c>
      <c r="W9" s="25">
        <v>237.44</v>
      </c>
      <c r="X9" s="25">
        <f>798500.13/200*G9</f>
        <v>59887.509749999997</v>
      </c>
      <c r="Y9" s="25">
        <f>IF(B9="FRANCISCO CAMACHO",((F9*42)+(G9*42)),IF(B9="JOSE INACIO",((F9*60)+(G9*60)),0))</f>
        <v>0</v>
      </c>
      <c r="Z9" s="25">
        <f>23051.6/100*G9</f>
        <v>3457.74</v>
      </c>
      <c r="AA9" s="25">
        <v>0</v>
      </c>
      <c r="AB9" s="25">
        <f>2177.5/100*G9</f>
        <v>326.625</v>
      </c>
      <c r="AC9" s="25">
        <f>35*G9</f>
        <v>525</v>
      </c>
      <c r="AD9" s="25">
        <f>IF(F9="",G9*4.11,F9*4.11)</f>
        <v>61.650000000000006</v>
      </c>
      <c r="AE9" s="25">
        <f>1596.99/200*G9</f>
        <v>119.77425000000001</v>
      </c>
      <c r="AF9" s="25">
        <f>V9+Y9+Z9+AA9+AB9+AC9+AD9</f>
        <v>40861.014999999999</v>
      </c>
      <c r="AG9" s="25">
        <f>IFERROR(IFERROR((H9*W9*J9/15)-AE9,""),"")</f>
        <v>41851.703083333334</v>
      </c>
      <c r="AH9" s="26">
        <f>IFERROR(AG9-AF9,0)</f>
        <v>990.68808333333436</v>
      </c>
      <c r="AI9" s="6">
        <f>IF(F9="",(G9/$F$143)*$AL$28,(F9/$F$143)*$AL$28)</f>
        <v>226.32923340961099</v>
      </c>
      <c r="AJ9" s="25">
        <f>(AH9-AI9)*70%</f>
        <v>535.0511949466063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66.045872222222286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2.3671392329261208E-2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45200</v>
      </c>
      <c r="B14" s="21" t="s">
        <v>745</v>
      </c>
      <c r="C14" s="21" t="s">
        <v>746</v>
      </c>
      <c r="D14" s="44">
        <v>1878826</v>
      </c>
      <c r="E14" s="44" t="s">
        <v>652</v>
      </c>
      <c r="F14" s="21">
        <v>100</v>
      </c>
      <c r="G14" s="21"/>
      <c r="H14" s="22">
        <v>49840</v>
      </c>
      <c r="I14" s="33">
        <v>0.54</v>
      </c>
      <c r="J14" s="24">
        <f>IFERROR(K14/H14,"")</f>
        <v>0.52810995184590692</v>
      </c>
      <c r="K14" s="22">
        <v>26321</v>
      </c>
      <c r="L14" s="21">
        <v>47</v>
      </c>
      <c r="M14" s="21">
        <v>44</v>
      </c>
      <c r="N14" s="21">
        <v>8</v>
      </c>
      <c r="O14" s="21">
        <v>1</v>
      </c>
      <c r="P14" s="21"/>
      <c r="Q14" s="21"/>
      <c r="R14" s="21"/>
      <c r="S14" s="21"/>
      <c r="T14" s="21"/>
      <c r="U14" s="25">
        <v>220</v>
      </c>
      <c r="V14" s="25">
        <f>H14*U14*I14/15</f>
        <v>394732.79999999999</v>
      </c>
      <c r="W14" s="25">
        <v>237.44</v>
      </c>
      <c r="X14" s="25">
        <f>798500.13/200*F14</f>
        <v>399250.065</v>
      </c>
      <c r="Y14" s="25">
        <f>IF(B14="FRANCISCO CAMACHO",((F14*42)+(G14*42)),IF(B14="JOSE INACIO",((F14*60)+(G14*60)),0))</f>
        <v>0</v>
      </c>
      <c r="Z14" s="25">
        <v>7675.2</v>
      </c>
      <c r="AA14" s="25">
        <v>0</v>
      </c>
      <c r="AB14" s="25">
        <v>2200</v>
      </c>
      <c r="AC14" s="25">
        <f>38*F14</f>
        <v>3800</v>
      </c>
      <c r="AD14" s="25">
        <f>IF(F14="",G14*4.11,F14*4.11)</f>
        <v>411.00000000000006</v>
      </c>
      <c r="AE14" s="25">
        <f>1596.99/200*F14</f>
        <v>798.495</v>
      </c>
      <c r="AF14" s="25">
        <f>V14+Y14+Z14+AA14+AB14+AC14+AD14</f>
        <v>408819</v>
      </c>
      <c r="AG14" s="25">
        <f>IFERROR(IFERROR((H14*W14*J14/15)-AE14,""),"")</f>
        <v>415845.38766666671</v>
      </c>
      <c r="AH14" s="26">
        <f>IFERROR(AG14-AF14,0)</f>
        <v>7026.3876666667056</v>
      </c>
      <c r="AI14" s="6">
        <f>IF(F14="",(G14/$F$143)*$AL$28,(F14/$F$143)*$AL$28)</f>
        <v>1508.8615560640733</v>
      </c>
      <c r="AJ14" s="25">
        <f>(AH14-AI14)*70%</f>
        <v>3862.268277421842</v>
      </c>
      <c r="AL14" s="14">
        <f>F4+G4+F9+G9+F14+G14+F19+G19+F24+G24+F29+G29+F34+G34+F39+G39+F44+G44+F49+G49+F54+G54+F59+G59+F64+G64+F74+G74+F79+G79+F69+G69+F84+G84+F89+G89+F94+G94+F99+G99+F104+G104+F109+G109+F114+G114+F119+G119+F124+G124+F129+G129+F134+G134+F139+G139</f>
        <v>1748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70.263876666667059</v>
      </c>
      <c r="AL15" s="11">
        <f>AH143</f>
        <v>345260.77965174062</v>
      </c>
      <c r="AM15" s="11">
        <f>AL15*30%</f>
        <v>103578.23389552218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1.6896634843281987E-2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45201</v>
      </c>
      <c r="B19" s="21" t="s">
        <v>632</v>
      </c>
      <c r="C19" s="21" t="s">
        <v>747</v>
      </c>
      <c r="D19" s="44">
        <v>1878825</v>
      </c>
      <c r="E19" s="44" t="s">
        <v>652</v>
      </c>
      <c r="F19" s="21">
        <v>200</v>
      </c>
      <c r="G19" s="21"/>
      <c r="H19" s="22">
        <v>107439</v>
      </c>
      <c r="I19" s="33">
        <v>0.55000000000000004</v>
      </c>
      <c r="J19" s="24">
        <f>IFERROR(K19/H19,"")</f>
        <v>0.56394374704535566</v>
      </c>
      <c r="K19" s="22">
        <f>60892.5/201*F19</f>
        <v>60589.552238805969</v>
      </c>
      <c r="L19" s="21">
        <v>129</v>
      </c>
      <c r="M19" s="21">
        <v>69</v>
      </c>
      <c r="N19" s="21">
        <v>2</v>
      </c>
      <c r="O19" s="21"/>
      <c r="P19" s="21"/>
      <c r="Q19" s="21"/>
      <c r="R19" s="21"/>
      <c r="S19" s="21"/>
      <c r="T19" s="21"/>
      <c r="U19" s="25">
        <v>200</v>
      </c>
      <c r="V19" s="25">
        <f>H19*U19*I19/15</f>
        <v>787886.00000000012</v>
      </c>
      <c r="W19" s="25">
        <v>245.33</v>
      </c>
      <c r="X19" s="25">
        <f>995917.14/201*F19</f>
        <v>990962.32835820899</v>
      </c>
      <c r="Y19" s="25">
        <f>IF(B19="FRANCISCO CAMACHO",((F19*42)+(G19*42)),IF(B19="JOSE INACIO",((F19*60)+(G19*60)),0))</f>
        <v>8400</v>
      </c>
      <c r="Z19" s="25">
        <f>21676.52+65191.8</f>
        <v>86868.32</v>
      </c>
      <c r="AA19" s="25">
        <v>0</v>
      </c>
      <c r="AB19" s="25">
        <v>4000</v>
      </c>
      <c r="AC19" s="25">
        <v>0</v>
      </c>
      <c r="AD19" s="25">
        <f>IF(F19="",G19*4.11,F19*4.11)</f>
        <v>822.00000000000011</v>
      </c>
      <c r="AE19" s="25">
        <f>1991.83/201*F19</f>
        <v>1981.9203980099501</v>
      </c>
      <c r="AF19" s="25">
        <f>V19+Y19+Z19+AA19+AB19+AC19+AD19</f>
        <v>887976.32000000007</v>
      </c>
      <c r="AG19" s="25">
        <f>IFERROR(IFERROR((H19*W19*J19/15)-AE19,""),"")</f>
        <v>988980.40298507467</v>
      </c>
      <c r="AH19" s="26">
        <f>IFERROR(AG19-AF19,0)</f>
        <v>101004.08298507461</v>
      </c>
      <c r="AI19" s="6">
        <f>IF(F19="",(G19/$F$143)*$AL$28,(F19/$F$143)*$AL$28)</f>
        <v>3017.7231121281466</v>
      </c>
      <c r="AJ19" s="25">
        <f>(AH19-AI19)*70%</f>
        <v>68590.451911062511</v>
      </c>
      <c r="AL19" s="178">
        <v>200</v>
      </c>
      <c r="AM19" s="6" t="s">
        <v>742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5"/>
      <c r="AC20" s="21"/>
      <c r="AD20" s="21"/>
      <c r="AE20" s="21"/>
      <c r="AF20" s="21"/>
      <c r="AG20" s="21"/>
      <c r="AH20" s="26">
        <f>IFERROR(AH19/F19,0)+IFERROR(AH19/G19,0)</f>
        <v>505.02041492537302</v>
      </c>
      <c r="AL20" s="178">
        <v>10000</v>
      </c>
      <c r="AM20" s="6" t="s">
        <v>748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0.10212950901778275</v>
      </c>
      <c r="AL21" s="178">
        <v>1731.9</v>
      </c>
      <c r="AM21" s="6" t="s">
        <v>720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220</v>
      </c>
      <c r="AM22" s="6" t="s">
        <v>728</v>
      </c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>
        <v>723</v>
      </c>
      <c r="AM23" s="6" t="s">
        <v>754</v>
      </c>
      <c r="AN23" s="174"/>
    </row>
    <row r="24" spans="1:40" x14ac:dyDescent="0.35">
      <c r="A24" s="20">
        <v>45202</v>
      </c>
      <c r="B24" s="21" t="s">
        <v>751</v>
      </c>
      <c r="C24" s="21" t="s">
        <v>752</v>
      </c>
      <c r="D24" s="157">
        <v>157196</v>
      </c>
      <c r="E24" s="44" t="s">
        <v>641</v>
      </c>
      <c r="F24" s="21">
        <v>50</v>
      </c>
      <c r="G24" s="21"/>
      <c r="H24" s="22">
        <v>24350</v>
      </c>
      <c r="I24" s="33">
        <v>0.54</v>
      </c>
      <c r="J24" s="24">
        <f>IFERROR(K24/H24,"")</f>
        <v>0.56683778234086246</v>
      </c>
      <c r="K24" s="22">
        <v>13802.5</v>
      </c>
      <c r="L24" s="21">
        <v>26</v>
      </c>
      <c r="M24" s="21">
        <v>20</v>
      </c>
      <c r="N24" s="21">
        <v>4</v>
      </c>
      <c r="O24" s="21"/>
      <c r="P24" s="21"/>
      <c r="Q24" s="21"/>
      <c r="R24" s="21"/>
      <c r="S24" s="21"/>
      <c r="T24" s="21"/>
      <c r="U24" s="25">
        <v>235</v>
      </c>
      <c r="V24" s="25">
        <f>H24*U24*I24/15</f>
        <v>206001</v>
      </c>
      <c r="W24" s="25">
        <v>241.55</v>
      </c>
      <c r="X24" s="25">
        <v>222266.26</v>
      </c>
      <c r="Y24" s="25">
        <f>IF(B24="FRANCISCO CAMACHO",((F24*42)+(G24*42)),IF(B24="JOSE INACIO",((F24*60)+(G24*60)),0))</f>
        <v>0</v>
      </c>
      <c r="Z24" s="25">
        <v>1700</v>
      </c>
      <c r="AA24" s="25">
        <v>0</v>
      </c>
      <c r="AB24" s="25">
        <v>1175</v>
      </c>
      <c r="AC24" s="25">
        <v>0</v>
      </c>
      <c r="AD24" s="25">
        <f>IF(F24="",G24*4.11,F24*4.11)</f>
        <v>205.50000000000003</v>
      </c>
      <c r="AE24" s="25">
        <v>444.53</v>
      </c>
      <c r="AF24" s="25">
        <f>V24+Y24+Z24+AA24+AB24+AC24+AD24</f>
        <v>209081.5</v>
      </c>
      <c r="AG24" s="25">
        <f>IFERROR(IFERROR((H24*W24*J24/15)-AE24,""),"")</f>
        <v>221821.72833333333</v>
      </c>
      <c r="AH24" s="26">
        <f>IFERROR(AG24-AF24,0)</f>
        <v>12740.228333333333</v>
      </c>
      <c r="AI24" s="6">
        <f>IF(F24="",(G24/$F$143)*$AL$28,(F24/$F$143)*$AL$28)</f>
        <v>754.43077803203664</v>
      </c>
      <c r="AJ24" s="25">
        <f>(AH24-AI24)*70%</f>
        <v>8390.0582887109067</v>
      </c>
      <c r="AL24" s="178">
        <v>3500</v>
      </c>
      <c r="AM24" s="6" t="s">
        <v>755</v>
      </c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5"/>
      <c r="AC25" s="21"/>
      <c r="AD25" s="21"/>
      <c r="AE25" s="21"/>
      <c r="AF25" s="21"/>
      <c r="AG25" s="21"/>
      <c r="AH25" s="26">
        <f>IFERROR(AH24/F24,0)+IFERROR(AH24/G24,0)</f>
        <v>254.80456666666666</v>
      </c>
      <c r="AL25" s="178">
        <v>10000</v>
      </c>
      <c r="AM25" s="6" t="s">
        <v>748</v>
      </c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5.7434537315426949E-2</v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4">
        <f>SUM(AL19:AL27)</f>
        <v>26374.9</v>
      </c>
      <c r="AM28" s="189" t="s">
        <v>673</v>
      </c>
      <c r="AN28" s="191"/>
    </row>
    <row r="29" spans="1:40" x14ac:dyDescent="0.35">
      <c r="A29" s="20">
        <v>45202</v>
      </c>
      <c r="B29" s="21" t="s">
        <v>632</v>
      </c>
      <c r="C29" s="21" t="s">
        <v>697</v>
      </c>
      <c r="D29" s="44">
        <v>1878824</v>
      </c>
      <c r="E29" s="44" t="s">
        <v>652</v>
      </c>
      <c r="F29" s="21">
        <v>100</v>
      </c>
      <c r="G29" s="21"/>
      <c r="H29" s="22">
        <v>59822</v>
      </c>
      <c r="I29" s="33">
        <v>0.55000000000000004</v>
      </c>
      <c r="J29" s="24">
        <f>IFERROR(K29/H29,"")</f>
        <v>0.55597439069238741</v>
      </c>
      <c r="K29" s="22">
        <v>33259.5</v>
      </c>
      <c r="L29" s="21">
        <v>3</v>
      </c>
      <c r="M29" s="21">
        <v>47</v>
      </c>
      <c r="N29" s="21">
        <v>42</v>
      </c>
      <c r="O29" s="21">
        <v>7</v>
      </c>
      <c r="P29" s="21">
        <v>1</v>
      </c>
      <c r="Q29" s="21"/>
      <c r="R29" s="21"/>
      <c r="S29" s="21"/>
      <c r="T29" s="21"/>
      <c r="U29" s="25">
        <v>210</v>
      </c>
      <c r="V29" s="25">
        <f>H29*U29*I29/15</f>
        <v>460629.40000000008</v>
      </c>
      <c r="W29" s="25">
        <v>244.87</v>
      </c>
      <c r="X29" s="25">
        <f>1028336.16/200*F29</f>
        <v>514168.08</v>
      </c>
      <c r="Y29" s="25">
        <f>IF(B29="FRANCISCO CAMACHO",((F29*42)+(G29*42)),IF(B29="JOSE INACIO",((F29*60)+(G29*60)),0))</f>
        <v>4200</v>
      </c>
      <c r="Z29" s="25">
        <v>38318.49</v>
      </c>
      <c r="AA29" s="25">
        <v>0</v>
      </c>
      <c r="AB29" s="25">
        <v>2100</v>
      </c>
      <c r="AC29" s="25">
        <v>0</v>
      </c>
      <c r="AD29" s="25">
        <f>IF(F29="",G29*4.11,F29*4.11)</f>
        <v>411.00000000000006</v>
      </c>
      <c r="AE29" s="25">
        <f>2056.67/200*F29</f>
        <v>1028.335</v>
      </c>
      <c r="AF29" s="25">
        <f>V29+Y29+Z29+AA29+AB29+AC29+AD29</f>
        <v>505658.89000000007</v>
      </c>
      <c r="AG29" s="25">
        <f>IFERROR(IFERROR((H29*W29*J29/15)-AE29,""),"")</f>
        <v>541921.91600000008</v>
      </c>
      <c r="AH29" s="26">
        <f>IFERROR(AG29-AF29,0)</f>
        <v>36263.026000000013</v>
      </c>
      <c r="AI29" s="6">
        <f>IF(F29="",(G29/$F$143)*$AL$28,(F29/$F$143)*$AL$28)</f>
        <v>1508.8615560640733</v>
      </c>
      <c r="AJ29" s="25">
        <f>(AH29-AI29)*70%</f>
        <v>24327.915110755155</v>
      </c>
      <c r="AL29" s="57"/>
      <c r="AM29" s="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2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362.63026000000013</v>
      </c>
      <c r="AL30" s="57"/>
      <c r="AM30" s="118" t="s">
        <v>22</v>
      </c>
      <c r="AN30" s="12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6.6915592319392384E-2</v>
      </c>
      <c r="AL31" s="247">
        <f>AL15-AL28</f>
        <v>318885.8796517406</v>
      </c>
      <c r="AM31" s="248">
        <f>AL31*30%</f>
        <v>95665.763895522177</v>
      </c>
      <c r="AN31" s="12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3"/>
      <c r="AA32" s="21"/>
      <c r="AB32" s="21"/>
      <c r="AC32" s="21"/>
      <c r="AD32" s="21"/>
      <c r="AE32" s="21"/>
      <c r="AF32" s="21"/>
      <c r="AG32" s="21"/>
      <c r="AH32" s="24"/>
      <c r="AL32" s="57"/>
      <c r="AM32" s="249"/>
      <c r="AN32" s="246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6">
        <f>AH4+AH9+AH14+AH19+AH29+AH39+AH49+AH59+AH74+AH84</f>
        <v>258398.83265174105</v>
      </c>
      <c r="AM33" s="262" t="s">
        <v>721</v>
      </c>
      <c r="AN33" s="1"/>
    </row>
    <row r="34" spans="1:40" x14ac:dyDescent="0.35">
      <c r="A34" s="20">
        <v>45202</v>
      </c>
      <c r="B34" s="21" t="s">
        <v>632</v>
      </c>
      <c r="C34" s="21" t="s">
        <v>633</v>
      </c>
      <c r="D34" s="157">
        <v>157195</v>
      </c>
      <c r="E34" s="44" t="s">
        <v>641</v>
      </c>
      <c r="F34" s="21">
        <v>100</v>
      </c>
      <c r="G34" s="21"/>
      <c r="H34" s="22">
        <f>107640/200*F34</f>
        <v>53820.000000000007</v>
      </c>
      <c r="I34" s="33">
        <v>0.55000000000000004</v>
      </c>
      <c r="J34" s="24">
        <f>IFERROR(K34/H34,"")</f>
        <v>0.57103307320698615</v>
      </c>
      <c r="K34" s="22">
        <v>30733</v>
      </c>
      <c r="L34" s="21">
        <v>77</v>
      </c>
      <c r="M34" s="21">
        <v>19</v>
      </c>
      <c r="N34" s="21">
        <v>4</v>
      </c>
      <c r="O34" s="21"/>
      <c r="P34" s="21"/>
      <c r="Q34" s="21"/>
      <c r="R34" s="21"/>
      <c r="S34" s="21"/>
      <c r="T34" s="21"/>
      <c r="U34" s="25">
        <v>210</v>
      </c>
      <c r="V34" s="25">
        <f>H34*U34*I34/15</f>
        <v>414414.00000000012</v>
      </c>
      <c r="W34" s="25">
        <v>241.85</v>
      </c>
      <c r="X34" s="25">
        <v>495518.41</v>
      </c>
      <c r="Y34" s="25">
        <f>IF(B34="FRANCISCO CAMACHO",((F34*42)+(G34*42)),IF(B34="JOSE INACIO",((F34*60)+(G34*60)),0))</f>
        <v>4200</v>
      </c>
      <c r="Z34" s="25">
        <f>(65049.18+21816.96)/200*F34</f>
        <v>43433.07</v>
      </c>
      <c r="AA34" s="25">
        <v>0</v>
      </c>
      <c r="AB34" s="25">
        <v>2100</v>
      </c>
      <c r="AC34" s="25">
        <v>0</v>
      </c>
      <c r="AD34" s="25">
        <f>IF(F34="",G34*4.11,F34*4.11)</f>
        <v>411.00000000000006</v>
      </c>
      <c r="AE34" s="25">
        <v>991.03</v>
      </c>
      <c r="AF34" s="25">
        <f>V34+Y34+Z34+AA34+AB34+AC34+AD34</f>
        <v>464558.07000000012</v>
      </c>
      <c r="AG34" s="25">
        <f>IFERROR(IFERROR((H34*W34*J34/15)-AE34,""),"")</f>
        <v>494527.37333333329</v>
      </c>
      <c r="AH34" s="26">
        <f>IFERROR(AG34-AF34,0)</f>
        <v>29969.30333333317</v>
      </c>
      <c r="AI34" s="6">
        <f>IF(F34="",(G34/$F$143)*$AL$28,(F34/$F$143)*$AL$28)</f>
        <v>1508.8615560640733</v>
      </c>
      <c r="AJ34" s="25">
        <f>(AH34-AI34)*70%</f>
        <v>19922.309244088367</v>
      </c>
      <c r="AL34" s="6">
        <f>AH24+AH34+AH44+AH54+AH64+AH69+AH79</f>
        <v>86861.946999999578</v>
      </c>
      <c r="AM34" t="s">
        <v>722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2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299.6930333333317</v>
      </c>
      <c r="AL35" s="6"/>
      <c r="AM35" s="1"/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6.0601909923260276E-2</v>
      </c>
      <c r="AL36" s="6">
        <f>AL33-AL28</f>
        <v>232023.93265174105</v>
      </c>
      <c r="AM36" t="s">
        <v>756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3"/>
      <c r="AA37" s="21"/>
      <c r="AB37" s="21"/>
      <c r="AC37" s="21"/>
      <c r="AD37" s="21"/>
      <c r="AE37" s="21"/>
      <c r="AF37" s="21"/>
      <c r="AG37" s="21"/>
      <c r="AH37" s="24"/>
      <c r="AL37" s="6">
        <f>AL36*30%</f>
        <v>69607.179795522316</v>
      </c>
      <c r="AM37" t="s">
        <v>765</v>
      </c>
      <c r="AN37" t="s">
        <v>770</v>
      </c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  <c r="AL38" s="6">
        <f>AL34*30%</f>
        <v>26058.584099999873</v>
      </c>
      <c r="AM38" t="s">
        <v>766</v>
      </c>
      <c r="AN38" t="s">
        <v>764</v>
      </c>
    </row>
    <row r="39" spans="1:40" x14ac:dyDescent="0.35">
      <c r="A39" s="20">
        <v>45202</v>
      </c>
      <c r="B39" s="21" t="s">
        <v>632</v>
      </c>
      <c r="C39" s="21" t="s">
        <v>633</v>
      </c>
      <c r="D39" s="44">
        <v>1878824</v>
      </c>
      <c r="E39" s="44" t="s">
        <v>652</v>
      </c>
      <c r="F39" s="21">
        <v>100</v>
      </c>
      <c r="G39" s="21"/>
      <c r="H39" s="22">
        <f>107640/200*F39</f>
        <v>53820.000000000007</v>
      </c>
      <c r="I39" s="33">
        <v>0.55000000000000004</v>
      </c>
      <c r="J39" s="24">
        <f>IFERROR(K39/H39,"")</f>
        <v>0.55245261984392413</v>
      </c>
      <c r="K39" s="22">
        <v>29733</v>
      </c>
      <c r="L39" s="21">
        <v>81</v>
      </c>
      <c r="M39" s="21">
        <v>18</v>
      </c>
      <c r="N39" s="21">
        <v>1</v>
      </c>
      <c r="O39" s="21"/>
      <c r="P39" s="21"/>
      <c r="Q39" s="21"/>
      <c r="R39" s="21"/>
      <c r="S39" s="21"/>
      <c r="T39" s="21"/>
      <c r="U39" s="25">
        <v>210</v>
      </c>
      <c r="V39" s="25">
        <f>H39*U39*I39/15</f>
        <v>414414.00000000012</v>
      </c>
      <c r="W39" s="25">
        <v>244.87</v>
      </c>
      <c r="X39" s="25">
        <f>1028336.16/200*F39</f>
        <v>514168.08</v>
      </c>
      <c r="Y39" s="25">
        <f>IF(B39="FRANCISCO CAMACHO",((F39*42)+(G39*42)),IF(B39="JOSE INACIO",((F39*60)+(G39*60)),0))</f>
        <v>4200</v>
      </c>
      <c r="Z39" s="25">
        <f>(65049.18+21816.96)/200*F39</f>
        <v>43433.07</v>
      </c>
      <c r="AA39" s="25">
        <v>0</v>
      </c>
      <c r="AB39" s="25">
        <v>2100</v>
      </c>
      <c r="AC39" s="25">
        <v>0</v>
      </c>
      <c r="AD39" s="25">
        <f>IF(F39="",G39*4.11,F39*4.11)</f>
        <v>411.00000000000006</v>
      </c>
      <c r="AE39" s="25">
        <f>2056.67/200*F39</f>
        <v>1028.335</v>
      </c>
      <c r="AF39" s="25">
        <f>V39+Y39+Z39+AA39+AB39+AC39+AD39</f>
        <v>464558.07000000012</v>
      </c>
      <c r="AG39" s="25">
        <f>IFERROR(IFERROR((H39*W39*J39/15)-AE39,""),"")</f>
        <v>484352.97900000005</v>
      </c>
      <c r="AH39" s="26">
        <f>IFERROR(AG39-AF39,0)</f>
        <v>19794.908999999927</v>
      </c>
      <c r="AI39" s="6">
        <f>IF(F39="",(G39/$F$143)*$AL$28,(F39/$F$143)*$AL$28)</f>
        <v>1508.8615560640733</v>
      </c>
      <c r="AJ39" s="25">
        <f>(AH39-AI39)*70%</f>
        <v>12800.233210755097</v>
      </c>
      <c r="AN39" s="1"/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197.94908999999927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4.086876690811047E-2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45202</v>
      </c>
      <c r="B44" s="21" t="s">
        <v>743</v>
      </c>
      <c r="C44" s="21" t="s">
        <v>335</v>
      </c>
      <c r="D44" s="157">
        <v>157197</v>
      </c>
      <c r="E44" s="44" t="s">
        <v>641</v>
      </c>
      <c r="F44" s="21">
        <v>100</v>
      </c>
      <c r="G44" s="21"/>
      <c r="H44" s="22">
        <v>43660</v>
      </c>
      <c r="I44" s="33">
        <v>0.54</v>
      </c>
      <c r="J44" s="24">
        <f>IFERROR(K44/H44,"")</f>
        <v>0.53592533211177273</v>
      </c>
      <c r="K44" s="22">
        <v>23398.5</v>
      </c>
      <c r="L44" s="21">
        <v>90</v>
      </c>
      <c r="M44" s="21">
        <v>9</v>
      </c>
      <c r="N44" s="21"/>
      <c r="O44" s="21">
        <v>1</v>
      </c>
      <c r="P44" s="21"/>
      <c r="Q44" s="21"/>
      <c r="R44" s="21"/>
      <c r="S44" s="21"/>
      <c r="T44" s="21"/>
      <c r="U44" s="25">
        <v>220</v>
      </c>
      <c r="V44" s="25">
        <f>H44*U44*I44/15</f>
        <v>345787.2</v>
      </c>
      <c r="W44" s="25">
        <v>234.26</v>
      </c>
      <c r="X44" s="25">
        <v>365423.99</v>
      </c>
      <c r="Y44" s="25">
        <f>IF(B44="FRANCISCO CAMACHO",((F44*42)+(G44*42)),IF(B44="JOSE INACIO",((F44*60)+(G44*60)),0))</f>
        <v>0</v>
      </c>
      <c r="Z44" s="25">
        <v>15002.4</v>
      </c>
      <c r="AA44" s="25">
        <v>0</v>
      </c>
      <c r="AB44" s="25">
        <v>0</v>
      </c>
      <c r="AC44" s="25">
        <f>38*F44</f>
        <v>3800</v>
      </c>
      <c r="AD44" s="25">
        <f>IF(F44="",G44*4.11,F44*4.11)</f>
        <v>411.00000000000006</v>
      </c>
      <c r="AE44" s="25">
        <v>730.84</v>
      </c>
      <c r="AF44" s="25">
        <f>V44+Y44+Z44+AA44+AB44+AC44+AD44</f>
        <v>365000.60000000003</v>
      </c>
      <c r="AG44" s="25">
        <f>IFERROR(IFERROR((H44*W44*J44/15)-AE44,""),"")</f>
        <v>364691.33399999992</v>
      </c>
      <c r="AH44" s="26">
        <f>IFERROR(AG44-AF44,0)</f>
        <v>-309.26600000011967</v>
      </c>
      <c r="AI44" s="6">
        <f>IF(F44="",(G44/$F$143)*$AL$28,(F44/$F$143)*$AL$28)</f>
        <v>1508.8615560640733</v>
      </c>
      <c r="AJ44" s="25">
        <f>(AH44-AI44)*70%</f>
        <v>-1272.689289244935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-3.0926600000011968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-8.4802124746983913E-4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45203</v>
      </c>
      <c r="B49" s="21" t="s">
        <v>632</v>
      </c>
      <c r="C49" s="21" t="s">
        <v>753</v>
      </c>
      <c r="D49" s="44">
        <v>1878820</v>
      </c>
      <c r="E49" s="44" t="s">
        <v>652</v>
      </c>
      <c r="F49" s="21">
        <v>50</v>
      </c>
      <c r="G49" s="21"/>
      <c r="H49" s="22">
        <f>54548/100*50</f>
        <v>27274</v>
      </c>
      <c r="I49" s="33">
        <v>0.55000000000000004</v>
      </c>
      <c r="J49" s="24">
        <f>IFERROR(K49/H49,"")</f>
        <v>0.547591112414754</v>
      </c>
      <c r="K49" s="22">
        <v>14935</v>
      </c>
      <c r="L49" s="21"/>
      <c r="M49" s="21">
        <v>21</v>
      </c>
      <c r="N49" s="21">
        <v>20</v>
      </c>
      <c r="O49" s="21">
        <v>9</v>
      </c>
      <c r="P49" s="21"/>
      <c r="Q49" s="21"/>
      <c r="R49" s="21"/>
      <c r="S49" s="21"/>
      <c r="T49" s="21"/>
      <c r="U49" s="25">
        <v>205</v>
      </c>
      <c r="V49" s="25">
        <f>H49*U49*I49/15</f>
        <v>205009.56666666671</v>
      </c>
      <c r="W49" s="25">
        <v>245.31</v>
      </c>
      <c r="X49" s="25">
        <f>943516.61/200*F49</f>
        <v>235879.1525</v>
      </c>
      <c r="Y49" s="25">
        <f>IF(B49="FRANCISCO CAMACHO",((F49*42)+(G49*42)),IF(B49="JOSE INACIO",((F49*60)+(G49*60)),0))</f>
        <v>2100</v>
      </c>
      <c r="Z49" s="25">
        <f>46953.29/100*F49</f>
        <v>23476.645</v>
      </c>
      <c r="AA49" s="25">
        <v>0</v>
      </c>
      <c r="AB49" s="25">
        <v>1025</v>
      </c>
      <c r="AC49" s="25">
        <v>0</v>
      </c>
      <c r="AD49" s="25">
        <f>IF(F49="",G49*4.11,F49*4.11)</f>
        <v>205.50000000000003</v>
      </c>
      <c r="AE49" s="25">
        <f>1887.04/200*F49</f>
        <v>471.76</v>
      </c>
      <c r="AF49" s="25">
        <f>V49+Y49+Z49+AA49+AB49+AC49+AD49</f>
        <v>231816.7116666667</v>
      </c>
      <c r="AG49" s="25">
        <f>IFERROR(IFERROR((H49*W49*J49/15)-AE49,""),"")</f>
        <v>243775.23000000004</v>
      </c>
      <c r="AH49" s="26">
        <f>IFERROR(AG49-AF49,0)</f>
        <v>11958.518333333341</v>
      </c>
      <c r="AI49" s="6">
        <f>IF(F49="",(G49/$F$143)*$AL$28,(F49/$F$143)*$AL$28)</f>
        <v>754.43077803203664</v>
      </c>
      <c r="AJ49" s="25">
        <f>(AH49-AI49)*70%</f>
        <v>7842.861288710913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239.17036666666681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4.9055510411510385E-2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L52" s="6"/>
      <c r="AM52" s="6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45203</v>
      </c>
      <c r="B54" s="21" t="s">
        <v>632</v>
      </c>
      <c r="C54" s="21" t="s">
        <v>753</v>
      </c>
      <c r="D54" s="157">
        <v>157873</v>
      </c>
      <c r="E54" s="44" t="s">
        <v>641</v>
      </c>
      <c r="F54" s="21">
        <v>50</v>
      </c>
      <c r="G54" s="21"/>
      <c r="H54" s="22">
        <f>54548/100*50</f>
        <v>27274</v>
      </c>
      <c r="I54" s="33">
        <v>0.55000000000000004</v>
      </c>
      <c r="J54" s="24">
        <f>IFERROR(K54/H54,"")</f>
        <v>0.55719733079122979</v>
      </c>
      <c r="K54" s="22">
        <v>15197</v>
      </c>
      <c r="L54" s="21">
        <v>1</v>
      </c>
      <c r="M54" s="21">
        <v>18</v>
      </c>
      <c r="N54" s="21">
        <v>26</v>
      </c>
      <c r="O54" s="21">
        <v>5</v>
      </c>
      <c r="P54" s="21"/>
      <c r="Q54" s="21"/>
      <c r="R54" s="21"/>
      <c r="S54" s="21"/>
      <c r="T54" s="21"/>
      <c r="U54" s="25">
        <v>205</v>
      </c>
      <c r="V54" s="25">
        <f>H54*U54*I54/15</f>
        <v>205009.56666666671</v>
      </c>
      <c r="W54" s="25">
        <v>239.84</v>
      </c>
      <c r="X54" s="25">
        <v>242992.3</v>
      </c>
      <c r="Y54" s="25">
        <f>IF(B54="FRANCISCO CAMACHO",((F54*42)+(G54*42)),IF(B54="JOSE INACIO",((F54*60)+(G54*60)),0))</f>
        <v>2100</v>
      </c>
      <c r="Z54" s="25">
        <f>46953.29/100*F54</f>
        <v>23476.645</v>
      </c>
      <c r="AA54" s="25">
        <v>0</v>
      </c>
      <c r="AB54" s="25">
        <v>1025</v>
      </c>
      <c r="AC54" s="25">
        <v>0</v>
      </c>
      <c r="AD54" s="25">
        <f>IF(F54="",G54*4.11,F54*4.11)</f>
        <v>205.50000000000003</v>
      </c>
      <c r="AE54" s="25">
        <v>485.98</v>
      </c>
      <c r="AF54" s="25">
        <f>V54+Y54+Z54+AA54+AB54+AC54+AD54</f>
        <v>231816.7116666667</v>
      </c>
      <c r="AG54" s="25">
        <f>IFERROR(IFERROR((H54*W54*J54/15)-AE54,""),"")</f>
        <v>242503.91866666669</v>
      </c>
      <c r="AH54" s="26">
        <f>IFERROR(AG54-AF54,0)</f>
        <v>10687.206999999995</v>
      </c>
      <c r="AI54" s="6">
        <f>IF(F54="",(G54/$F$143)*$AL$28,(F54/$F$143)*$AL$28)</f>
        <v>754.43077803203664</v>
      </c>
      <c r="AJ54" s="25">
        <f>(AH54-AI54)*70%</f>
        <v>6952.9433553775707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213.7441399999999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4.4070244550110035E-2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45203</v>
      </c>
      <c r="B59" s="21" t="s">
        <v>632</v>
      </c>
      <c r="C59" s="21" t="s">
        <v>633</v>
      </c>
      <c r="D59" s="44">
        <v>1878820</v>
      </c>
      <c r="E59" s="44" t="s">
        <v>652</v>
      </c>
      <c r="F59" s="21">
        <v>150</v>
      </c>
      <c r="G59" s="21"/>
      <c r="H59" s="22">
        <f>104900/200*F59</f>
        <v>78675</v>
      </c>
      <c r="I59" s="33">
        <v>0.55000000000000004</v>
      </c>
      <c r="J59" s="24">
        <f>IFERROR(K59/H59,"")</f>
        <v>0.54346997140133457</v>
      </c>
      <c r="K59" s="22">
        <v>42757.5</v>
      </c>
      <c r="L59" s="21">
        <v>54</v>
      </c>
      <c r="M59" s="21">
        <v>85</v>
      </c>
      <c r="N59" s="21">
        <v>10</v>
      </c>
      <c r="O59" s="21"/>
      <c r="P59" s="21">
        <v>1</v>
      </c>
      <c r="Q59" s="21"/>
      <c r="R59" s="21"/>
      <c r="S59" s="21"/>
      <c r="T59" s="21"/>
      <c r="U59" s="25">
        <v>210</v>
      </c>
      <c r="V59" s="25">
        <f>H59*U59*I59/15</f>
        <v>605797.5</v>
      </c>
      <c r="W59" s="25">
        <v>245.31</v>
      </c>
      <c r="X59" s="25">
        <f>943516.61/200*F59</f>
        <v>707637.45750000002</v>
      </c>
      <c r="Y59" s="25">
        <f>IF(B59="FRANCISCO CAMACHO",((F59*42)+(G59*42)),IF(B59="JOSE INACIO",((F59*60)+(G59*60)),0))</f>
        <v>6300</v>
      </c>
      <c r="Z59" s="25">
        <v>64689</v>
      </c>
      <c r="AA59" s="25">
        <v>0</v>
      </c>
      <c r="AB59" s="25">
        <v>3150</v>
      </c>
      <c r="AC59" s="25">
        <v>0</v>
      </c>
      <c r="AD59" s="25">
        <f>IF(F59="",G59*4.11,F59*4.11)</f>
        <v>616.5</v>
      </c>
      <c r="AE59" s="25">
        <f>1887.04/200*F59</f>
        <v>1415.28</v>
      </c>
      <c r="AF59" s="25">
        <f>V59+Y59+Z59+AA59+AB59+AC59+AD59</f>
        <v>680553</v>
      </c>
      <c r="AG59" s="25">
        <f>IFERROR(IFERROR((H59*W59*J59/15)-AE59,""),"")</f>
        <v>697840.87499999988</v>
      </c>
      <c r="AH59" s="26">
        <f>IFERROR(AG59-AF59,0)</f>
        <v>17287.874999999884</v>
      </c>
      <c r="AI59" s="6">
        <f>IF(F59="",(G59/$F$143)*$AL$28,(F59/$F$143)*$AL$28)</f>
        <v>2263.2923340961102</v>
      </c>
      <c r="AJ59" s="25">
        <f>(AH59-AI59)*70%</f>
        <v>10517.207866132641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115.25249999999923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2.4773376881943018E-2</v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>
        <v>45203</v>
      </c>
      <c r="B64" s="21" t="s">
        <v>632</v>
      </c>
      <c r="C64" s="21" t="s">
        <v>633</v>
      </c>
      <c r="D64" s="157">
        <v>157872</v>
      </c>
      <c r="E64" s="44" t="s">
        <v>641</v>
      </c>
      <c r="F64" s="21">
        <v>50</v>
      </c>
      <c r="G64" s="21"/>
      <c r="H64" s="22">
        <f>104900/200*F64</f>
        <v>26225</v>
      </c>
      <c r="I64" s="33">
        <v>0.55000000000000004</v>
      </c>
      <c r="J64" s="24">
        <f>IFERROR(K64/H64,"")</f>
        <v>0.56135367016205906</v>
      </c>
      <c r="K64" s="22">
        <v>14721.5</v>
      </c>
      <c r="L64" s="21">
        <v>23</v>
      </c>
      <c r="M64" s="21">
        <v>24</v>
      </c>
      <c r="N64" s="21">
        <v>3</v>
      </c>
      <c r="O64" s="21"/>
      <c r="P64" s="21"/>
      <c r="Q64" s="21"/>
      <c r="R64" s="21"/>
      <c r="S64" s="21"/>
      <c r="T64" s="21"/>
      <c r="U64" s="25">
        <v>210</v>
      </c>
      <c r="V64" s="25">
        <f>H64*U64*I64/15</f>
        <v>201932.50000000003</v>
      </c>
      <c r="W64" s="25">
        <v>241.39</v>
      </c>
      <c r="X64" s="25">
        <v>236910.32</v>
      </c>
      <c r="Y64" s="25">
        <f>IF(B64="FRANCISCO CAMACHO",((F64*42)+(G64*42)),IF(B64="JOSE INACIO",((F64*60)+(G64*60)),0))</f>
        <v>2100</v>
      </c>
      <c r="Z64" s="25">
        <v>21782.6</v>
      </c>
      <c r="AA64" s="25">
        <v>0</v>
      </c>
      <c r="AB64" s="25">
        <v>1050</v>
      </c>
      <c r="AC64" s="25">
        <v>0</v>
      </c>
      <c r="AD64" s="25">
        <f>IF(F64="",G64*4.11,F64*4.11)</f>
        <v>205.50000000000003</v>
      </c>
      <c r="AE64" s="25">
        <v>473.82</v>
      </c>
      <c r="AF64" s="25">
        <f>V64+Y64+Z64+AA64+AB64+AC64+AD64</f>
        <v>227070.60000000003</v>
      </c>
      <c r="AG64" s="25">
        <f>IFERROR(IFERROR((H64*W64*J64/15)-AE64,""),"")</f>
        <v>236434.3723333333</v>
      </c>
      <c r="AH64" s="26">
        <f>IFERROR(AG64-AF64,0)</f>
        <v>9363.7723333332688</v>
      </c>
      <c r="AI64" s="6">
        <f>IF(F64="",(G64/$F$143)*$AL$28,(F64/$F$143)*$AL$28)</f>
        <v>754.43077803203664</v>
      </c>
      <c r="AJ64" s="25">
        <f>(AH64-AI64)*70%</f>
        <v>6026.5390887108624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187.27544666666537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3.9604107646970636E-2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45205</v>
      </c>
      <c r="B69" s="21" t="s">
        <v>622</v>
      </c>
      <c r="C69" s="21" t="s">
        <v>623</v>
      </c>
      <c r="D69" s="157">
        <v>157693</v>
      </c>
      <c r="E69" s="44" t="s">
        <v>641</v>
      </c>
      <c r="F69" s="21">
        <v>100</v>
      </c>
      <c r="G69" s="21"/>
      <c r="H69" s="22">
        <v>57580</v>
      </c>
      <c r="I69" s="33">
        <v>0.55000000000000004</v>
      </c>
      <c r="J69" s="24">
        <f>IFERROR(K69/H69,"")</f>
        <v>0.53926710663424804</v>
      </c>
      <c r="K69" s="22">
        <v>31051</v>
      </c>
      <c r="L69" s="21">
        <v>79</v>
      </c>
      <c r="M69" s="21">
        <v>19</v>
      </c>
      <c r="N69" s="21">
        <v>2</v>
      </c>
      <c r="O69" s="21"/>
      <c r="P69" s="21"/>
      <c r="Q69" s="21"/>
      <c r="R69" s="21"/>
      <c r="S69" s="21"/>
      <c r="T69" s="21"/>
      <c r="U69" s="25">
        <v>215</v>
      </c>
      <c r="V69" s="25">
        <f>H69*U69*I69/15</f>
        <v>453922.33333333337</v>
      </c>
      <c r="W69" s="25">
        <v>242.69</v>
      </c>
      <c r="X69" s="25">
        <v>502384.48</v>
      </c>
      <c r="Y69" s="25">
        <f>IF(B69="FRANCISCO CAMACHO",((F69*42)+(G69*42)),IF(B69="JOSE INACIO",((F69*60)+(G69*60)),0))</f>
        <v>0</v>
      </c>
      <c r="Z69" s="25">
        <v>37884.800000000003</v>
      </c>
      <c r="AA69" s="25">
        <f>300+480</f>
        <v>780</v>
      </c>
      <c r="AB69" s="25">
        <v>2150</v>
      </c>
      <c r="AC69" s="25">
        <v>0</v>
      </c>
      <c r="AD69" s="25">
        <f>IF(F69="",G69*4.11,F69*4.11)</f>
        <v>411.00000000000006</v>
      </c>
      <c r="AE69" s="25">
        <v>1004.76</v>
      </c>
      <c r="AF69" s="25">
        <f>V69+Y69+Z69+AA69+AB69+AC69+AD69</f>
        <v>495148.13333333336</v>
      </c>
      <c r="AG69" s="25">
        <f>IFERROR(IFERROR((H69*W69*J69/15)-AE69,""),"")</f>
        <v>501379.71933333337</v>
      </c>
      <c r="AH69" s="26">
        <f>IFERROR(AG69-AF69,0)</f>
        <v>6231.5860000000102</v>
      </c>
      <c r="AI69" s="6">
        <f>IF(F69="",(G69/$F$143)*$AL$28,(F69/$F$143)*$AL$28)</f>
        <v>1508.8615560640733</v>
      </c>
      <c r="AJ69" s="25">
        <f>(AH69-AI69)*70%</f>
        <v>3305.9071107551554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62.3158600000001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1.2428875280966542E-2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45205</v>
      </c>
      <c r="B74" s="21" t="s">
        <v>632</v>
      </c>
      <c r="C74" s="21" t="s">
        <v>633</v>
      </c>
      <c r="D74" s="44">
        <v>1882994</v>
      </c>
      <c r="E74" s="44" t="s">
        <v>652</v>
      </c>
      <c r="F74" s="21">
        <v>200</v>
      </c>
      <c r="G74" s="21"/>
      <c r="H74" s="22">
        <v>108860</v>
      </c>
      <c r="I74" s="33">
        <v>0.55000000000000004</v>
      </c>
      <c r="J74" s="24">
        <f>IFERROR(K74/H74,"")</f>
        <v>0.54622910159838323</v>
      </c>
      <c r="K74" s="22">
        <v>59462.5</v>
      </c>
      <c r="L74" s="21">
        <v>67</v>
      </c>
      <c r="M74" s="21">
        <v>85</v>
      </c>
      <c r="N74" s="21">
        <v>40</v>
      </c>
      <c r="O74" s="21">
        <v>8</v>
      </c>
      <c r="P74" s="21"/>
      <c r="Q74" s="21"/>
      <c r="R74" s="21"/>
      <c r="S74" s="21"/>
      <c r="T74" s="21"/>
      <c r="U74" s="25">
        <v>210</v>
      </c>
      <c r="V74" s="25">
        <f>H74*U74*I74/15</f>
        <v>838222.00000000012</v>
      </c>
      <c r="W74" s="25">
        <v>245.6</v>
      </c>
      <c r="X74" s="25">
        <v>973586.06</v>
      </c>
      <c r="Y74" s="25">
        <f>IF(B74="FRANCISCO CAMACHO",((F74*42)+(G74*42)),IF(B74="JOSE INACIO",((F74*60)+(G74*60)),0))</f>
        <v>8400</v>
      </c>
      <c r="Z74" s="25">
        <f>68505+22586.96</f>
        <v>91091.959999999992</v>
      </c>
      <c r="AA74" s="25">
        <v>0</v>
      </c>
      <c r="AB74" s="25">
        <v>4200</v>
      </c>
      <c r="AC74" s="25">
        <v>0</v>
      </c>
      <c r="AD74" s="25">
        <f>IF(F74="",G74*4.11,F74*4.11)</f>
        <v>822.00000000000011</v>
      </c>
      <c r="AE74" s="25">
        <v>1947.17</v>
      </c>
      <c r="AF74" s="25">
        <f>V74+Y74+Z74+AA74+AB74+AC74+AD74</f>
        <v>942735.96000000008</v>
      </c>
      <c r="AG74" s="25">
        <f>IFERROR(IFERROR((H74*W74*J74/15)-AE74,""),"")</f>
        <v>971652.16333333333</v>
      </c>
      <c r="AH74" s="26">
        <f>IFERROR(AG74-AF74,0)</f>
        <v>28916.203333333251</v>
      </c>
      <c r="AI74" s="6">
        <f>IF(F74="",(G74/$F$143)*$AL$28,(F74/$F$143)*$AL$28)</f>
        <v>3017.7231121281466</v>
      </c>
      <c r="AJ74" s="25">
        <f>(AH74-AI74)*70%</f>
        <v>18128.93615484357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144.58101666666624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2.9759830137292977E-2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>
        <v>45205</v>
      </c>
      <c r="B79" s="21" t="s">
        <v>632</v>
      </c>
      <c r="C79" s="21" t="s">
        <v>633</v>
      </c>
      <c r="D79" s="157">
        <v>157694</v>
      </c>
      <c r="E79" s="44" t="s">
        <v>641</v>
      </c>
      <c r="F79" s="21">
        <v>100</v>
      </c>
      <c r="G79" s="21"/>
      <c r="H79" s="22">
        <v>55640</v>
      </c>
      <c r="I79" s="33">
        <v>0.55000000000000004</v>
      </c>
      <c r="J79" s="24">
        <f>IFERROR(K79/H79,"")</f>
        <v>0.55446621135873475</v>
      </c>
      <c r="K79" s="22">
        <v>30850.5</v>
      </c>
      <c r="L79" s="21">
        <v>41</v>
      </c>
      <c r="M79" s="21">
        <v>36</v>
      </c>
      <c r="N79" s="21">
        <v>22</v>
      </c>
      <c r="O79" s="21">
        <v>1</v>
      </c>
      <c r="P79" s="21"/>
      <c r="Q79" s="21"/>
      <c r="R79" s="21"/>
      <c r="S79" s="21"/>
      <c r="T79" s="21"/>
      <c r="U79" s="25">
        <v>210</v>
      </c>
      <c r="V79" s="25">
        <f>H79*U79*I79/15</f>
        <v>428428.00000000006</v>
      </c>
      <c r="W79" s="25">
        <v>241.78</v>
      </c>
      <c r="X79" s="25">
        <v>497267.55</v>
      </c>
      <c r="Y79" s="25">
        <f>IF(B79="FRANCISCO CAMACHO",((F79*42)+(G79*42)),IF(B79="JOSE INACIO",((F79*60)+(G79*60)),0))</f>
        <v>4200</v>
      </c>
      <c r="Z79" s="25">
        <v>42956.28</v>
      </c>
      <c r="AA79" s="25">
        <v>0</v>
      </c>
      <c r="AB79" s="25">
        <v>2100</v>
      </c>
      <c r="AC79" s="25">
        <v>0</v>
      </c>
      <c r="AD79" s="25">
        <f>IF(F79="",G79*4.11,F79*4.11)</f>
        <v>411.00000000000006</v>
      </c>
      <c r="AE79" s="25">
        <v>994.53</v>
      </c>
      <c r="AF79" s="25">
        <f>V79+Y79+Z79+AA79+AB79+AC79+AD79</f>
        <v>478095.28</v>
      </c>
      <c r="AG79" s="25">
        <f>IFERROR(IFERROR((H79*W79*J79/15)-AE79,""),"")</f>
        <v>496274.39599999995</v>
      </c>
      <c r="AH79" s="26">
        <f>IFERROR(AG79-AF79,0)</f>
        <v>18179.115999999922</v>
      </c>
      <c r="AI79" s="6">
        <f>IF(F79="",(G79/$F$143)*$AL$28,(F79/$F$143)*$AL$28)</f>
        <v>1508.8615560640733</v>
      </c>
      <c r="AJ79" s="25">
        <f>(AH79-AI79)*70%</f>
        <v>11669.178110755094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181.79115999999922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>
        <f>IFERROR(AH79/AG79,"")</f>
        <v>3.6631178530515854E-2</v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>
        <v>45206</v>
      </c>
      <c r="B84" s="21" t="s">
        <v>632</v>
      </c>
      <c r="C84" s="21" t="s">
        <v>633</v>
      </c>
      <c r="D84" s="44">
        <v>1882992</v>
      </c>
      <c r="E84" s="44" t="s">
        <v>652</v>
      </c>
      <c r="F84" s="117">
        <v>198</v>
      </c>
      <c r="G84" s="21"/>
      <c r="H84" s="22">
        <f>106866/200*F84</f>
        <v>105797.34000000001</v>
      </c>
      <c r="I84" s="33">
        <v>0.55000000000000004</v>
      </c>
      <c r="J84" s="24">
        <f>IFERROR(K84/H84,"")</f>
        <v>0.54571315309061641</v>
      </c>
      <c r="K84" s="22">
        <v>57735</v>
      </c>
      <c r="L84" s="21">
        <v>129</v>
      </c>
      <c r="M84" s="21">
        <v>66</v>
      </c>
      <c r="N84" s="21">
        <v>3</v>
      </c>
      <c r="O84" s="21"/>
      <c r="P84" s="21"/>
      <c r="Q84" s="21"/>
      <c r="R84" s="21"/>
      <c r="S84" s="21"/>
      <c r="T84" s="21"/>
      <c r="U84" s="25">
        <v>210</v>
      </c>
      <c r="V84" s="25">
        <f>H84*U84*I84/15</f>
        <v>814639.51800000004</v>
      </c>
      <c r="W84" s="25">
        <v>247.47</v>
      </c>
      <c r="X84" s="25">
        <v>952512.03</v>
      </c>
      <c r="Y84" s="25">
        <f>IF(B84="FRANCISCO CAMACHO",((F84*42)+(G84*42)),IF(B84="JOSE INACIO",((F84*60)+(G84*60)),0))</f>
        <v>8316</v>
      </c>
      <c r="Z84" s="25">
        <f>68009.78+22592.8</f>
        <v>90602.58</v>
      </c>
      <c r="AA84" s="25">
        <v>0</v>
      </c>
      <c r="AB84" s="25">
        <v>4158</v>
      </c>
      <c r="AC84" s="25">
        <v>0</v>
      </c>
      <c r="AD84" s="25">
        <f>IF(F84="",G84*4.11,F84*4.11)</f>
        <v>813.78000000000009</v>
      </c>
      <c r="AE84" s="25">
        <v>1905.02</v>
      </c>
      <c r="AF84" s="25">
        <f>V84+Y84+Z84+AA84+AB84+AC84+AD84</f>
        <v>918529.87800000003</v>
      </c>
      <c r="AG84" s="25">
        <f>IFERROR(IFERROR((H84*W84*J84/15)-AE84,""),"")</f>
        <v>950607.00999999989</v>
      </c>
      <c r="AH84" s="26">
        <f>IFERROR(AG84-AF84,0)</f>
        <v>32077.131999999867</v>
      </c>
      <c r="AI84" s="6">
        <f>IF(F84="",(G84/$F$143)*$AL$28,(F84/$F$143)*$AL$28)</f>
        <v>2987.5458810068649</v>
      </c>
      <c r="AJ84" s="25">
        <f>(AH84-AI84)*70%</f>
        <v>20362.710283295099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162.0057171717165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>
        <f>IFERROR(AH84/AG84,"")</f>
        <v>3.3743841211522171E-2</v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2"/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>
        <v>0</v>
      </c>
      <c r="Y89" s="25">
        <f>IF(B89="FRANCISCO CAMACHO",((F89*42)+(G89*42)),IF(B89="JOSE INACIO",((F89*60)+(G89*60)),0))</f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6">
        <f>IF(F89="",(G89/$F$143)*$AL$28,(F89/$F$143)*$AL$28)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2"/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f>IF(B94="FRANCISCO CAMACHO",((F94*42)+(G94*42)),IF(B94="JOSE INACIO",((F94*60)+(G94*60)),0))</f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6">
        <f>IF(F94="",(G94/$F$143)*$AL$28,(F94/$F$143)*$AL$28)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2"/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IF(B99="FRANCISCO CAMACHO",((F99*42)+(G99*42)),IF(B99="JOSE INACIO",((F99*60)+(G99*60)),0))</f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6">
        <f>IF(F99="",(G99/$F$143)*$AL$28,(F99/$F$143)*$AL$28)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2"/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IF(B104="FRANCISCO CAMACHO",((F104*42)+(G104*42)),IF(B104="JOSE INACIO",((F104*60)+(G104*60)),0))</f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6">
        <f>IF(F104="",(G104/$F$143)*$AL$28,(F104/$F$143)*$AL$28)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2"/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>
        <v>0</v>
      </c>
      <c r="Y109" s="25">
        <f>IF(B109="FRANCISCO CAMACHO",((F109*42)+(G109*42)),IF(B109="JOSE INACIO",((F109*60)+(G109*60)),0))</f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6">
        <f>IF(F109="",(G109/$F$143)*$AL$28,(F109/$F$143)*$AL$28)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22"/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>
        <v>0</v>
      </c>
      <c r="X114" s="25">
        <v>0</v>
      </c>
      <c r="Y114" s="25">
        <f>IF(B114="FRANCISCO CAMACHO",((F114*42)+(G114*42)),IF(B114="JOSE INACIO",((F114*60)+(G114*60)),0))</f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f>IF(F114="",G114*4.11,F114*4.11)</f>
        <v>0</v>
      </c>
      <c r="AE114" s="25">
        <v>0</v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6">
        <f>IF(F114="",(G114/$F$143)*$AL$28,(F114/$F$143)*$AL$28)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47"/>
      <c r="AJ117" s="47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B119" s="21"/>
      <c r="C119" s="21"/>
      <c r="D119" s="44"/>
      <c r="E119" s="44"/>
      <c r="F119" s="21"/>
      <c r="G119" s="21"/>
      <c r="H119" s="22"/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>
        <v>0</v>
      </c>
      <c r="X119" s="25">
        <v>0</v>
      </c>
      <c r="Y119" s="25">
        <f>IF(B119="FRANCISCO CAMACHO",((F119*42)+(G119*42)),IF(B119="JOSE INACIO",((F119*60)+(G119*60)),0))</f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f>IF(F119="",G119*4.11,F119*4.11)</f>
        <v>0</v>
      </c>
      <c r="AE119" s="25">
        <v>0</v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6">
        <f>IF(F119="",(G119/$F$143)*$AL$28,(F119/$F$143)*$AL$28)</f>
        <v>0</v>
      </c>
      <c r="AJ119" s="25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x14ac:dyDescent="0.35">
      <c r="A124" s="20"/>
      <c r="B124" s="21"/>
      <c r="C124" s="21"/>
      <c r="D124" s="44"/>
      <c r="E124" s="44"/>
      <c r="F124" s="21"/>
      <c r="G124" s="21"/>
      <c r="H124" s="22"/>
      <c r="I124" s="33">
        <v>0</v>
      </c>
      <c r="J124" s="24" t="str">
        <f>IFERROR(K124/H124,"")</f>
        <v/>
      </c>
      <c r="K124" s="22">
        <v>0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>
        <v>0</v>
      </c>
      <c r="X124" s="25">
        <v>0</v>
      </c>
      <c r="Y124" s="25">
        <f>IF(B124="FRANCISCO CAMACHO",((F124*42)+(G124*42)),IF(B124="JOSE INACIO",((F124*60)+(G124*60)),0))</f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f>IF(F124="",G124*4.11,F124*4.11)</f>
        <v>0</v>
      </c>
      <c r="AE124" s="25">
        <v>0</v>
      </c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6">
        <f>IF(F124="",(G124/$F$143)*$AL$28,(F124/$F$143)*$AL$28)</f>
        <v>0</v>
      </c>
      <c r="AJ124" s="25">
        <f>(AH124-AI124)*70%</f>
        <v>0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</row>
    <row r="128" spans="1:36" x14ac:dyDescent="0.35">
      <c r="A128" s="14" t="s">
        <v>1</v>
      </c>
      <c r="B128" s="14" t="s">
        <v>2</v>
      </c>
      <c r="C128" s="14" t="s">
        <v>110</v>
      </c>
      <c r="D128" s="14" t="s">
        <v>66</v>
      </c>
      <c r="E128" s="14" t="s">
        <v>638</v>
      </c>
      <c r="F128" s="14" t="s">
        <v>137</v>
      </c>
      <c r="G128" s="14" t="s">
        <v>138</v>
      </c>
      <c r="H128" s="14" t="s">
        <v>4</v>
      </c>
      <c r="I128" s="14" t="s">
        <v>5</v>
      </c>
      <c r="J128" s="14" t="s">
        <v>6</v>
      </c>
      <c r="K128" s="14" t="s">
        <v>7</v>
      </c>
      <c r="L128" s="14" t="s">
        <v>279</v>
      </c>
      <c r="M128" s="14" t="s">
        <v>280</v>
      </c>
      <c r="N128" s="14" t="s">
        <v>281</v>
      </c>
      <c r="O128" s="14" t="s">
        <v>282</v>
      </c>
      <c r="P128" s="14" t="s">
        <v>283</v>
      </c>
      <c r="Q128" s="14" t="s">
        <v>284</v>
      </c>
      <c r="R128" s="14" t="s">
        <v>904</v>
      </c>
      <c r="S128" s="14" t="s">
        <v>285</v>
      </c>
      <c r="T128" s="14" t="s">
        <v>289</v>
      </c>
      <c r="U128" s="14" t="s">
        <v>8</v>
      </c>
      <c r="V128" s="14" t="s">
        <v>9</v>
      </c>
      <c r="W128" s="14" t="s">
        <v>10</v>
      </c>
      <c r="X128" s="14" t="s">
        <v>100</v>
      </c>
      <c r="Y128" s="14" t="s">
        <v>106</v>
      </c>
      <c r="Z128" s="14" t="s">
        <v>12</v>
      </c>
      <c r="AA128" s="14" t="s">
        <v>258</v>
      </c>
      <c r="AB128" s="14" t="s">
        <v>13</v>
      </c>
      <c r="AC128" s="14" t="s">
        <v>74</v>
      </c>
      <c r="AD128" s="14" t="s">
        <v>21</v>
      </c>
      <c r="AE128" s="14" t="s">
        <v>14</v>
      </c>
      <c r="AF128" s="14" t="s">
        <v>15</v>
      </c>
      <c r="AG128" s="14" t="s">
        <v>16</v>
      </c>
      <c r="AH128" s="15" t="s">
        <v>17</v>
      </c>
      <c r="AI128" s="14" t="s">
        <v>679</v>
      </c>
      <c r="AJ128" s="14" t="s">
        <v>678</v>
      </c>
    </row>
    <row r="129" spans="1:36" x14ac:dyDescent="0.35">
      <c r="A129" s="20"/>
      <c r="B129" s="21"/>
      <c r="C129" s="21"/>
      <c r="D129" s="44"/>
      <c r="E129" s="44"/>
      <c r="F129" s="21"/>
      <c r="G129" s="21"/>
      <c r="H129" s="22"/>
      <c r="I129" s="33">
        <v>0</v>
      </c>
      <c r="J129" s="24" t="str">
        <f>IFERROR(K129/H129,"")</f>
        <v/>
      </c>
      <c r="K129" s="22">
        <v>0</v>
      </c>
      <c r="L129" s="21"/>
      <c r="M129" s="21"/>
      <c r="N129" s="21"/>
      <c r="O129" s="21"/>
      <c r="P129" s="21"/>
      <c r="Q129" s="21"/>
      <c r="R129" s="21"/>
      <c r="S129" s="21"/>
      <c r="T129" s="21"/>
      <c r="U129" s="25">
        <v>0</v>
      </c>
      <c r="V129" s="25">
        <f>H129*U129*I129/15</f>
        <v>0</v>
      </c>
      <c r="W129" s="25">
        <v>0</v>
      </c>
      <c r="X129" s="25">
        <v>0</v>
      </c>
      <c r="Y129" s="25">
        <f>IF(B129="FRANCISCO CAMACHO",((F129*42)+(G129*42)),IF(B129="JOSE INACIO",((F129*60)+(G129*60)),0))</f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f>IF(F129="",G129*4.11,F129*4.11)</f>
        <v>0</v>
      </c>
      <c r="AE129" s="25">
        <v>0</v>
      </c>
      <c r="AF129" s="25">
        <f>V129+Y129+Z129+AA129+AB129+AC129+AD129</f>
        <v>0</v>
      </c>
      <c r="AG129" s="25" t="str">
        <f>IFERROR(IFERROR((H129*W129*J129/15)-AE129,""),"")</f>
        <v/>
      </c>
      <c r="AH129" s="26">
        <f>IFERROR(AG129-AF129,0)</f>
        <v>0</v>
      </c>
      <c r="AI129" s="6">
        <f>IF(F129="",(G129/$F$143)*$AL$28,(F129/$F$143)*$AL$28)</f>
        <v>0</v>
      </c>
      <c r="AJ129" s="25">
        <f>(AH129-AI129)*70%</f>
        <v>0</v>
      </c>
    </row>
    <row r="130" spans="1:36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3"/>
      <c r="AA130" s="21"/>
      <c r="AB130" s="21"/>
      <c r="AC130" s="21"/>
      <c r="AD130" s="21"/>
      <c r="AE130" s="21"/>
      <c r="AF130" s="21"/>
      <c r="AG130" s="21"/>
      <c r="AH130" s="26">
        <f>IFERROR(AH129/F129,0)+IFERROR(AH129/G129,0)</f>
        <v>0</v>
      </c>
    </row>
    <row r="131" spans="1:36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7" t="str">
        <f>IFERROR(AH129/AG129,"")</f>
        <v/>
      </c>
    </row>
    <row r="132" spans="1:36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</row>
    <row r="133" spans="1:36" x14ac:dyDescent="0.35">
      <c r="A133" s="14" t="s">
        <v>1</v>
      </c>
      <c r="B133" s="14" t="s">
        <v>2</v>
      </c>
      <c r="C133" s="14" t="s">
        <v>110</v>
      </c>
      <c r="D133" s="14" t="s">
        <v>66</v>
      </c>
      <c r="E133" s="14" t="s">
        <v>638</v>
      </c>
      <c r="F133" s="14" t="s">
        <v>137</v>
      </c>
      <c r="G133" s="14" t="s">
        <v>138</v>
      </c>
      <c r="H133" s="14" t="s">
        <v>4</v>
      </c>
      <c r="I133" s="14" t="s">
        <v>5</v>
      </c>
      <c r="J133" s="14" t="s">
        <v>6</v>
      </c>
      <c r="K133" s="14" t="s">
        <v>7</v>
      </c>
      <c r="L133" s="14" t="s">
        <v>279</v>
      </c>
      <c r="M133" s="14" t="s">
        <v>280</v>
      </c>
      <c r="N133" s="14" t="s">
        <v>281</v>
      </c>
      <c r="O133" s="14" t="s">
        <v>282</v>
      </c>
      <c r="P133" s="14" t="s">
        <v>283</v>
      </c>
      <c r="Q133" s="14" t="s">
        <v>284</v>
      </c>
      <c r="R133" s="14" t="s">
        <v>904</v>
      </c>
      <c r="S133" s="14" t="s">
        <v>285</v>
      </c>
      <c r="T133" s="14" t="s">
        <v>289</v>
      </c>
      <c r="U133" s="14" t="s">
        <v>8</v>
      </c>
      <c r="V133" s="14" t="s">
        <v>9</v>
      </c>
      <c r="W133" s="14" t="s">
        <v>10</v>
      </c>
      <c r="X133" s="14" t="s">
        <v>100</v>
      </c>
      <c r="Y133" s="14" t="s">
        <v>106</v>
      </c>
      <c r="Z133" s="14" t="s">
        <v>12</v>
      </c>
      <c r="AA133" s="14" t="s">
        <v>258</v>
      </c>
      <c r="AB133" s="14" t="s">
        <v>13</v>
      </c>
      <c r="AC133" s="14" t="s">
        <v>74</v>
      </c>
      <c r="AD133" s="14" t="s">
        <v>21</v>
      </c>
      <c r="AE133" s="14" t="s">
        <v>14</v>
      </c>
      <c r="AF133" s="14" t="s">
        <v>15</v>
      </c>
      <c r="AG133" s="14" t="s">
        <v>16</v>
      </c>
      <c r="AH133" s="15" t="s">
        <v>17</v>
      </c>
      <c r="AI133" s="14" t="s">
        <v>679</v>
      </c>
      <c r="AJ133" s="14" t="s">
        <v>678</v>
      </c>
    </row>
    <row r="134" spans="1:36" x14ac:dyDescent="0.35">
      <c r="A134" s="20"/>
      <c r="B134" s="21"/>
      <c r="C134" s="21"/>
      <c r="D134" s="44"/>
      <c r="E134" s="44"/>
      <c r="F134" s="21"/>
      <c r="G134" s="21"/>
      <c r="H134" s="22"/>
      <c r="I134" s="33">
        <v>0</v>
      </c>
      <c r="J134" s="24" t="str">
        <f>IFERROR(K134/H134,"")</f>
        <v/>
      </c>
      <c r="K134" s="22">
        <v>0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5">
        <v>0</v>
      </c>
      <c r="V134" s="25">
        <f>H134*U134*I134/15</f>
        <v>0</v>
      </c>
      <c r="W134" s="25">
        <v>0</v>
      </c>
      <c r="X134" s="25">
        <v>0</v>
      </c>
      <c r="Y134" s="25">
        <f>IF(B134="FRANCISCO CAMACHO",((F134*42)+(G134*42)),IF(B134="JOSE INACIO",((F134*60)+(G134*60)),0))</f>
        <v>0</v>
      </c>
      <c r="Z134" s="25">
        <v>0</v>
      </c>
      <c r="AA134" s="25">
        <v>0</v>
      </c>
      <c r="AB134" s="25">
        <v>0</v>
      </c>
      <c r="AC134" s="25">
        <v>0</v>
      </c>
      <c r="AD134" s="25">
        <f>IF(F134="",G134*4.11,F134*4.11)</f>
        <v>0</v>
      </c>
      <c r="AE134" s="25">
        <v>0</v>
      </c>
      <c r="AF134" s="25">
        <f>V134+Y134+Z134+AA134+AB134+AC134+AD134</f>
        <v>0</v>
      </c>
      <c r="AG134" s="25" t="str">
        <f>IFERROR(IFERROR((H134*W134*J134/15)-AE134,""),"")</f>
        <v/>
      </c>
      <c r="AH134" s="26">
        <f>IFERROR(AG134-AF134,0)</f>
        <v>0</v>
      </c>
      <c r="AI134" s="6">
        <f>IF(F134="",(G134/$F$143)*$AL$28,(F134/$F$143)*$AL$28)</f>
        <v>0</v>
      </c>
      <c r="AJ134" s="25">
        <f>(AH134-AI134)*70%</f>
        <v>0</v>
      </c>
    </row>
    <row r="135" spans="1:36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3"/>
      <c r="AA135" s="21"/>
      <c r="AB135" s="21"/>
      <c r="AC135" s="21"/>
      <c r="AD135" s="21"/>
      <c r="AE135" s="21"/>
      <c r="AF135" s="21"/>
      <c r="AG135" s="21"/>
      <c r="AH135" s="26">
        <f>IFERROR(AH134/F134,0)+IFERROR(AH134/G134,0)</f>
        <v>0</v>
      </c>
    </row>
    <row r="136" spans="1:36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7" t="str">
        <f>IFERROR(AH134/AG134,"")</f>
        <v/>
      </c>
    </row>
    <row r="137" spans="1:36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47"/>
    </row>
    <row r="138" spans="1:36" x14ac:dyDescent="0.35">
      <c r="A138" s="14" t="s">
        <v>1</v>
      </c>
      <c r="B138" s="14" t="s">
        <v>2</v>
      </c>
      <c r="C138" s="14" t="s">
        <v>110</v>
      </c>
      <c r="D138" s="14" t="s">
        <v>66</v>
      </c>
      <c r="E138" s="14" t="s">
        <v>638</v>
      </c>
      <c r="F138" s="14" t="s">
        <v>137</v>
      </c>
      <c r="G138" s="14" t="s">
        <v>138</v>
      </c>
      <c r="H138" s="14" t="s">
        <v>4</v>
      </c>
      <c r="I138" s="14" t="s">
        <v>5</v>
      </c>
      <c r="J138" s="14" t="s">
        <v>6</v>
      </c>
      <c r="K138" s="14" t="s">
        <v>7</v>
      </c>
      <c r="L138" s="14" t="s">
        <v>279</v>
      </c>
      <c r="M138" s="14" t="s">
        <v>280</v>
      </c>
      <c r="N138" s="14" t="s">
        <v>281</v>
      </c>
      <c r="O138" s="14" t="s">
        <v>282</v>
      </c>
      <c r="P138" s="14" t="s">
        <v>283</v>
      </c>
      <c r="Q138" s="14" t="s">
        <v>284</v>
      </c>
      <c r="R138" s="14" t="s">
        <v>904</v>
      </c>
      <c r="S138" s="14" t="s">
        <v>285</v>
      </c>
      <c r="T138" s="14" t="s">
        <v>289</v>
      </c>
      <c r="U138" s="14" t="s">
        <v>8</v>
      </c>
      <c r="V138" s="14" t="s">
        <v>9</v>
      </c>
      <c r="W138" s="14" t="s">
        <v>10</v>
      </c>
      <c r="X138" s="14" t="s">
        <v>100</v>
      </c>
      <c r="Y138" s="14" t="s">
        <v>106</v>
      </c>
      <c r="Z138" s="14" t="s">
        <v>12</v>
      </c>
      <c r="AA138" s="14" t="s">
        <v>258</v>
      </c>
      <c r="AB138" s="14" t="s">
        <v>13</v>
      </c>
      <c r="AC138" s="14" t="s">
        <v>74</v>
      </c>
      <c r="AD138" s="14" t="s">
        <v>21</v>
      </c>
      <c r="AE138" s="14" t="s">
        <v>14</v>
      </c>
      <c r="AF138" s="14" t="s">
        <v>15</v>
      </c>
      <c r="AG138" s="14" t="s">
        <v>16</v>
      </c>
      <c r="AH138" s="15" t="s">
        <v>17</v>
      </c>
      <c r="AI138" s="14" t="s">
        <v>679</v>
      </c>
      <c r="AJ138" s="14" t="s">
        <v>678</v>
      </c>
    </row>
    <row r="139" spans="1:36" x14ac:dyDescent="0.35">
      <c r="A139" s="20"/>
      <c r="B139" s="21"/>
      <c r="C139" s="21"/>
      <c r="D139" s="44"/>
      <c r="E139" s="44"/>
      <c r="F139" s="21"/>
      <c r="G139" s="21"/>
      <c r="H139" s="22"/>
      <c r="I139" s="33">
        <v>0</v>
      </c>
      <c r="J139" s="24" t="str">
        <f>IFERROR(K139/H139,"")</f>
        <v/>
      </c>
      <c r="K139" s="22">
        <v>0</v>
      </c>
      <c r="L139" s="21"/>
      <c r="M139" s="21"/>
      <c r="N139" s="21"/>
      <c r="O139" s="21"/>
      <c r="P139" s="21"/>
      <c r="Q139" s="21"/>
      <c r="R139" s="21"/>
      <c r="S139" s="21"/>
      <c r="T139" s="21"/>
      <c r="U139" s="25">
        <v>0</v>
      </c>
      <c r="V139" s="25">
        <f>H139*U139*I139/15</f>
        <v>0</v>
      </c>
      <c r="W139" s="25">
        <v>0</v>
      </c>
      <c r="X139" s="25">
        <v>0</v>
      </c>
      <c r="Y139" s="25">
        <f>IF(B139="FRANCISCO CAMACHO",((F139*42)+(G139*42)),IF(B139="JOSE INACIO",((F139*60)+(G139*60)),0))</f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f>IF(F139="",G139*4.11,F139*4.11)</f>
        <v>0</v>
      </c>
      <c r="AE139" s="25">
        <v>0</v>
      </c>
      <c r="AF139" s="25">
        <f>V139+Y139+Z139+AA139+AB139+AC139+AD139</f>
        <v>0</v>
      </c>
      <c r="AG139" s="25" t="str">
        <f>IFERROR(IFERROR((H139*W139*J139/15)-AE139,""),"")</f>
        <v/>
      </c>
      <c r="AH139" s="26">
        <f>IFERROR(AG139-AF139,0)</f>
        <v>0</v>
      </c>
      <c r="AI139" s="6">
        <f>IF(F139="",(G139/$F$143)*$AL$28,(F139/$F$143)*$AL$28)</f>
        <v>0</v>
      </c>
      <c r="AJ139" s="25">
        <f>(AH139-AI139)*70%</f>
        <v>0</v>
      </c>
    </row>
    <row r="140" spans="1:36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3"/>
      <c r="AA140" s="21"/>
      <c r="AB140" s="21"/>
      <c r="AC140" s="21"/>
      <c r="AD140" s="21"/>
      <c r="AE140" s="21"/>
      <c r="AF140" s="21"/>
      <c r="AG140" s="21"/>
      <c r="AH140" s="26">
        <f>IFERROR(AH139/F139,0)+IFERROR(AH139/G139,0)</f>
        <v>0</v>
      </c>
    </row>
    <row r="141" spans="1:36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7" t="str">
        <f>IFERROR(AH139/AG139,"")</f>
        <v/>
      </c>
    </row>
    <row r="142" spans="1:36" ht="15" thickBot="1" x14ac:dyDescent="0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47"/>
      <c r="AI142" s="47"/>
      <c r="AJ142" s="47"/>
    </row>
    <row r="143" spans="1:36" ht="16" thickBot="1" x14ac:dyDescent="0.4">
      <c r="A143" s="377" t="s">
        <v>739</v>
      </c>
      <c r="B143" s="378"/>
      <c r="C143" s="378"/>
      <c r="D143" s="378"/>
      <c r="E143" s="378"/>
      <c r="F143" s="163">
        <f>SUM(F4:G139)</f>
        <v>1748</v>
      </c>
      <c r="G143" s="163"/>
      <c r="H143" s="30"/>
      <c r="I143" s="30"/>
      <c r="J143" s="30"/>
      <c r="K143" s="30"/>
      <c r="L143" s="46"/>
      <c r="M143" s="46"/>
      <c r="N143" s="46"/>
      <c r="O143" s="46"/>
      <c r="P143" s="46"/>
      <c r="Q143" s="46"/>
      <c r="R143" s="46"/>
      <c r="S143" s="46"/>
      <c r="T143" s="46"/>
      <c r="U143" s="30"/>
      <c r="V143" s="31">
        <f>SUM(V4:V142)</f>
        <v>7124404.1846666671</v>
      </c>
      <c r="W143" s="31"/>
      <c r="X143" s="31"/>
      <c r="Y143" s="31">
        <f t="shared" ref="Y143:AG143" si="0">SUM(Y4:Y142)</f>
        <v>54516</v>
      </c>
      <c r="Z143" s="31">
        <f t="shared" si="0"/>
        <v>655442.66</v>
      </c>
      <c r="AA143" s="31">
        <f t="shared" si="0"/>
        <v>780</v>
      </c>
      <c r="AB143" s="31">
        <f t="shared" si="0"/>
        <v>34710.5</v>
      </c>
      <c r="AC143" s="31">
        <f t="shared" si="0"/>
        <v>11355</v>
      </c>
      <c r="AD143" s="31">
        <f t="shared" si="0"/>
        <v>7184.28</v>
      </c>
      <c r="AE143" s="31">
        <f t="shared" si="0"/>
        <v>16500.300398009949</v>
      </c>
      <c r="AF143" s="31">
        <f t="shared" si="0"/>
        <v>7888392.6246666685</v>
      </c>
      <c r="AG143" s="31">
        <f t="shared" si="0"/>
        <v>8233653.4043184062</v>
      </c>
      <c r="AH143" s="161">
        <f>AH4+AH9+AH14+AH19+AH24+AH29+AH34+AH39+AH44+AH49+AH54+AH59+AH64+AH69+AH74+AH79+AH84+AH89+AH94+AH99+AH104+AH109+AH114+AH119+AH124+AH129+AH134+AH139</f>
        <v>345260.77965174062</v>
      </c>
      <c r="AI143" s="165">
        <f>SUM(AI4:AI141)</f>
        <v>26374.9</v>
      </c>
      <c r="AJ143" s="165">
        <f>SUM(AJ4:AJ141)</f>
        <v>223220.11575621838</v>
      </c>
    </row>
    <row r="145" spans="22:35" x14ac:dyDescent="0.35">
      <c r="V145" s="162">
        <v>3173324.9000000004</v>
      </c>
      <c r="AI145" s="25"/>
    </row>
  </sheetData>
  <mergeCells count="2">
    <mergeCell ref="U2:AC2"/>
    <mergeCell ref="A143:E14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45"/>
  <sheetViews>
    <sheetView zoomScale="85" zoomScaleNormal="85" workbookViewId="0"/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7.1796875" customWidth="1"/>
    <col min="40" max="40" width="19.179687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AF143</f>
        <v>6174826.0353333335</v>
      </c>
      <c r="AM3" s="164">
        <f>AH143-AI143</f>
        <v>178565.5560133328</v>
      </c>
    </row>
    <row r="4" spans="1:40" x14ac:dyDescent="0.35">
      <c r="A4" s="20">
        <v>45208</v>
      </c>
      <c r="B4" s="21" t="s">
        <v>632</v>
      </c>
      <c r="C4" s="21" t="s">
        <v>637</v>
      </c>
      <c r="D4" s="157">
        <v>157695</v>
      </c>
      <c r="E4" s="44" t="s">
        <v>641</v>
      </c>
      <c r="F4" s="21">
        <v>50</v>
      </c>
      <c r="G4" s="21"/>
      <c r="H4" s="22">
        <v>28512</v>
      </c>
      <c r="I4" s="33">
        <v>0.55000000000000004</v>
      </c>
      <c r="J4" s="24">
        <f>IFERROR(K4/H4,"")</f>
        <v>0.54943532547699214</v>
      </c>
      <c r="K4" s="22">
        <v>15665.5</v>
      </c>
      <c r="L4" s="21">
        <v>1</v>
      </c>
      <c r="M4" s="21">
        <v>29</v>
      </c>
      <c r="N4" s="21">
        <v>19</v>
      </c>
      <c r="O4" s="21">
        <v>1</v>
      </c>
      <c r="P4" s="21"/>
      <c r="Q4" s="21"/>
      <c r="R4" s="21"/>
      <c r="S4" s="21"/>
      <c r="T4" s="21"/>
      <c r="U4" s="25">
        <v>210</v>
      </c>
      <c r="V4" s="25">
        <f>H4*U4*I4/15</f>
        <v>219542.40000000002</v>
      </c>
      <c r="W4" s="25">
        <v>243.71</v>
      </c>
      <c r="X4" s="25">
        <v>254522.35</v>
      </c>
      <c r="Y4" s="25">
        <f>IF(B4="FRANCISCO CAMACHO",((F4*42)+(G4*42)),IF(B4="JOSE INACIO",((F4*60)+(G4*60)),0))</f>
        <v>2100</v>
      </c>
      <c r="Z4" s="25">
        <v>13823.76</v>
      </c>
      <c r="AA4" s="25">
        <v>0</v>
      </c>
      <c r="AB4" s="25">
        <f>(U4*F4)*15%</f>
        <v>1575</v>
      </c>
      <c r="AC4" s="25">
        <v>0</v>
      </c>
      <c r="AD4" s="25">
        <f>IF(F4="",G4*4.11,F4*4.11)</f>
        <v>205.50000000000003</v>
      </c>
      <c r="AE4" s="25">
        <v>509.05</v>
      </c>
      <c r="AF4" s="25">
        <f>V4+Y4+Z4+AA4+AB4+AC4+AD4</f>
        <v>237246.66000000003</v>
      </c>
      <c r="AG4" s="25">
        <f>IFERROR(IFERROR((H4*W4*J4/15)-AE4,""),"")</f>
        <v>254013.55033333338</v>
      </c>
      <c r="AH4" s="26">
        <f>IFERROR(AG4-AF4,0)</f>
        <v>16766.890333333344</v>
      </c>
      <c r="AI4" s="6">
        <f>IF(F4="",(G4/$F$143)*$AL$28,(F4/$F$143)*$AL$28)</f>
        <v>-138.10686728395061</v>
      </c>
      <c r="AJ4" s="25">
        <f>(AH4-AI4)*70%</f>
        <v>11833.498040432105</v>
      </c>
      <c r="AL4" s="166" t="s">
        <v>749</v>
      </c>
      <c r="AM4" s="167">
        <f>AM3/AL3</f>
        <v>2.8918313648279705E-2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335.33780666666689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6.6007857893134916E-2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45208</v>
      </c>
      <c r="B9" s="21" t="s">
        <v>632</v>
      </c>
      <c r="C9" s="21" t="s">
        <v>611</v>
      </c>
      <c r="D9" s="44">
        <v>1883742</v>
      </c>
      <c r="E9" s="44" t="s">
        <v>652</v>
      </c>
      <c r="F9" s="21">
        <v>200</v>
      </c>
      <c r="G9" s="21"/>
      <c r="H9" s="22">
        <v>113002</v>
      </c>
      <c r="I9" s="33">
        <v>0.55000000000000004</v>
      </c>
      <c r="J9" s="24">
        <f>IFERROR(K9/H9,"")</f>
        <v>0.56079980885294067</v>
      </c>
      <c r="K9" s="22">
        <v>63371.5</v>
      </c>
      <c r="L9" s="21"/>
      <c r="M9" s="21">
        <v>33</v>
      </c>
      <c r="N9" s="21">
        <v>138</v>
      </c>
      <c r="O9" s="21">
        <v>29</v>
      </c>
      <c r="P9" s="21"/>
      <c r="Q9" s="21"/>
      <c r="R9" s="21"/>
      <c r="S9" s="21"/>
      <c r="T9" s="21"/>
      <c r="U9" s="25">
        <v>210</v>
      </c>
      <c r="V9" s="25">
        <f>H9*U9*I9/15</f>
        <v>870115.40000000014</v>
      </c>
      <c r="W9" s="25">
        <v>242.48</v>
      </c>
      <c r="X9" s="25">
        <v>1024425.13</v>
      </c>
      <c r="Y9" s="25">
        <f>IF(B9="FRANCISCO CAMACHO",((F9*42)+(G9*42)),IF(B9="JOSE INACIO",((F9*60)+(G9*60)),0))</f>
        <v>8400</v>
      </c>
      <c r="Z9" s="25">
        <f>38163.02+37969.2</f>
        <v>76132.22</v>
      </c>
      <c r="AA9" s="25">
        <v>0</v>
      </c>
      <c r="AB9" s="25">
        <v>4200</v>
      </c>
      <c r="AC9" s="25">
        <v>0</v>
      </c>
      <c r="AD9" s="25">
        <f>IF(F9="",G9*4.11,F9*4.11)</f>
        <v>822.00000000000011</v>
      </c>
      <c r="AE9" s="25">
        <v>2048.85</v>
      </c>
      <c r="AF9" s="25">
        <f>V9+Y9+Z9+AA9+AB9+AC9+AD9</f>
        <v>959669.62000000011</v>
      </c>
      <c r="AG9" s="25">
        <f>IFERROR(IFERROR((H9*W9*J9/15)-AE9,""),"")</f>
        <v>1022372.5713333333</v>
      </c>
      <c r="AH9" s="26">
        <f>IFERROR(AG9-AF9,0)</f>
        <v>62702.951333333156</v>
      </c>
      <c r="AI9" s="6">
        <f>IF(F9="",(G9/$F$143)*$AL$28,(F9/$F$143)*$AL$28)</f>
        <v>-552.42746913580243</v>
      </c>
      <c r="AJ9" s="25">
        <f>(AH9-AI9)*70%</f>
        <v>44278.765161728268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313.51475666666579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6.1330823118189416E-2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45209</v>
      </c>
      <c r="B14" s="21" t="s">
        <v>758</v>
      </c>
      <c r="C14" s="21" t="s">
        <v>759</v>
      </c>
      <c r="D14" s="157">
        <v>157955</v>
      </c>
      <c r="E14" s="44" t="s">
        <v>641</v>
      </c>
      <c r="F14" s="21">
        <v>60</v>
      </c>
      <c r="G14" s="21"/>
      <c r="H14" s="22">
        <v>32140</v>
      </c>
      <c r="I14" s="33">
        <v>0.53</v>
      </c>
      <c r="J14" s="24">
        <f>IFERROR(K14/H14,"")</f>
        <v>0.52369321717485995</v>
      </c>
      <c r="K14" s="22">
        <v>16831.5</v>
      </c>
      <c r="L14" s="21">
        <v>25</v>
      </c>
      <c r="M14" s="21">
        <v>27</v>
      </c>
      <c r="N14" s="21">
        <v>8</v>
      </c>
      <c r="O14" s="21"/>
      <c r="P14" s="21"/>
      <c r="Q14" s="21"/>
      <c r="R14" s="21"/>
      <c r="S14" s="21"/>
      <c r="T14" s="21"/>
      <c r="U14" s="25">
        <v>235</v>
      </c>
      <c r="V14" s="25">
        <f>H14*U14*I14/15</f>
        <v>266869.13333333336</v>
      </c>
      <c r="W14" s="25">
        <v>243.83</v>
      </c>
      <c r="X14" s="25">
        <v>273605.84999999998</v>
      </c>
      <c r="Y14" s="25">
        <f>IF(B14="FRANCISCO CAMACHO",((F14*42)+(G14*42)),IF(B14="JOSE INACIO",((F14*60)+(G14*60)),0))</f>
        <v>0</v>
      </c>
      <c r="Z14" s="25">
        <f>600+600+900</f>
        <v>2100</v>
      </c>
      <c r="AA14" s="25">
        <v>0</v>
      </c>
      <c r="AB14" s="25">
        <v>1410</v>
      </c>
      <c r="AC14" s="25">
        <v>0</v>
      </c>
      <c r="AD14" s="25">
        <f>IF(F14="",G14*4.11,F14*4.11)</f>
        <v>246.60000000000002</v>
      </c>
      <c r="AE14" s="25">
        <v>547.22</v>
      </c>
      <c r="AF14" s="25">
        <f>V14+Y14+Z14+AA14+AB14+AC14+AD14</f>
        <v>270625.73333333334</v>
      </c>
      <c r="AG14" s="25">
        <f>IFERROR(IFERROR((H14*W14*J14/15)-AE14,""),"")</f>
        <v>273054.42300000001</v>
      </c>
      <c r="AH14" s="26">
        <f>IFERROR(AG14-AF14,0)</f>
        <v>2428.6896666666726</v>
      </c>
      <c r="AI14" s="6">
        <f>IF(F14="",(G14/$F$143)*$AL$28,(F14/$F$143)*$AL$28)</f>
        <v>-165.72824074074074</v>
      </c>
      <c r="AJ14" s="25">
        <f>(AH14-AI14)*70%</f>
        <v>1816.092535185189</v>
      </c>
      <c r="AL14" s="14">
        <f>F4+G4+F9+G9+F14+G14+F19+G19+F24+G24+F29+G29+F34+G34+F39+G39+F44+G44+F49+G49+F54+G54+F59+G59+F64+G64+F74+G74+F79+G79+F69+G69+F84+G84+F89+G89+F94+G94+F99+G99+F104+G104+F109+G109+F114+G114+F119+G119+F124+G124+F129+G129+F134+G134+F139+G139</f>
        <v>1296</v>
      </c>
      <c r="AM14" s="118" t="s">
        <v>22</v>
      </c>
      <c r="AN14" t="s">
        <v>71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40.478161111111213</v>
      </c>
      <c r="AL15" s="11">
        <f>AH143</f>
        <v>174985.82601333279</v>
      </c>
      <c r="AM15" s="11">
        <f>AL15*30%</f>
        <v>52495.747803999831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8.8945260068783883E-3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45209</v>
      </c>
      <c r="B19" s="21" t="s">
        <v>632</v>
      </c>
      <c r="C19" s="21" t="s">
        <v>757</v>
      </c>
      <c r="D19" s="44">
        <v>1883809</v>
      </c>
      <c r="E19" s="44" t="s">
        <v>652</v>
      </c>
      <c r="F19" s="21">
        <v>300</v>
      </c>
      <c r="G19" s="21"/>
      <c r="H19" s="22">
        <v>162850</v>
      </c>
      <c r="I19" s="33">
        <v>0.55000000000000004</v>
      </c>
      <c r="J19" s="24">
        <f>IFERROR(K19/H19,"")</f>
        <v>0.54379914031317167</v>
      </c>
      <c r="K19" s="22">
        <v>88557.69</v>
      </c>
      <c r="L19" s="21">
        <v>97</v>
      </c>
      <c r="M19" s="21">
        <v>122</v>
      </c>
      <c r="N19" s="21">
        <v>74</v>
      </c>
      <c r="O19" s="21">
        <v>7</v>
      </c>
      <c r="P19" s="21"/>
      <c r="Q19" s="21"/>
      <c r="R19" s="21"/>
      <c r="S19" s="21"/>
      <c r="T19" s="21"/>
      <c r="U19" s="25">
        <v>220</v>
      </c>
      <c r="V19" s="25">
        <f>H19*U19*I19/15</f>
        <v>1313656.6666666667</v>
      </c>
      <c r="W19" s="25">
        <v>244.58</v>
      </c>
      <c r="X19" s="25">
        <f>1657816.2/350*F19</f>
        <v>1420985.3142857142</v>
      </c>
      <c r="Y19" s="25">
        <f>IF(B19="FRANCISCO CAMACHO",((F19*42)+(G19*42)),IF(B19="JOSE INACIO",((F19*60)+(G19*60)),0))</f>
        <v>12600</v>
      </c>
      <c r="Z19" s="25">
        <f>38502.57+76945</f>
        <v>115447.57</v>
      </c>
      <c r="AA19" s="25">
        <v>0</v>
      </c>
      <c r="AB19" s="25">
        <f>(U19*F19)*15%</f>
        <v>9900</v>
      </c>
      <c r="AC19" s="25">
        <v>0</v>
      </c>
      <c r="AD19" s="25">
        <f>IF(F19="",G19*4.11,F19*4.11)</f>
        <v>1233</v>
      </c>
      <c r="AE19" s="25">
        <f>3315.63/350*F19</f>
        <v>2841.9685714285711</v>
      </c>
      <c r="AF19" s="25">
        <f>V19+Y19+Z19+AA19+AB19+AC19+AD19</f>
        <v>1452837.2366666668</v>
      </c>
      <c r="AG19" s="25">
        <f>IFERROR(IFERROR((H19*W19*J19/15)-AE19,""),"")</f>
        <v>1441120.6861085712</v>
      </c>
      <c r="AH19" s="26">
        <f>IFERROR(AG19-AF19,0)</f>
        <v>-11716.550558095565</v>
      </c>
      <c r="AI19" s="6">
        <f>IF(F19="",(G19/$F$143)*$AL$28,(F19/$F$143)*$AL$28)</f>
        <v>-828.6412037037037</v>
      </c>
      <c r="AJ19" s="25">
        <f>(AH19-AI19)*70%</f>
        <v>-7621.5365480743021</v>
      </c>
      <c r="AL19" s="178">
        <v>400</v>
      </c>
      <c r="AM19" s="6" t="s">
        <v>386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5"/>
      <c r="AC20" s="21"/>
      <c r="AD20" s="21"/>
      <c r="AE20" s="21"/>
      <c r="AF20" s="21"/>
      <c r="AG20" s="21"/>
      <c r="AH20" s="26">
        <f>IFERROR(AH19/F19,0)+IFERROR(AH19/G19,0)</f>
        <v>-39.05516852698522</v>
      </c>
      <c r="AL20" s="178">
        <v>-2000</v>
      </c>
      <c r="AM20" s="6" t="s">
        <v>775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-8.1301661068605754E-3</v>
      </c>
      <c r="AL21" s="178">
        <v>-1979.73</v>
      </c>
      <c r="AM21" s="6" t="s">
        <v>777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/>
      <c r="AM22" s="6"/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/>
      <c r="AM23" s="6"/>
      <c r="AN23" s="174"/>
    </row>
    <row r="24" spans="1:40" x14ac:dyDescent="0.35">
      <c r="A24" s="20">
        <v>45210</v>
      </c>
      <c r="B24" s="21" t="s">
        <v>760</v>
      </c>
      <c r="C24" s="21" t="s">
        <v>761</v>
      </c>
      <c r="D24" s="157">
        <v>157941</v>
      </c>
      <c r="E24" s="44" t="s">
        <v>641</v>
      </c>
      <c r="F24" s="21">
        <v>26</v>
      </c>
      <c r="G24" s="21"/>
      <c r="H24" s="22">
        <v>12330</v>
      </c>
      <c r="I24" s="33">
        <v>0.54</v>
      </c>
      <c r="J24" s="24">
        <f>IFERROR(K24/H24,"")</f>
        <v>0.5576236820762368</v>
      </c>
      <c r="K24" s="22">
        <v>6875.5</v>
      </c>
      <c r="L24" s="21">
        <v>1</v>
      </c>
      <c r="M24" s="21">
        <v>16</v>
      </c>
      <c r="N24" s="21">
        <v>9</v>
      </c>
      <c r="O24" s="21"/>
      <c r="P24" s="21"/>
      <c r="Q24" s="21"/>
      <c r="R24" s="21"/>
      <c r="S24" s="21"/>
      <c r="T24" s="21"/>
      <c r="U24" s="25">
        <v>235</v>
      </c>
      <c r="V24" s="25">
        <f>H24*U24*I24/15</f>
        <v>104311.8</v>
      </c>
      <c r="W24" s="25">
        <v>239.48</v>
      </c>
      <c r="X24" s="25">
        <v>109768.86</v>
      </c>
      <c r="Y24" s="25">
        <f>IF(B24="FRANCISCO CAMACHO",((F24*42)+(G24*42)),IF(B24="JOSE INACIO",((F24*60)+(G24*60)),0))</f>
        <v>0</v>
      </c>
      <c r="Z24" s="25">
        <v>1400</v>
      </c>
      <c r="AA24" s="25">
        <v>0</v>
      </c>
      <c r="AB24" s="25">
        <v>611</v>
      </c>
      <c r="AC24" s="25">
        <v>0</v>
      </c>
      <c r="AD24" s="25">
        <f>IF(F24="",G24*4.11,F24*4.11)</f>
        <v>106.86000000000001</v>
      </c>
      <c r="AE24" s="25">
        <v>219.54</v>
      </c>
      <c r="AF24" s="25">
        <f>V24+Y24+Z24+AA24+AB24+AC24+AD24</f>
        <v>106429.66</v>
      </c>
      <c r="AG24" s="25">
        <f>IFERROR(IFERROR((H24*W24*J24/15)-AE24,""),"")</f>
        <v>109550.10933333334</v>
      </c>
      <c r="AH24" s="26">
        <f>IFERROR(AG24-AF24,0)</f>
        <v>3120.4493333333376</v>
      </c>
      <c r="AI24" s="6">
        <f>IF(F24="",(G24/$F$143)*$AL$28,(F24/$F$143)*$AL$28)</f>
        <v>-71.815570987654311</v>
      </c>
      <c r="AJ24" s="25">
        <f>(AH24-AI24)*70%</f>
        <v>2234.5854330246939</v>
      </c>
      <c r="AL24" s="178"/>
      <c r="AM24" s="6"/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5"/>
      <c r="AC25" s="21"/>
      <c r="AD25" s="21"/>
      <c r="AE25" s="21"/>
      <c r="AF25" s="21"/>
      <c r="AG25" s="21"/>
      <c r="AH25" s="26">
        <f>IFERROR(AH24/F24,0)+IFERROR(AH24/G24,0)</f>
        <v>120.01728205128221</v>
      </c>
      <c r="AL25" s="178"/>
      <c r="AM25" s="6"/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2.8484219252019161E-2</v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4">
        <f>SUM(AL19:AL27)</f>
        <v>-3579.73</v>
      </c>
      <c r="AM28" s="189" t="s">
        <v>673</v>
      </c>
      <c r="AN28" s="191"/>
    </row>
    <row r="29" spans="1:40" x14ac:dyDescent="0.35">
      <c r="A29" s="20">
        <v>45210</v>
      </c>
      <c r="B29" s="21" t="s">
        <v>760</v>
      </c>
      <c r="C29" s="21" t="s">
        <v>761</v>
      </c>
      <c r="D29" s="44">
        <v>1883809</v>
      </c>
      <c r="E29" s="44" t="s">
        <v>652</v>
      </c>
      <c r="F29" s="21">
        <v>50</v>
      </c>
      <c r="G29" s="21"/>
      <c r="H29" s="22">
        <v>24330</v>
      </c>
      <c r="I29" s="33">
        <v>0.54</v>
      </c>
      <c r="J29" s="24">
        <f>IFERROR(K29/H29,"")</f>
        <v>0.53898479243732023</v>
      </c>
      <c r="K29" s="22">
        <v>13113.5</v>
      </c>
      <c r="L29" s="21">
        <v>5</v>
      </c>
      <c r="M29" s="21">
        <v>24</v>
      </c>
      <c r="N29" s="21">
        <v>18</v>
      </c>
      <c r="O29" s="21">
        <v>3</v>
      </c>
      <c r="P29" s="21"/>
      <c r="Q29" s="21"/>
      <c r="R29" s="21"/>
      <c r="S29" s="21"/>
      <c r="T29" s="21"/>
      <c r="U29" s="25">
        <v>235</v>
      </c>
      <c r="V29" s="25">
        <f>H29*U29*I29/15</f>
        <v>205831.8</v>
      </c>
      <c r="W29" s="25">
        <v>244.58</v>
      </c>
      <c r="X29" s="25">
        <f>1657816.2/350*F29</f>
        <v>236830.88571428572</v>
      </c>
      <c r="Y29" s="25">
        <f>IF(B29="FRANCISCO CAMACHO",((F29*42)+(G29*42)),IF(B29="JOSE INACIO",((F29*60)+(G29*60)),0))</f>
        <v>0</v>
      </c>
      <c r="Z29" s="25">
        <v>1504</v>
      </c>
      <c r="AA29" s="25">
        <v>0</v>
      </c>
      <c r="AB29" s="25">
        <v>1175</v>
      </c>
      <c r="AC29" s="25">
        <v>0</v>
      </c>
      <c r="AD29" s="25">
        <f>IF(F29="",G29*4.11,F29*4.11)</f>
        <v>205.50000000000003</v>
      </c>
      <c r="AE29" s="25">
        <f>3315.63/350*F29</f>
        <v>473.66142857142853</v>
      </c>
      <c r="AF29" s="25">
        <f>V29+Y29+Z29+AA29+AB29+AC29+AD29</f>
        <v>208716.3</v>
      </c>
      <c r="AG29" s="25">
        <f>IFERROR(IFERROR((H29*W29*J29/15)-AE29,""),"")</f>
        <v>213346.32723809528</v>
      </c>
      <c r="AH29" s="26">
        <f>IFERROR(AG29-AF29,0)</f>
        <v>4630.0272380952956</v>
      </c>
      <c r="AI29" s="6">
        <f>IF(F29="",(G29/$F$143)*$AL$28,(F29/$F$143)*$AL$28)</f>
        <v>-138.10686728395061</v>
      </c>
      <c r="AJ29" s="25">
        <f>(AH29-AI29)*70%</f>
        <v>3337.6938737654723</v>
      </c>
      <c r="AL29" s="57"/>
      <c r="AM29" s="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2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92.600544761905908</v>
      </c>
      <c r="AL30" s="57"/>
      <c r="AM30" s="118" t="s">
        <v>22</v>
      </c>
      <c r="AN30" s="12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2.1701930837216468E-2</v>
      </c>
      <c r="AL31" s="247">
        <f>AL15-AL28</f>
        <v>178565.5560133328</v>
      </c>
      <c r="AM31" s="248">
        <f>AL31*30%</f>
        <v>53569.66680399984</v>
      </c>
      <c r="AN31" s="12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3"/>
      <c r="AA32" s="21"/>
      <c r="AB32" s="21"/>
      <c r="AC32" s="21"/>
      <c r="AD32" s="21"/>
      <c r="AE32" s="21"/>
      <c r="AF32" s="21"/>
      <c r="AG32" s="21"/>
      <c r="AH32" s="24"/>
      <c r="AL32" s="57"/>
      <c r="AM32" s="249"/>
      <c r="AN32" s="246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6">
        <f>AH9+AH19+AH29+AH34+AH39+AH44+AH49+AH54+AH59+AH64+AH69</f>
        <v>152669.79667999945</v>
      </c>
      <c r="AM33" s="262" t="s">
        <v>721</v>
      </c>
      <c r="AN33" s="1"/>
    </row>
    <row r="34" spans="1:40" x14ac:dyDescent="0.35">
      <c r="A34" s="20">
        <v>45210</v>
      </c>
      <c r="B34" s="21" t="s">
        <v>632</v>
      </c>
      <c r="C34" s="21" t="s">
        <v>747</v>
      </c>
      <c r="D34" s="44">
        <v>1883808</v>
      </c>
      <c r="E34" s="44" t="s">
        <v>652</v>
      </c>
      <c r="F34" s="158">
        <v>98</v>
      </c>
      <c r="G34" s="21"/>
      <c r="H34" s="22">
        <f>55936/100*F34</f>
        <v>54817.279999999999</v>
      </c>
      <c r="I34" s="33">
        <v>0.55000000000000004</v>
      </c>
      <c r="J34" s="24">
        <f>IFERROR(K34/H34,"")</f>
        <v>0.55815429003409145</v>
      </c>
      <c r="K34" s="22">
        <v>30596.5</v>
      </c>
      <c r="L34" s="21">
        <v>16</v>
      </c>
      <c r="M34" s="21">
        <v>62</v>
      </c>
      <c r="N34" s="21">
        <v>20</v>
      </c>
      <c r="O34" s="21"/>
      <c r="P34" s="21"/>
      <c r="Q34" s="21"/>
      <c r="R34" s="21"/>
      <c r="S34" s="21"/>
      <c r="T34" s="21"/>
      <c r="U34" s="25">
        <v>210</v>
      </c>
      <c r="V34" s="25">
        <f>H34*U34*I34/15</f>
        <v>422093.05599999998</v>
      </c>
      <c r="W34" s="25">
        <v>244.37</v>
      </c>
      <c r="X34" s="25">
        <v>498455.05</v>
      </c>
      <c r="Y34" s="25">
        <f>IF(B34="FRANCISCO CAMACHO",((F34*42)+(G34*42)),IF(B34="JOSE INACIO",((F34*60)+(G34*60)),0))</f>
        <v>4116</v>
      </c>
      <c r="Z34" s="25">
        <f>50942.06/100*F34</f>
        <v>49923.218799999995</v>
      </c>
      <c r="AA34" s="25">
        <v>0</v>
      </c>
      <c r="AB34" s="25">
        <f>2100/100*F34</f>
        <v>2058</v>
      </c>
      <c r="AC34" s="25">
        <v>0</v>
      </c>
      <c r="AD34" s="25">
        <f>IF(F34="",G34*4.11,F34*4.11)</f>
        <v>402.78000000000003</v>
      </c>
      <c r="AE34" s="25">
        <v>996.91</v>
      </c>
      <c r="AF34" s="25">
        <f>V34+Y34+Z34+AA34+AB34+AC34+AD34</f>
        <v>478593.05479999998</v>
      </c>
      <c r="AG34" s="25">
        <f>IFERROR(IFERROR((H34*W34*J34/15)-AE34,""),"")</f>
        <v>497460.87033333338</v>
      </c>
      <c r="AH34" s="26">
        <f>IFERROR(AG34-AF34,0)</f>
        <v>18867.8155333334</v>
      </c>
      <c r="AI34" s="6">
        <f>IF(F34="",(G34/$F$143)*$AL$28,(F34/$F$143)*$AL$28)</f>
        <v>-270.6894598765432</v>
      </c>
      <c r="AJ34" s="25">
        <f>(AH34-AI34)*70%</f>
        <v>13396.953495246958</v>
      </c>
      <c r="AL34" s="6">
        <f>AH4+AH14+AH24</f>
        <v>22316.029333333354</v>
      </c>
      <c r="AM34" t="s">
        <v>722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2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192.52872993197346</v>
      </c>
      <c r="AL35" s="6"/>
      <c r="AM35" s="1"/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3.7928240508023577E-2</v>
      </c>
      <c r="AL36" s="6">
        <f>AL33-AL28</f>
        <v>156249.52667999946</v>
      </c>
      <c r="AM36" t="s">
        <v>756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3"/>
      <c r="AA37" s="21"/>
      <c r="AB37" s="21"/>
      <c r="AC37" s="21"/>
      <c r="AD37" s="21"/>
      <c r="AE37" s="21"/>
      <c r="AF37" s="21"/>
      <c r="AG37" s="21"/>
      <c r="AH37" s="24"/>
      <c r="AL37" s="6">
        <f>(AL36*30%)-71.25</f>
        <v>46803.608003999834</v>
      </c>
      <c r="AM37" t="s">
        <v>765</v>
      </c>
      <c r="AN37" t="s">
        <v>792</v>
      </c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  <c r="AL38" s="6">
        <f>AL34*30%</f>
        <v>6694.8088000000062</v>
      </c>
      <c r="AM38" t="s">
        <v>766</v>
      </c>
      <c r="AN38" t="s">
        <v>778</v>
      </c>
    </row>
    <row r="39" spans="1:40" x14ac:dyDescent="0.35">
      <c r="A39" s="20">
        <v>45210</v>
      </c>
      <c r="B39" s="21" t="s">
        <v>632</v>
      </c>
      <c r="C39" s="21" t="s">
        <v>747</v>
      </c>
      <c r="D39" s="44">
        <v>111023</v>
      </c>
      <c r="E39" s="44" t="s">
        <v>652</v>
      </c>
      <c r="F39" s="158">
        <v>2</v>
      </c>
      <c r="G39" s="21"/>
      <c r="H39" s="22">
        <f>55936/100*F39</f>
        <v>1118.72</v>
      </c>
      <c r="I39" s="33">
        <v>0.55000000000000004</v>
      </c>
      <c r="J39" s="24">
        <f>IFERROR(K39/H39,"")</f>
        <v>0.39956378718535468</v>
      </c>
      <c r="K39" s="22">
        <v>447</v>
      </c>
      <c r="L39" s="21"/>
      <c r="M39" s="21">
        <v>2</v>
      </c>
      <c r="N39" s="21"/>
      <c r="O39" s="21"/>
      <c r="P39" s="21"/>
      <c r="Q39" s="21"/>
      <c r="R39" s="21"/>
      <c r="S39" s="21"/>
      <c r="T39" s="21"/>
      <c r="U39" s="25">
        <v>210</v>
      </c>
      <c r="V39" s="25">
        <f>H39*U39*I39/15</f>
        <v>8614.1440000000021</v>
      </c>
      <c r="W39" s="25">
        <v>210</v>
      </c>
      <c r="X39" s="25">
        <v>6258</v>
      </c>
      <c r="Y39" s="25">
        <f>IF(B39="FRANCISCO CAMACHO",((F39*42)+(G39*42)),IF(B39="JOSE INACIO",((F39*60)+(G39*60)),0))</f>
        <v>84</v>
      </c>
      <c r="Z39" s="25">
        <f>50942.06/100*F39</f>
        <v>1018.8412</v>
      </c>
      <c r="AA39" s="25">
        <v>0</v>
      </c>
      <c r="AB39" s="25">
        <f>2100/100*F39</f>
        <v>42</v>
      </c>
      <c r="AC39" s="25">
        <v>0</v>
      </c>
      <c r="AD39" s="25">
        <f>IF(F39="",G39*4.11,F39*4.11)</f>
        <v>8.2200000000000006</v>
      </c>
      <c r="AE39" s="25"/>
      <c r="AF39" s="25">
        <f>V39+Y39+Z39+AA39+AB39+AC39+AD39</f>
        <v>9767.2052000000022</v>
      </c>
      <c r="AG39" s="25">
        <f>IFERROR(IFERROR((H39*W39*J39/15)-AE39,""),"")</f>
        <v>6258</v>
      </c>
      <c r="AH39" s="26">
        <f>IFERROR(AG39-AF39,0)</f>
        <v>-3509.2052000000022</v>
      </c>
      <c r="AI39" s="6">
        <f>IF(F39="",(G39/$F$143)*$AL$28,(F39/$F$143)*$AL$28)</f>
        <v>-5.5242746913580243</v>
      </c>
      <c r="AJ39" s="25">
        <f>(AH39-AI39)*70%</f>
        <v>-2452.5766477160505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-1754.6026000000011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-0.56075506551613974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45212</v>
      </c>
      <c r="B44" s="21" t="s">
        <v>632</v>
      </c>
      <c r="C44" s="21" t="s">
        <v>633</v>
      </c>
      <c r="D44" s="44">
        <v>1883810</v>
      </c>
      <c r="E44" s="44" t="s">
        <v>652</v>
      </c>
      <c r="F44" s="39">
        <v>200</v>
      </c>
      <c r="G44" s="21"/>
      <c r="H44" s="22">
        <f>143160/250*F44</f>
        <v>114528</v>
      </c>
      <c r="I44" s="33">
        <v>0.55000000000000004</v>
      </c>
      <c r="J44" s="24">
        <f>IFERROR(K44/H44,"")</f>
        <v>0.55953565940206762</v>
      </c>
      <c r="K44" s="22">
        <v>64082.5</v>
      </c>
      <c r="L44" s="21">
        <v>38</v>
      </c>
      <c r="M44" s="21">
        <v>94</v>
      </c>
      <c r="N44" s="21">
        <v>60</v>
      </c>
      <c r="O44" s="21">
        <v>7</v>
      </c>
      <c r="P44" s="21">
        <v>1</v>
      </c>
      <c r="Q44" s="21"/>
      <c r="R44" s="21"/>
      <c r="S44" s="21"/>
      <c r="T44" s="21"/>
      <c r="U44" s="25">
        <v>215</v>
      </c>
      <c r="V44" s="25">
        <f>H44*U44*I44/15</f>
        <v>902862.40000000014</v>
      </c>
      <c r="W44" s="25">
        <v>244.25</v>
      </c>
      <c r="X44" s="25">
        <f>1539606.57/310*F44</f>
        <v>993294.56129032257</v>
      </c>
      <c r="Y44" s="25">
        <f>IF(B44="FRANCISCO CAMACHO",((F44*42)+(G44*42)),IF(B44="JOSE INACIO",((F44*60)+(G44*60)),0))</f>
        <v>8400</v>
      </c>
      <c r="Z44" s="25">
        <f>(68505+22526.69+21557.8)/250*F44</f>
        <v>90071.592000000004</v>
      </c>
      <c r="AA44" s="25">
        <v>0</v>
      </c>
      <c r="AB44" s="25">
        <f>5375/250*F44</f>
        <v>4300</v>
      </c>
      <c r="AC44" s="25">
        <v>0</v>
      </c>
      <c r="AD44" s="25">
        <f>IF(F44="",G44*4.11,F44*4.11)</f>
        <v>822.00000000000011</v>
      </c>
      <c r="AE44" s="25">
        <f>3079.21/310*F44</f>
        <v>1986.5870967741937</v>
      </c>
      <c r="AF44" s="25">
        <f>V44+Y44+Z44+AA44+AB44+AC44+AD44</f>
        <v>1006455.9920000001</v>
      </c>
      <c r="AG44" s="25">
        <f>IFERROR(IFERROR((H44*W44*J44/15)-AE44,""),"")</f>
        <v>1041490.1212365592</v>
      </c>
      <c r="AH44" s="26">
        <f>IFERROR(AG44-AF44,0)</f>
        <v>35034.129236559151</v>
      </c>
      <c r="AI44" s="6">
        <f>IF(F44="",(G44/$F$143)*$AL$28,(F44/$F$143)*$AL$28)</f>
        <v>-552.42746913580243</v>
      </c>
      <c r="AJ44" s="25">
        <f>(AH44-AI44)*70%</f>
        <v>24910.589693986465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175.17064618279576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3.3638465235717452E-2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45212</v>
      </c>
      <c r="B49" s="21" t="s">
        <v>632</v>
      </c>
      <c r="C49" s="21" t="s">
        <v>633</v>
      </c>
      <c r="D49" s="44">
        <v>1884912</v>
      </c>
      <c r="E49" s="44" t="s">
        <v>652</v>
      </c>
      <c r="F49" s="39">
        <v>50</v>
      </c>
      <c r="G49" s="21"/>
      <c r="H49" s="22">
        <f>143160/250*F49</f>
        <v>28632</v>
      </c>
      <c r="I49" s="33">
        <v>0.55000000000000004</v>
      </c>
      <c r="J49" s="24">
        <f>IFERROR(K49/H49,"")</f>
        <v>0.56160938809723382</v>
      </c>
      <c r="K49" s="22">
        <v>16080</v>
      </c>
      <c r="L49" s="21">
        <v>4</v>
      </c>
      <c r="M49" s="21">
        <v>14</v>
      </c>
      <c r="N49" s="21">
        <v>27</v>
      </c>
      <c r="O49" s="21">
        <v>5</v>
      </c>
      <c r="P49" s="21"/>
      <c r="Q49" s="21"/>
      <c r="R49" s="21"/>
      <c r="S49" s="21"/>
      <c r="T49" s="21"/>
      <c r="U49" s="25">
        <v>215</v>
      </c>
      <c r="V49" s="25">
        <f>H49*U49*I49/15</f>
        <v>225715.60000000003</v>
      </c>
      <c r="W49" s="25">
        <v>245.12</v>
      </c>
      <c r="X49" s="25">
        <f>1030067.78/198*F49</f>
        <v>260118.12626262626</v>
      </c>
      <c r="Y49" s="25">
        <f>IF(B49="FRANCISCO CAMACHO",((F49*42)+(G49*42)),IF(B49="JOSE INACIO",((F49*60)+(G49*60)),0))</f>
        <v>2100</v>
      </c>
      <c r="Z49" s="25">
        <f>(68505+22526.69+21557.8)/250*F49</f>
        <v>22517.898000000001</v>
      </c>
      <c r="AA49" s="25">
        <v>0</v>
      </c>
      <c r="AB49" s="25">
        <f>5375/250*F49</f>
        <v>1075</v>
      </c>
      <c r="AC49" s="25">
        <v>0</v>
      </c>
      <c r="AD49" s="25">
        <f>IF(F49="",G49*4.11,F49*4.11)</f>
        <v>205.50000000000003</v>
      </c>
      <c r="AE49" s="25">
        <f>2060.13/198*F49</f>
        <v>520.2348484848485</v>
      </c>
      <c r="AF49" s="25">
        <f>V49+Y49+Z49+AA49+AB49+AC49+AD49</f>
        <v>251613.99800000002</v>
      </c>
      <c r="AG49" s="25">
        <f>IFERROR(IFERROR((H49*W49*J49/15)-AE49,""),"")</f>
        <v>262248.40515151509</v>
      </c>
      <c r="AH49" s="26">
        <f>IFERROR(AG49-AF49,0)</f>
        <v>10634.407151515072</v>
      </c>
      <c r="AI49" s="6">
        <f>IF(F49="",(G49/$F$143)*$AL$28,(F49/$F$143)*$AL$28)</f>
        <v>-138.10686728395061</v>
      </c>
      <c r="AJ49" s="25">
        <f>(AH49-AI49)*70%</f>
        <v>7540.7598131593149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212.68814303030143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4.0550893513998681E-2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L52" s="6"/>
      <c r="AM52" s="6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45212</v>
      </c>
      <c r="B54" s="21" t="s">
        <v>632</v>
      </c>
      <c r="C54" s="21" t="s">
        <v>762</v>
      </c>
      <c r="D54" s="44">
        <v>1883810</v>
      </c>
      <c r="E54" s="44" t="s">
        <v>652</v>
      </c>
      <c r="F54" s="21">
        <v>110</v>
      </c>
      <c r="G54" s="21"/>
      <c r="H54" s="22">
        <v>53220</v>
      </c>
      <c r="I54" s="33">
        <v>0.55000000000000004</v>
      </c>
      <c r="J54" s="24">
        <f>IFERROR(K54/H54,"")</f>
        <v>0.57251972942502816</v>
      </c>
      <c r="K54" s="22">
        <v>30469.5</v>
      </c>
      <c r="L54" s="21">
        <v>106</v>
      </c>
      <c r="M54" s="21">
        <v>3</v>
      </c>
      <c r="N54" s="21">
        <v>1</v>
      </c>
      <c r="O54" s="21"/>
      <c r="P54" s="21"/>
      <c r="Q54" s="21"/>
      <c r="R54" s="21"/>
      <c r="S54" s="21"/>
      <c r="T54" s="21"/>
      <c r="U54" s="25">
        <v>220</v>
      </c>
      <c r="V54" s="25">
        <f>H54*U54*I54/15</f>
        <v>429308.00000000006</v>
      </c>
      <c r="W54" s="25">
        <v>244.25</v>
      </c>
      <c r="X54" s="25">
        <f>1539606.57/310*F54</f>
        <v>546312.00870967738</v>
      </c>
      <c r="Y54" s="25">
        <f>IF(B54="FRANCISCO CAMACHO",((F54*42)+(G54*42)),IF(B54="JOSE INACIO",((F54*60)+(G54*60)),0))</f>
        <v>4620</v>
      </c>
      <c r="Z54" s="25">
        <f>22852.8+22899.4</f>
        <v>45752.2</v>
      </c>
      <c r="AA54" s="25">
        <v>0</v>
      </c>
      <c r="AB54" s="25">
        <v>2420</v>
      </c>
      <c r="AC54" s="25">
        <v>0</v>
      </c>
      <c r="AD54" s="25">
        <f>IF(F54="",G54*4.11,F54*4.11)</f>
        <v>452.1</v>
      </c>
      <c r="AE54" s="25">
        <f>3079.21/310*F54</f>
        <v>1092.6229032258066</v>
      </c>
      <c r="AF54" s="25">
        <f>V54+Y54+Z54+AA54+AB54+AC54+AD54</f>
        <v>482552.30000000005</v>
      </c>
      <c r="AG54" s="25">
        <f>IFERROR(IFERROR((H54*W54*J54/15)-AE54,""),"")</f>
        <v>495052.4020967742</v>
      </c>
      <c r="AH54" s="26">
        <f>IFERROR(AG54-AF54,0)</f>
        <v>12500.10209677415</v>
      </c>
      <c r="AI54" s="6">
        <f>IF(F54="",(G54/$F$143)*$AL$28,(F54/$F$143)*$AL$28)</f>
        <v>-303.83510802469135</v>
      </c>
      <c r="AJ54" s="25">
        <f>(AH54-AI54)*70%</f>
        <v>8962.756043359188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113.6372917888559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2.5250058466195657E-2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45213</v>
      </c>
      <c r="B59" s="21" t="s">
        <v>632</v>
      </c>
      <c r="C59" s="21" t="s">
        <v>633</v>
      </c>
      <c r="D59" s="44">
        <v>1883812</v>
      </c>
      <c r="E59" s="44" t="s">
        <v>652</v>
      </c>
      <c r="F59" s="21">
        <v>100</v>
      </c>
      <c r="G59" s="21"/>
      <c r="H59" s="22">
        <v>57520</v>
      </c>
      <c r="I59" s="33">
        <v>0.55000000000000004</v>
      </c>
      <c r="J59" s="24">
        <f>IFERROR(K59/H59,"")</f>
        <v>0.55140820584144645</v>
      </c>
      <c r="K59" s="22">
        <v>31717</v>
      </c>
      <c r="L59" s="21">
        <v>19</v>
      </c>
      <c r="M59" s="21">
        <v>47</v>
      </c>
      <c r="N59" s="21">
        <v>30</v>
      </c>
      <c r="O59" s="21">
        <v>4</v>
      </c>
      <c r="P59" s="21"/>
      <c r="Q59" s="21"/>
      <c r="R59" s="21"/>
      <c r="S59" s="21"/>
      <c r="T59" s="21"/>
      <c r="U59" s="25">
        <v>215</v>
      </c>
      <c r="V59" s="25">
        <f>H59*U59*I59/15</f>
        <v>453449.33333333337</v>
      </c>
      <c r="W59" s="25">
        <v>244.79</v>
      </c>
      <c r="X59" s="25">
        <v>517595.03</v>
      </c>
      <c r="Y59" s="25">
        <f>IF(B59="FRANCISCO CAMACHO",((F59*42)+(G59*42)),IF(B59="JOSE INACIO",((F59*60)+(G59*60)),0))</f>
        <v>4200</v>
      </c>
      <c r="Z59" s="25">
        <v>45858.73</v>
      </c>
      <c r="AA59" s="25">
        <v>0</v>
      </c>
      <c r="AB59" s="25">
        <v>2150</v>
      </c>
      <c r="AC59" s="25">
        <v>0</v>
      </c>
      <c r="AD59" s="25">
        <f>IF(F59="",G59*4.11,F59*4.11)</f>
        <v>411.00000000000006</v>
      </c>
      <c r="AE59" s="25">
        <v>1035.19</v>
      </c>
      <c r="AF59" s="25">
        <f>V59+Y59+Z59+AA59+AB59+AC59+AD59</f>
        <v>506069.06333333335</v>
      </c>
      <c r="AG59" s="25">
        <f>IFERROR(IFERROR((H59*W59*J59/15)-AE59,""),"")</f>
        <v>516565.10533333331</v>
      </c>
      <c r="AH59" s="26">
        <f>IFERROR(AG59-AF59,0)</f>
        <v>10496.041999999958</v>
      </c>
      <c r="AI59" s="6">
        <f>IF(F59="",(G59/$F$143)*$AL$28,(F59/$F$143)*$AL$28)</f>
        <v>-276.21373456790121</v>
      </c>
      <c r="AJ59" s="25">
        <f>(AH59-AI59)*70%</f>
        <v>7540.5790141975012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104.96041999999957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2.0318914095498158E-2</v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>
        <v>45213</v>
      </c>
      <c r="B64" s="21" t="s">
        <v>419</v>
      </c>
      <c r="C64" s="21" t="s">
        <v>574</v>
      </c>
      <c r="D64" s="44">
        <v>1884912</v>
      </c>
      <c r="E64" s="44" t="s">
        <v>652</v>
      </c>
      <c r="F64" s="21">
        <v>49</v>
      </c>
      <c r="G64" s="21"/>
      <c r="H64" s="22">
        <f>23480/50*F64</f>
        <v>23010.400000000001</v>
      </c>
      <c r="I64" s="33">
        <v>0.53</v>
      </c>
      <c r="J64" s="24">
        <f>IFERROR(K64/H64,"")</f>
        <v>0.57919462503911268</v>
      </c>
      <c r="K64" s="22">
        <v>13327.5</v>
      </c>
      <c r="L64" s="21">
        <v>6</v>
      </c>
      <c r="M64" s="21">
        <v>18</v>
      </c>
      <c r="N64" s="21">
        <v>24</v>
      </c>
      <c r="O64" s="21">
        <v>1</v>
      </c>
      <c r="P64" s="21"/>
      <c r="Q64" s="21"/>
      <c r="R64" s="21"/>
      <c r="S64" s="21"/>
      <c r="T64" s="21"/>
      <c r="U64" s="25">
        <v>225</v>
      </c>
      <c r="V64" s="25">
        <f>H64*U64*I64/15</f>
        <v>182932.68000000002</v>
      </c>
      <c r="W64" s="25">
        <v>245.12</v>
      </c>
      <c r="X64" s="25">
        <f>1030067.78/198*F64</f>
        <v>254915.76373737375</v>
      </c>
      <c r="Y64" s="25">
        <f>IF(B64="FRANCISCO CAMACHO",((F64*42)+(G64*42)),IF(B64="DANILO VIANA",((F64*60)+(G64*60)),0))</f>
        <v>2940</v>
      </c>
      <c r="Z64" s="25">
        <f>(11226+11942.8)/100*F64</f>
        <v>11352.712</v>
      </c>
      <c r="AA64" s="25">
        <v>0</v>
      </c>
      <c r="AB64" s="25">
        <f>2250/100*F64</f>
        <v>1102.5</v>
      </c>
      <c r="AC64" s="25">
        <f>38*F64</f>
        <v>1862</v>
      </c>
      <c r="AD64" s="25">
        <f>IF(F64="",G64*4.11,F64*4.11)</f>
        <v>201.39000000000001</v>
      </c>
      <c r="AE64" s="25">
        <f>2060.13/198*F64</f>
        <v>509.83015151515156</v>
      </c>
      <c r="AF64" s="25">
        <f>V64+Y64+Z64+AA64+AB64+AC64+AD64</f>
        <v>200391.28200000004</v>
      </c>
      <c r="AG64" s="25">
        <f>IFERROR(IFERROR((H64*W64*J64/15)-AE64,""),"")</f>
        <v>217279.28984848486</v>
      </c>
      <c r="AH64" s="26">
        <f>IFERROR(AG64-AF64,0)</f>
        <v>16888.00784848482</v>
      </c>
      <c r="AI64" s="6">
        <f>IF(F64="",(G64/$F$143)*$AL$28,(F64/$F$143)*$AL$28)</f>
        <v>-135.3447299382716</v>
      </c>
      <c r="AJ64" s="25">
        <f>(AH64-AI64)*70%</f>
        <v>11916.346804896164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344.65322139764936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7.7724885147872666E-2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45213</v>
      </c>
      <c r="B69" s="21" t="s">
        <v>419</v>
      </c>
      <c r="C69" s="21" t="s">
        <v>574</v>
      </c>
      <c r="D69" s="44"/>
      <c r="E69" s="44" t="s">
        <v>652</v>
      </c>
      <c r="F69" s="21">
        <v>1</v>
      </c>
      <c r="G69" s="21"/>
      <c r="H69" s="22">
        <f>23480/50*F69</f>
        <v>469.6</v>
      </c>
      <c r="I69" s="33">
        <v>0.53</v>
      </c>
      <c r="J69" s="24">
        <f>IFERROR(K69/H69,"")</f>
        <v>0</v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>
        <v>225</v>
      </c>
      <c r="V69" s="25">
        <f>H69*U69*I69/15</f>
        <v>3733.32</v>
      </c>
      <c r="W69" s="25"/>
      <c r="X69" s="25">
        <v>0</v>
      </c>
      <c r="Y69" s="25">
        <f>IF(B69="FRANCISCO CAMACHO",((F69*42)+(G69*42)),IF(B69="DANILO VIANA",((F69*60)+(G69*60)),0))</f>
        <v>60</v>
      </c>
      <c r="Z69" s="25">
        <v>0</v>
      </c>
      <c r="AA69" s="25">
        <v>0</v>
      </c>
      <c r="AB69" s="25">
        <f>2250/100*F69</f>
        <v>22.5</v>
      </c>
      <c r="AC69" s="25">
        <f>38*F69</f>
        <v>38</v>
      </c>
      <c r="AD69" s="25">
        <f>IF(F69="",G69*4.11,F69*4.11)</f>
        <v>4.1100000000000003</v>
      </c>
      <c r="AE69" s="25">
        <v>0</v>
      </c>
      <c r="AF69" s="25">
        <f>V69+Y69+Z69+AA69+AB69+AC69+AD69</f>
        <v>3857.9300000000003</v>
      </c>
      <c r="AG69" s="25">
        <f>IFERROR(IFERROR((H69*W69*J69/15)-AE69,""),"")</f>
        <v>0</v>
      </c>
      <c r="AH69" s="26">
        <f>IFERROR(AG69-AF69,0)</f>
        <v>-3857.9300000000003</v>
      </c>
      <c r="AI69" s="6">
        <f>IF(F69="",(G69/$F$143)*$AL$28,(F69/$F$143)*$AL$28)</f>
        <v>-2.7621373456790121</v>
      </c>
      <c r="AJ69" s="25">
        <f>(AH69-AI69)*70%</f>
        <v>-2698.6175038580245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-3857.9300000000003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/>
      <c r="B74" s="21"/>
      <c r="C74" s="21"/>
      <c r="D74" s="44"/>
      <c r="E74" s="44"/>
      <c r="F74" s="21"/>
      <c r="G74" s="21"/>
      <c r="H74" s="22">
        <v>0</v>
      </c>
      <c r="I74" s="33">
        <v>0</v>
      </c>
      <c r="J74" s="24" t="str">
        <f>IFERROR(K74/H74,"")</f>
        <v/>
      </c>
      <c r="K74" s="22"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/>
      <c r="X74" s="25">
        <v>0</v>
      </c>
      <c r="Y74" s="25">
        <f>IF(B74="FRANCISCO CAMACHO",((F74*42)+(G74*42)),IF(B74="JOSE INACIO",((F74*60)+(G74*60)),0))</f>
        <v>0</v>
      </c>
      <c r="Z74" s="25">
        <v>0</v>
      </c>
      <c r="AA74" s="25">
        <v>0</v>
      </c>
      <c r="AB74" s="25">
        <v>0</v>
      </c>
      <c r="AC74" s="25">
        <v>0</v>
      </c>
      <c r="AD74" s="25">
        <f>IF(F74="",G74*4.11,F74*4.11)</f>
        <v>0</v>
      </c>
      <c r="AE74" s="25">
        <v>0</v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6">
        <f>IF(F74="",(G74/$F$143)*$AL$28,(F74/$F$143)*$AL$28)</f>
        <v>0</v>
      </c>
      <c r="AJ74" s="25">
        <f>(AH74-AI74)*70%</f>
        <v>0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22">
        <v>0</v>
      </c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/>
      <c r="X79" s="25">
        <v>0</v>
      </c>
      <c r="Y79" s="25">
        <f>IF(B79="FRANCISCO CAMACHO",((F79*42)+(G79*42)),IF(B79="JOSE INACIO",((F79*60)+(G79*60)),0))</f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v>0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6">
        <f>IF(F79="",(G79/$F$143)*$AL$28,(F79/$F$143)*$AL$28)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22">
        <v>0</v>
      </c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/>
      <c r="X84" s="25">
        <v>0</v>
      </c>
      <c r="Y84" s="25">
        <f>IF(B84="FRANCISCO CAMACHO",((F84*42)+(G84*42)),IF(B84="JOSE INACIO",((F84*60)+(G84*60)),0))</f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6">
        <f>IF(F84="",(G84/$F$143)*$AL$28,(F84/$F$143)*$AL$28)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2">
        <v>0</v>
      </c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/>
      <c r="X89" s="25">
        <v>0</v>
      </c>
      <c r="Y89" s="25">
        <f>IF(B89="FRANCISCO CAMACHO",((F89*42)+(G89*42)),IF(B89="JOSE INACIO",((F89*60)+(G89*60)),0))</f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6">
        <f>IF(F89="",(G89/$F$143)*$AL$28,(F89/$F$143)*$AL$28)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2">
        <v>0</v>
      </c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/>
      <c r="X94" s="25">
        <v>0</v>
      </c>
      <c r="Y94" s="25">
        <f>IF(B94="FRANCISCO CAMACHO",((F94*42)+(G94*42)),IF(B94="JOSE INACIO",((F94*60)+(G94*60)),0))</f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6">
        <f>IF(F94="",(G94/$F$143)*$AL$28,(F94/$F$143)*$AL$28)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2">
        <v>0</v>
      </c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/>
      <c r="X99" s="25">
        <v>0</v>
      </c>
      <c r="Y99" s="25">
        <f>IF(B99="FRANCISCO CAMACHO",((F99*42)+(G99*42)),IF(B99="JOSE INACIO",((F99*60)+(G99*60)),0))</f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6">
        <f>IF(F99="",(G99/$F$143)*$AL$28,(F99/$F$143)*$AL$28)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/>
      <c r="X104" s="25">
        <v>0</v>
      </c>
      <c r="Y104" s="25">
        <f>IF(B104="FRANCISCO CAMACHO",((F104*42)+(G104*42)),IF(B104="JOSE INACIO",((F104*60)+(G104*60)),0))</f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6">
        <f>IF(F104="",(G104/$F$143)*$AL$28,(F104/$F$143)*$AL$28)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2">
        <v>0</v>
      </c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/>
      <c r="X109" s="25">
        <v>0</v>
      </c>
      <c r="Y109" s="25">
        <f>IF(B109="FRANCISCO CAMACHO",((F109*42)+(G109*42)),IF(B109="JOSE INACIO",((F109*60)+(G109*60)),0))</f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6">
        <f>IF(F109="",(G109/$F$143)*$AL$28,(F109/$F$143)*$AL$28)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22">
        <v>0</v>
      </c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/>
      <c r="X114" s="25">
        <v>0</v>
      </c>
      <c r="Y114" s="25">
        <f>IF(B114="FRANCISCO CAMACHO",((F114*42)+(G114*42)),IF(B114="JOSE INACIO",((F114*60)+(G114*60)),0))</f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f>IF(F114="",G114*4.11,F114*4.11)</f>
        <v>0</v>
      </c>
      <c r="AE114" s="25">
        <v>0</v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6">
        <f>IF(F114="",(G114/$F$143)*$AL$28,(F114/$F$143)*$AL$28)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47"/>
      <c r="AJ117" s="47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B119" s="21"/>
      <c r="C119" s="21"/>
      <c r="D119" s="44"/>
      <c r="E119" s="44"/>
      <c r="F119" s="21"/>
      <c r="G119" s="21"/>
      <c r="H119" s="22">
        <v>0</v>
      </c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/>
      <c r="X119" s="25">
        <v>0</v>
      </c>
      <c r="Y119" s="25">
        <f>IF(B119="FRANCISCO CAMACHO",((F119*42)+(G119*42)),IF(B119="JOSE INACIO",((F119*60)+(G119*60)),0))</f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f>IF(F119="",G119*4.11,F119*4.11)</f>
        <v>0</v>
      </c>
      <c r="AE119" s="25">
        <v>0</v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6">
        <f>IF(F119="",(G119/$F$143)*$AL$28,(F119/$F$143)*$AL$28)</f>
        <v>0</v>
      </c>
      <c r="AJ119" s="25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x14ac:dyDescent="0.35">
      <c r="A124" s="20"/>
      <c r="B124" s="21"/>
      <c r="C124" s="21"/>
      <c r="D124" s="44"/>
      <c r="E124" s="44"/>
      <c r="F124" s="21"/>
      <c r="G124" s="21"/>
      <c r="H124" s="22">
        <v>0</v>
      </c>
      <c r="I124" s="33">
        <v>0</v>
      </c>
      <c r="J124" s="24" t="str">
        <f>IFERROR(K124/H124,"")</f>
        <v/>
      </c>
      <c r="K124" s="22">
        <v>0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/>
      <c r="X124" s="25">
        <v>0</v>
      </c>
      <c r="Y124" s="25">
        <f>IF(B124="FRANCISCO CAMACHO",((F124*42)+(G124*42)),IF(B124="JOSE INACIO",((F124*60)+(G124*60)),0))</f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f>IF(F124="",G124*4.11,F124*4.11)</f>
        <v>0</v>
      </c>
      <c r="AE124" s="25">
        <v>0</v>
      </c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6">
        <f>IF(F124="",(G124/$F$143)*$AL$28,(F124/$F$143)*$AL$28)</f>
        <v>0</v>
      </c>
      <c r="AJ124" s="25">
        <f>(AH124-AI124)*70%</f>
        <v>0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</row>
    <row r="128" spans="1:36" x14ac:dyDescent="0.35">
      <c r="A128" s="14" t="s">
        <v>1</v>
      </c>
      <c r="B128" s="14" t="s">
        <v>2</v>
      </c>
      <c r="C128" s="14" t="s">
        <v>110</v>
      </c>
      <c r="D128" s="14" t="s">
        <v>66</v>
      </c>
      <c r="E128" s="14" t="s">
        <v>638</v>
      </c>
      <c r="F128" s="14" t="s">
        <v>137</v>
      </c>
      <c r="G128" s="14" t="s">
        <v>138</v>
      </c>
      <c r="H128" s="14" t="s">
        <v>4</v>
      </c>
      <c r="I128" s="14" t="s">
        <v>5</v>
      </c>
      <c r="J128" s="14" t="s">
        <v>6</v>
      </c>
      <c r="K128" s="14" t="s">
        <v>7</v>
      </c>
      <c r="L128" s="14" t="s">
        <v>279</v>
      </c>
      <c r="M128" s="14" t="s">
        <v>280</v>
      </c>
      <c r="N128" s="14" t="s">
        <v>281</v>
      </c>
      <c r="O128" s="14" t="s">
        <v>282</v>
      </c>
      <c r="P128" s="14" t="s">
        <v>283</v>
      </c>
      <c r="Q128" s="14" t="s">
        <v>284</v>
      </c>
      <c r="R128" s="14" t="s">
        <v>904</v>
      </c>
      <c r="S128" s="14" t="s">
        <v>285</v>
      </c>
      <c r="T128" s="14" t="s">
        <v>289</v>
      </c>
      <c r="U128" s="14" t="s">
        <v>8</v>
      </c>
      <c r="V128" s="14" t="s">
        <v>9</v>
      </c>
      <c r="W128" s="14" t="s">
        <v>10</v>
      </c>
      <c r="X128" s="14" t="s">
        <v>100</v>
      </c>
      <c r="Y128" s="14" t="s">
        <v>106</v>
      </c>
      <c r="Z128" s="14" t="s">
        <v>12</v>
      </c>
      <c r="AA128" s="14" t="s">
        <v>258</v>
      </c>
      <c r="AB128" s="14" t="s">
        <v>13</v>
      </c>
      <c r="AC128" s="14" t="s">
        <v>74</v>
      </c>
      <c r="AD128" s="14" t="s">
        <v>21</v>
      </c>
      <c r="AE128" s="14" t="s">
        <v>14</v>
      </c>
      <c r="AF128" s="14" t="s">
        <v>15</v>
      </c>
      <c r="AG128" s="14" t="s">
        <v>16</v>
      </c>
      <c r="AH128" s="15" t="s">
        <v>17</v>
      </c>
      <c r="AI128" s="14" t="s">
        <v>679</v>
      </c>
      <c r="AJ128" s="14" t="s">
        <v>678</v>
      </c>
    </row>
    <row r="129" spans="1:36" x14ac:dyDescent="0.35">
      <c r="A129" s="20"/>
      <c r="B129" s="21"/>
      <c r="C129" s="21"/>
      <c r="D129" s="44"/>
      <c r="E129" s="44"/>
      <c r="F129" s="21"/>
      <c r="G129" s="21"/>
      <c r="H129" s="22">
        <v>0</v>
      </c>
      <c r="I129" s="33">
        <v>0</v>
      </c>
      <c r="J129" s="24" t="str">
        <f>IFERROR(K129/H129,"")</f>
        <v/>
      </c>
      <c r="K129" s="22">
        <v>0</v>
      </c>
      <c r="L129" s="21"/>
      <c r="M129" s="21"/>
      <c r="N129" s="21"/>
      <c r="O129" s="21"/>
      <c r="P129" s="21"/>
      <c r="Q129" s="21"/>
      <c r="R129" s="21"/>
      <c r="S129" s="21"/>
      <c r="T129" s="21"/>
      <c r="U129" s="25">
        <v>0</v>
      </c>
      <c r="V129" s="25">
        <f>H129*U129*I129/15</f>
        <v>0</v>
      </c>
      <c r="W129" s="25"/>
      <c r="X129" s="25">
        <v>0</v>
      </c>
      <c r="Y129" s="25">
        <f>IF(B129="FRANCISCO CAMACHO",((F129*42)+(G129*42)),IF(B129="JOSE INACIO",((F129*60)+(G129*60)),0))</f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f>IF(F129="",G129*4.11,F129*4.11)</f>
        <v>0</v>
      </c>
      <c r="AE129" s="25">
        <v>0</v>
      </c>
      <c r="AF129" s="25">
        <f>V129+Y129+Z129+AA129+AB129+AC129+AD129</f>
        <v>0</v>
      </c>
      <c r="AG129" s="25" t="str">
        <f>IFERROR(IFERROR((H129*W129*J129/15)-AE129,""),"")</f>
        <v/>
      </c>
      <c r="AH129" s="26">
        <f>IFERROR(AG129-AF129,0)</f>
        <v>0</v>
      </c>
      <c r="AI129" s="6">
        <f>IF(F129="",(G129/$F$143)*$AL$28,(F129/$F$143)*$AL$28)</f>
        <v>0</v>
      </c>
      <c r="AJ129" s="25">
        <f>(AH129-AI129)*70%</f>
        <v>0</v>
      </c>
    </row>
    <row r="130" spans="1:36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3"/>
      <c r="AA130" s="21"/>
      <c r="AB130" s="21"/>
      <c r="AC130" s="21"/>
      <c r="AD130" s="21"/>
      <c r="AE130" s="21"/>
      <c r="AF130" s="21"/>
      <c r="AG130" s="21"/>
      <c r="AH130" s="26">
        <f>IFERROR(AH129/F129,0)+IFERROR(AH129/G129,0)</f>
        <v>0</v>
      </c>
    </row>
    <row r="131" spans="1:36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7" t="str">
        <f>IFERROR(AH129/AG129,"")</f>
        <v/>
      </c>
    </row>
    <row r="132" spans="1:36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</row>
    <row r="133" spans="1:36" x14ac:dyDescent="0.35">
      <c r="A133" s="14" t="s">
        <v>1</v>
      </c>
      <c r="B133" s="14" t="s">
        <v>2</v>
      </c>
      <c r="C133" s="14" t="s">
        <v>110</v>
      </c>
      <c r="D133" s="14" t="s">
        <v>66</v>
      </c>
      <c r="E133" s="14" t="s">
        <v>638</v>
      </c>
      <c r="F133" s="14" t="s">
        <v>137</v>
      </c>
      <c r="G133" s="14" t="s">
        <v>138</v>
      </c>
      <c r="H133" s="14" t="s">
        <v>4</v>
      </c>
      <c r="I133" s="14" t="s">
        <v>5</v>
      </c>
      <c r="J133" s="14" t="s">
        <v>6</v>
      </c>
      <c r="K133" s="14" t="s">
        <v>7</v>
      </c>
      <c r="L133" s="14" t="s">
        <v>279</v>
      </c>
      <c r="M133" s="14" t="s">
        <v>280</v>
      </c>
      <c r="N133" s="14" t="s">
        <v>281</v>
      </c>
      <c r="O133" s="14" t="s">
        <v>282</v>
      </c>
      <c r="P133" s="14" t="s">
        <v>283</v>
      </c>
      <c r="Q133" s="14" t="s">
        <v>284</v>
      </c>
      <c r="R133" s="14" t="s">
        <v>904</v>
      </c>
      <c r="S133" s="14" t="s">
        <v>285</v>
      </c>
      <c r="T133" s="14" t="s">
        <v>289</v>
      </c>
      <c r="U133" s="14" t="s">
        <v>8</v>
      </c>
      <c r="V133" s="14" t="s">
        <v>9</v>
      </c>
      <c r="W133" s="14" t="s">
        <v>10</v>
      </c>
      <c r="X133" s="14" t="s">
        <v>100</v>
      </c>
      <c r="Y133" s="14" t="s">
        <v>106</v>
      </c>
      <c r="Z133" s="14" t="s">
        <v>12</v>
      </c>
      <c r="AA133" s="14" t="s">
        <v>258</v>
      </c>
      <c r="AB133" s="14" t="s">
        <v>13</v>
      </c>
      <c r="AC133" s="14" t="s">
        <v>74</v>
      </c>
      <c r="AD133" s="14" t="s">
        <v>21</v>
      </c>
      <c r="AE133" s="14" t="s">
        <v>14</v>
      </c>
      <c r="AF133" s="14" t="s">
        <v>15</v>
      </c>
      <c r="AG133" s="14" t="s">
        <v>16</v>
      </c>
      <c r="AH133" s="15" t="s">
        <v>17</v>
      </c>
      <c r="AI133" s="14" t="s">
        <v>679</v>
      </c>
      <c r="AJ133" s="14" t="s">
        <v>678</v>
      </c>
    </row>
    <row r="134" spans="1:36" x14ac:dyDescent="0.35">
      <c r="A134" s="20"/>
      <c r="B134" s="21"/>
      <c r="C134" s="21"/>
      <c r="D134" s="44"/>
      <c r="E134" s="44"/>
      <c r="F134" s="21"/>
      <c r="G134" s="21"/>
      <c r="H134" s="22">
        <v>0</v>
      </c>
      <c r="I134" s="33">
        <v>0</v>
      </c>
      <c r="J134" s="24" t="str">
        <f>IFERROR(K134/H134,"")</f>
        <v/>
      </c>
      <c r="K134" s="22">
        <v>0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5">
        <v>0</v>
      </c>
      <c r="V134" s="25">
        <f>H134*U134*I134/15</f>
        <v>0</v>
      </c>
      <c r="W134" s="25"/>
      <c r="X134" s="25">
        <v>0</v>
      </c>
      <c r="Y134" s="25">
        <f>IF(B134="FRANCISCO CAMACHO",((F134*42)+(G134*42)),IF(B134="JOSE INACIO",((F134*60)+(G134*60)),0))</f>
        <v>0</v>
      </c>
      <c r="Z134" s="25">
        <v>0</v>
      </c>
      <c r="AA134" s="25">
        <v>0</v>
      </c>
      <c r="AB134" s="25">
        <v>0</v>
      </c>
      <c r="AC134" s="25">
        <v>0</v>
      </c>
      <c r="AD134" s="25">
        <f>IF(F134="",G134*4.11,F134*4.11)</f>
        <v>0</v>
      </c>
      <c r="AE134" s="25">
        <v>0</v>
      </c>
      <c r="AF134" s="25">
        <f>V134+Y134+Z134+AA134+AB134+AC134+AD134</f>
        <v>0</v>
      </c>
      <c r="AG134" s="25" t="str">
        <f>IFERROR(IFERROR((H134*W134*J134/15)-AE134,""),"")</f>
        <v/>
      </c>
      <c r="AH134" s="26">
        <f>IFERROR(AG134-AF134,0)</f>
        <v>0</v>
      </c>
      <c r="AI134" s="6">
        <f>IF(F134="",(G134/$F$143)*$AL$28,(F134/$F$143)*$AL$28)</f>
        <v>0</v>
      </c>
      <c r="AJ134" s="25">
        <f>(AH134-AI134)*70%</f>
        <v>0</v>
      </c>
    </row>
    <row r="135" spans="1:36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3"/>
      <c r="AA135" s="21"/>
      <c r="AB135" s="21"/>
      <c r="AC135" s="21"/>
      <c r="AD135" s="21"/>
      <c r="AE135" s="21"/>
      <c r="AF135" s="21"/>
      <c r="AG135" s="21"/>
      <c r="AH135" s="26">
        <f>IFERROR(AH134/F134,0)+IFERROR(AH134/G134,0)</f>
        <v>0</v>
      </c>
    </row>
    <row r="136" spans="1:36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7" t="str">
        <f>IFERROR(AH134/AG134,"")</f>
        <v/>
      </c>
    </row>
    <row r="137" spans="1:36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47"/>
    </row>
    <row r="138" spans="1:36" x14ac:dyDescent="0.35">
      <c r="A138" s="14" t="s">
        <v>1</v>
      </c>
      <c r="B138" s="14" t="s">
        <v>2</v>
      </c>
      <c r="C138" s="14" t="s">
        <v>110</v>
      </c>
      <c r="D138" s="14" t="s">
        <v>66</v>
      </c>
      <c r="E138" s="14" t="s">
        <v>638</v>
      </c>
      <c r="F138" s="14" t="s">
        <v>137</v>
      </c>
      <c r="G138" s="14" t="s">
        <v>138</v>
      </c>
      <c r="H138" s="14" t="s">
        <v>4</v>
      </c>
      <c r="I138" s="14" t="s">
        <v>5</v>
      </c>
      <c r="J138" s="14" t="s">
        <v>6</v>
      </c>
      <c r="K138" s="14" t="s">
        <v>7</v>
      </c>
      <c r="L138" s="14" t="s">
        <v>279</v>
      </c>
      <c r="M138" s="14" t="s">
        <v>280</v>
      </c>
      <c r="N138" s="14" t="s">
        <v>281</v>
      </c>
      <c r="O138" s="14" t="s">
        <v>282</v>
      </c>
      <c r="P138" s="14" t="s">
        <v>283</v>
      </c>
      <c r="Q138" s="14" t="s">
        <v>284</v>
      </c>
      <c r="R138" s="14" t="s">
        <v>904</v>
      </c>
      <c r="S138" s="14" t="s">
        <v>285</v>
      </c>
      <c r="T138" s="14" t="s">
        <v>289</v>
      </c>
      <c r="U138" s="14" t="s">
        <v>8</v>
      </c>
      <c r="V138" s="14" t="s">
        <v>9</v>
      </c>
      <c r="W138" s="14" t="s">
        <v>10</v>
      </c>
      <c r="X138" s="14" t="s">
        <v>100</v>
      </c>
      <c r="Y138" s="14" t="s">
        <v>106</v>
      </c>
      <c r="Z138" s="14" t="s">
        <v>12</v>
      </c>
      <c r="AA138" s="14" t="s">
        <v>258</v>
      </c>
      <c r="AB138" s="14" t="s">
        <v>13</v>
      </c>
      <c r="AC138" s="14" t="s">
        <v>74</v>
      </c>
      <c r="AD138" s="14" t="s">
        <v>21</v>
      </c>
      <c r="AE138" s="14" t="s">
        <v>14</v>
      </c>
      <c r="AF138" s="14" t="s">
        <v>15</v>
      </c>
      <c r="AG138" s="14" t="s">
        <v>16</v>
      </c>
      <c r="AH138" s="15" t="s">
        <v>17</v>
      </c>
      <c r="AI138" s="14" t="s">
        <v>679</v>
      </c>
      <c r="AJ138" s="14" t="s">
        <v>678</v>
      </c>
    </row>
    <row r="139" spans="1:36" x14ac:dyDescent="0.35">
      <c r="A139" s="20"/>
      <c r="B139" s="21"/>
      <c r="C139" s="21"/>
      <c r="D139" s="44"/>
      <c r="E139" s="44"/>
      <c r="F139" s="21"/>
      <c r="G139" s="21"/>
      <c r="H139" s="22">
        <v>0</v>
      </c>
      <c r="I139" s="33">
        <v>0</v>
      </c>
      <c r="J139" s="24" t="str">
        <f>IFERROR(K139/H139,"")</f>
        <v/>
      </c>
      <c r="K139" s="22">
        <v>0</v>
      </c>
      <c r="L139" s="21"/>
      <c r="M139" s="21"/>
      <c r="N139" s="21"/>
      <c r="O139" s="21"/>
      <c r="P139" s="21"/>
      <c r="Q139" s="21"/>
      <c r="R139" s="21"/>
      <c r="S139" s="21"/>
      <c r="T139" s="21"/>
      <c r="U139" s="25">
        <v>0</v>
      </c>
      <c r="V139" s="25">
        <f>H139*U139*I139/15</f>
        <v>0</v>
      </c>
      <c r="W139" s="25"/>
      <c r="X139" s="25">
        <v>0</v>
      </c>
      <c r="Y139" s="25">
        <f>IF(B139="FRANCISCO CAMACHO",((F139*42)+(G139*42)),IF(B139="JOSE INACIO",((F139*60)+(G139*60)),0))</f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f>IF(F139="",G139*4.11,F139*4.11)</f>
        <v>0</v>
      </c>
      <c r="AE139" s="25">
        <v>0</v>
      </c>
      <c r="AF139" s="25">
        <f>V139+Y139+Z139+AA139+AB139+AC139+AD139</f>
        <v>0</v>
      </c>
      <c r="AG139" s="25" t="str">
        <f>IFERROR(IFERROR((H139*W139*J139/15)-AE139,""),"")</f>
        <v/>
      </c>
      <c r="AH139" s="26">
        <f>IFERROR(AG139-AF139,0)</f>
        <v>0</v>
      </c>
      <c r="AI139" s="6">
        <f>IF(F139="",(G139/$F$143)*$AL$28,(F139/$F$143)*$AL$28)</f>
        <v>0</v>
      </c>
      <c r="AJ139" s="25">
        <f>(AH139-AI139)*70%</f>
        <v>0</v>
      </c>
    </row>
    <row r="140" spans="1:36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3"/>
      <c r="AA140" s="21"/>
      <c r="AB140" s="21"/>
      <c r="AC140" s="21"/>
      <c r="AD140" s="21"/>
      <c r="AE140" s="21"/>
      <c r="AF140" s="21"/>
      <c r="AG140" s="21"/>
      <c r="AH140" s="26">
        <f>IFERROR(AH139/F139,0)+IFERROR(AH139/G139,0)</f>
        <v>0</v>
      </c>
    </row>
    <row r="141" spans="1:36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7" t="str">
        <f>IFERROR(AH139/AG139,"")</f>
        <v/>
      </c>
    </row>
    <row r="142" spans="1:36" ht="15" thickBot="1" x14ac:dyDescent="0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47"/>
      <c r="AI142" s="47"/>
      <c r="AJ142" s="47"/>
    </row>
    <row r="143" spans="1:36" ht="16" thickBot="1" x14ac:dyDescent="0.4">
      <c r="A143" s="377" t="s">
        <v>739</v>
      </c>
      <c r="B143" s="378"/>
      <c r="C143" s="378"/>
      <c r="D143" s="378"/>
      <c r="E143" s="378"/>
      <c r="F143" s="163">
        <f>SUM(F4:G139)</f>
        <v>1296</v>
      </c>
      <c r="G143" s="163"/>
      <c r="H143" s="30"/>
      <c r="I143" s="30"/>
      <c r="J143" s="30"/>
      <c r="K143" s="30"/>
      <c r="L143" s="46"/>
      <c r="M143" s="46"/>
      <c r="N143" s="46"/>
      <c r="O143" s="46"/>
      <c r="P143" s="46"/>
      <c r="Q143" s="46"/>
      <c r="R143" s="46"/>
      <c r="S143" s="46"/>
      <c r="T143" s="46"/>
      <c r="U143" s="30"/>
      <c r="V143" s="31">
        <f>SUM(V4:V142)</f>
        <v>5609035.7333333325</v>
      </c>
      <c r="W143" s="31"/>
      <c r="X143" s="31"/>
      <c r="Y143" s="31">
        <f t="shared" ref="Y143:AG143" si="0">SUM(Y4:Y142)</f>
        <v>49620</v>
      </c>
      <c r="Z143" s="31">
        <f t="shared" si="0"/>
        <v>476902.74199999997</v>
      </c>
      <c r="AA143" s="31">
        <f t="shared" si="0"/>
        <v>0</v>
      </c>
      <c r="AB143" s="31">
        <f t="shared" si="0"/>
        <v>32041</v>
      </c>
      <c r="AC143" s="31">
        <f t="shared" si="0"/>
        <v>1900</v>
      </c>
      <c r="AD143" s="31">
        <f t="shared" si="0"/>
        <v>5326.5600000000013</v>
      </c>
      <c r="AE143" s="31">
        <f t="shared" si="0"/>
        <v>12781.665000000001</v>
      </c>
      <c r="AF143" s="31">
        <f t="shared" si="0"/>
        <v>6174826.0353333335</v>
      </c>
      <c r="AG143" s="31">
        <f t="shared" si="0"/>
        <v>6349811.8613466676</v>
      </c>
      <c r="AH143" s="161">
        <f>AH4+AH9+AH14+AH19+AH24+AH29+AH34+AH39+AH44+AH49+AH54+AH59+AH64+AH69+AH74+AH79+AH84+AH89+AH94+AH99+AH104+AH109+AH114+AH119+AH124+AH129+AH134+AH139</f>
        <v>174985.82601333279</v>
      </c>
      <c r="AI143" s="165">
        <f>SUM(AI4:AI141)</f>
        <v>-3579.7299999999996</v>
      </c>
      <c r="AJ143" s="165">
        <f>SUM(AJ4:AJ141)</f>
        <v>124995.88920933293</v>
      </c>
    </row>
    <row r="145" spans="22:35" x14ac:dyDescent="0.35">
      <c r="V145" s="162">
        <v>3173324.9000000004</v>
      </c>
      <c r="AI145" s="25"/>
    </row>
  </sheetData>
  <mergeCells count="2">
    <mergeCell ref="U2:AC2"/>
    <mergeCell ref="A143:E14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45"/>
  <sheetViews>
    <sheetView zoomScale="85" zoomScaleNormal="85" workbookViewId="0">
      <pane xSplit="7" ySplit="3" topLeftCell="H4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19.179687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AF143</f>
        <v>5402016.6114000008</v>
      </c>
      <c r="AM3" s="164">
        <f>AH143-AI143</f>
        <v>163034.95892333242</v>
      </c>
    </row>
    <row r="4" spans="1:40" x14ac:dyDescent="0.35">
      <c r="A4" s="20">
        <v>45214</v>
      </c>
      <c r="B4" s="21" t="s">
        <v>632</v>
      </c>
      <c r="C4" s="21" t="s">
        <v>633</v>
      </c>
      <c r="D4" s="44">
        <v>1884912</v>
      </c>
      <c r="E4" s="44" t="s">
        <v>652</v>
      </c>
      <c r="F4" s="21">
        <v>99</v>
      </c>
      <c r="G4" s="21"/>
      <c r="H4" s="22">
        <f>60120/100*F4</f>
        <v>59518.8</v>
      </c>
      <c r="I4" s="33">
        <v>0.55000000000000004</v>
      </c>
      <c r="J4" s="24">
        <f>IFERROR(K4/H4,"")</f>
        <v>0.56499795022749111</v>
      </c>
      <c r="K4" s="22">
        <v>33628</v>
      </c>
      <c r="L4" s="21">
        <v>12</v>
      </c>
      <c r="M4" s="21">
        <v>43</v>
      </c>
      <c r="N4" s="21">
        <v>39</v>
      </c>
      <c r="O4" s="21">
        <v>4</v>
      </c>
      <c r="P4" s="21">
        <v>1</v>
      </c>
      <c r="Q4" s="21"/>
      <c r="R4" s="21"/>
      <c r="S4" s="21"/>
      <c r="T4" s="21"/>
      <c r="U4" s="25">
        <v>215</v>
      </c>
      <c r="V4" s="25">
        <f>H4*U4*I4/15</f>
        <v>469206.54000000004</v>
      </c>
      <c r="W4" s="25">
        <v>245.12</v>
      </c>
      <c r="X4" s="25">
        <f>1030067.78/198*F4</f>
        <v>515033.89</v>
      </c>
      <c r="Y4" s="25">
        <f>IF(B4="FRANCISCO CAMACHO",((F4*42)+(G4*42)),IF(B4="JOSE INACIO",((F4*60)+(G4*60)),0))</f>
        <v>4158</v>
      </c>
      <c r="Z4" s="25">
        <f>46090.2/100*F4</f>
        <v>45629.297999999995</v>
      </c>
      <c r="AA4" s="25">
        <v>0</v>
      </c>
      <c r="AB4" s="25">
        <f>2150/100*F4</f>
        <v>2128.5</v>
      </c>
      <c r="AC4" s="25">
        <v>0</v>
      </c>
      <c r="AD4" s="25">
        <f>IF(F4="",G4*4.11,F4*4.11)</f>
        <v>406.89000000000004</v>
      </c>
      <c r="AE4" s="25">
        <f>2060.13/198*F4</f>
        <v>1030.0650000000001</v>
      </c>
      <c r="AF4" s="25">
        <f>V4+Y4+Z4+AA4+AB4+AC4+AD4</f>
        <v>521529.22800000006</v>
      </c>
      <c r="AG4" s="25">
        <f>IFERROR(IFERROR((H4*W4*J4/15)-AE4,""),"")</f>
        <v>548496.2923333334</v>
      </c>
      <c r="AH4" s="26">
        <f>IFERROR(AG4-AF4,0)</f>
        <v>26967.064333333343</v>
      </c>
      <c r="AI4" s="25">
        <f>IF(F4="",(G4/$F$143)*$AL$28,(F4/$F$143)*$AL$28)</f>
        <v>169.59717925386721</v>
      </c>
      <c r="AJ4" s="25">
        <f>(AH4-AI4)*70%</f>
        <v>18758.227007855632</v>
      </c>
      <c r="AL4" s="166" t="s">
        <v>749</v>
      </c>
      <c r="AM4" s="167">
        <f>AM3/AL3</f>
        <v>3.0180388297821218E-2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272.3945892255893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4.9165445072771534E-2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45214</v>
      </c>
      <c r="B9" s="21" t="s">
        <v>632</v>
      </c>
      <c r="C9" s="21" t="s">
        <v>633</v>
      </c>
      <c r="D9" s="44">
        <v>1887375</v>
      </c>
      <c r="E9" s="44" t="s">
        <v>652</v>
      </c>
      <c r="F9" s="21">
        <v>1</v>
      </c>
      <c r="G9" s="21"/>
      <c r="H9" s="22">
        <f>60120/100*F9</f>
        <v>601.20000000000005</v>
      </c>
      <c r="I9" s="33">
        <v>0.55000000000000004</v>
      </c>
      <c r="J9" s="24">
        <f>IFERROR(K9/H9,"")</f>
        <v>0.50545575515635388</v>
      </c>
      <c r="K9" s="22">
        <f>60776/200*F9</f>
        <v>303.88</v>
      </c>
      <c r="L9" s="21">
        <v>1</v>
      </c>
      <c r="M9" s="21"/>
      <c r="N9" s="21"/>
      <c r="O9" s="21"/>
      <c r="P9" s="21"/>
      <c r="Q9" s="21"/>
      <c r="R9" s="21"/>
      <c r="S9" s="21"/>
      <c r="T9" s="21"/>
      <c r="U9" s="25">
        <v>215</v>
      </c>
      <c r="V9" s="25">
        <f>H9*U9*I9/15</f>
        <v>4739.4600000000009</v>
      </c>
      <c r="W9" s="25">
        <v>249.17</v>
      </c>
      <c r="X9" s="25">
        <f>1009566.63/200*F9</f>
        <v>5047.8331500000004</v>
      </c>
      <c r="Y9" s="25">
        <f>IF(B9="FRANCISCO CAMACHO",((F9*42)+(G9*42)),IF(B9="JOSE INACIO",((F9*60)+(G9*60)),0))</f>
        <v>42</v>
      </c>
      <c r="Z9" s="25">
        <f>46090.2/100*F9</f>
        <v>460.90199999999999</v>
      </c>
      <c r="AA9" s="25">
        <v>0</v>
      </c>
      <c r="AB9" s="25">
        <f>2150/100*F9</f>
        <v>21.5</v>
      </c>
      <c r="AC9" s="25">
        <v>0</v>
      </c>
      <c r="AD9" s="25">
        <f>IF(F9="",G9*4.11,F9*4.11)</f>
        <v>4.1100000000000003</v>
      </c>
      <c r="AE9" s="25">
        <f>2019.13/200*F9</f>
        <v>10.095650000000001</v>
      </c>
      <c r="AF9" s="25">
        <f>V9+Y9+Z9+AA9+AB9+AC9+AD9</f>
        <v>5267.9720000000007</v>
      </c>
      <c r="AG9" s="25">
        <f>IFERROR(IFERROR((H9*W9*J9/15)-AE9,""),"")</f>
        <v>5037.7563233333331</v>
      </c>
      <c r="AH9" s="26">
        <f>IFERROR(AG9-AF9,0)</f>
        <v>-230.2156766666676</v>
      </c>
      <c r="AI9" s="25">
        <f>IF(F9="",(G9/$F$143)*$AL$28,(F9/$F$143)*$AL$28)</f>
        <v>1.7131028207461336</v>
      </c>
      <c r="AJ9" s="25">
        <f>(AH9-AI9)*70%</f>
        <v>-162.35014564118961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-230.2156766666676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-4.5698057208598916E-2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45214</v>
      </c>
      <c r="B14" s="21" t="s">
        <v>419</v>
      </c>
      <c r="C14" s="21" t="s">
        <v>574</v>
      </c>
      <c r="D14" s="44">
        <v>1886063</v>
      </c>
      <c r="E14" s="44" t="s">
        <v>652</v>
      </c>
      <c r="F14" s="21">
        <v>50</v>
      </c>
      <c r="G14" s="21"/>
      <c r="H14" s="22">
        <v>23920</v>
      </c>
      <c r="I14" s="33">
        <v>0.53</v>
      </c>
      <c r="J14" s="24">
        <f>IFERROR(K14/H14,"")</f>
        <v>0.57418478260869565</v>
      </c>
      <c r="K14" s="22">
        <v>13734.5</v>
      </c>
      <c r="L14" s="21">
        <v>8</v>
      </c>
      <c r="M14" s="21">
        <v>24</v>
      </c>
      <c r="N14" s="21">
        <v>15</v>
      </c>
      <c r="O14" s="21">
        <v>3</v>
      </c>
      <c r="P14" s="21"/>
      <c r="Q14" s="21"/>
      <c r="R14" s="21"/>
      <c r="S14" s="21"/>
      <c r="T14" s="21"/>
      <c r="U14" s="25">
        <v>225</v>
      </c>
      <c r="V14" s="25">
        <f>H14*U14*I14/15</f>
        <v>190164</v>
      </c>
      <c r="W14" s="25">
        <v>247.25</v>
      </c>
      <c r="X14" s="25">
        <v>226388.63</v>
      </c>
      <c r="Y14" s="25">
        <f>IF(B14="FRANCISCO CAMACHO",((F14*42)+(G14*42)),IF(B14="DANILO VIANA",((F14*60)+(G14*60)),0))</f>
        <v>3000</v>
      </c>
      <c r="Z14" s="25">
        <f>(11226+11942.8)/100*F14</f>
        <v>11584.4</v>
      </c>
      <c r="AA14" s="25">
        <v>0</v>
      </c>
      <c r="AB14" s="25">
        <f>2250/100*F14</f>
        <v>1125</v>
      </c>
      <c r="AC14" s="25">
        <f>38*F14</f>
        <v>1900</v>
      </c>
      <c r="AD14" s="25">
        <f>IF(F14="",G14*4.11,F14*4.11)</f>
        <v>205.50000000000003</v>
      </c>
      <c r="AE14" s="25">
        <v>452.78</v>
      </c>
      <c r="AF14" s="25">
        <f>V14+Y14+Z14+AA14+AB14+AC14+AD14</f>
        <v>207978.9</v>
      </c>
      <c r="AG14" s="25">
        <f>IFERROR(IFERROR((H14*W14*J14/15)-AE14,""),"")</f>
        <v>225937.56166666668</v>
      </c>
      <c r="AH14" s="26">
        <f>IFERROR(AG14-AF14,0)</f>
        <v>17958.661666666681</v>
      </c>
      <c r="AI14" s="25">
        <f>IF(F14="",(G14/$F$143)*$AL$28,(F14/$F$143)*$AL$28)</f>
        <v>85.655141037306677</v>
      </c>
      <c r="AJ14" s="25">
        <f>(AH14-AI14)*70%</f>
        <v>12511.104567940562</v>
      </c>
      <c r="AL14" s="14">
        <f>F4+G4+F9+G9+F14+G14+F19+G19+F24+G24+F29+G29+F34+G34+F39+G39+F44+G44+F49+G49+F54+G54+F59+G59+F64+G64+F74+G74+F79+G79+F69+G69+F84+G84+F89+G89+F94+G94+F99+G99+F104+G104+F109+G109+F114+G114+F119+G119+F124+G124+F129+G129+F134+G134+F139+G139</f>
        <v>1099</v>
      </c>
      <c r="AM14" s="118" t="s">
        <v>22</v>
      </c>
      <c r="AN14" t="s">
        <v>71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5"/>
      <c r="W15" s="21"/>
      <c r="X15" s="25"/>
      <c r="Y15" s="21"/>
      <c r="Z15" s="3"/>
      <c r="AA15" s="21"/>
      <c r="AB15" s="21"/>
      <c r="AC15" s="21"/>
      <c r="AD15" s="21"/>
      <c r="AE15" s="21"/>
      <c r="AF15" s="25"/>
      <c r="AG15" s="21"/>
      <c r="AH15" s="26">
        <f>IFERROR(AH14/F14,0)+IFERROR(AH14/G14,0)</f>
        <v>359.17323333333366</v>
      </c>
      <c r="AL15" s="11">
        <f>AH143</f>
        <v>164917.65892333243</v>
      </c>
      <c r="AM15" s="11">
        <f>AL15*30%</f>
        <v>49475.297676999726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2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5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7.9485064520443488E-2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45215</v>
      </c>
      <c r="B19" s="21" t="s">
        <v>632</v>
      </c>
      <c r="C19" s="21" t="s">
        <v>633</v>
      </c>
      <c r="D19" s="44">
        <v>1884897</v>
      </c>
      <c r="E19" s="44" t="s">
        <v>652</v>
      </c>
      <c r="F19" s="21">
        <v>100</v>
      </c>
      <c r="G19" s="21"/>
      <c r="H19" s="22">
        <v>54520</v>
      </c>
      <c r="I19" s="33">
        <v>0.55000000000000004</v>
      </c>
      <c r="J19" s="24">
        <f>IFERROR(K19/H19,"")</f>
        <v>0.55036683785766694</v>
      </c>
      <c r="K19" s="22">
        <v>30006</v>
      </c>
      <c r="L19" s="21">
        <v>28</v>
      </c>
      <c r="M19" s="21">
        <v>44</v>
      </c>
      <c r="N19" s="21">
        <v>25</v>
      </c>
      <c r="O19" s="21">
        <v>3</v>
      </c>
      <c r="P19" s="21"/>
      <c r="Q19" s="21"/>
      <c r="R19" s="21"/>
      <c r="S19" s="21"/>
      <c r="T19" s="21"/>
      <c r="U19" s="25">
        <v>215</v>
      </c>
      <c r="V19" s="25">
        <f>H19*U19*I19/15</f>
        <v>429799.33333333337</v>
      </c>
      <c r="W19" s="25">
        <v>245.14</v>
      </c>
      <c r="X19" s="25">
        <f>1091306.68/200*F19</f>
        <v>545653.34</v>
      </c>
      <c r="Y19" s="25">
        <f>IF(B19="FRANCISCO CAMACHO",((F19*42)+(G19*42)),IF(B19="JOSE INACIO",((F19*60)+(G19*60)),0))</f>
        <v>4200</v>
      </c>
      <c r="Z19" s="25">
        <f>22995+22965.33</f>
        <v>45960.33</v>
      </c>
      <c r="AA19" s="25">
        <v>0</v>
      </c>
      <c r="AB19" s="25">
        <v>2150</v>
      </c>
      <c r="AC19" s="25">
        <v>0</v>
      </c>
      <c r="AD19" s="25">
        <f>IF(F19="",G19*4.11,F19*4.11)</f>
        <v>411.00000000000006</v>
      </c>
      <c r="AE19" s="25">
        <f>2182.61/200*F19</f>
        <v>1091.3050000000001</v>
      </c>
      <c r="AF19" s="25">
        <f>V19+Y19+Z19+AA19+AB19+AC19+AD19</f>
        <v>482520.66333333339</v>
      </c>
      <c r="AG19" s="25">
        <f>IFERROR(IFERROR((H19*W19*J19/15)-AE19,""),"")</f>
        <v>489286.75099999999</v>
      </c>
      <c r="AH19" s="26">
        <f>IFERROR(AG19-AF19,0)</f>
        <v>6766.0876666666009</v>
      </c>
      <c r="AI19" s="25">
        <f>IF(F19="",(G19/$F$143)*$AL$28,(F19/$F$143)*$AL$28)</f>
        <v>171.31028207461335</v>
      </c>
      <c r="AJ19" s="25">
        <f>(AH19-AI19)*70%</f>
        <v>4616.3441692143906</v>
      </c>
      <c r="AL19" s="178">
        <v>696.63</v>
      </c>
      <c r="AM19" s="6" t="s">
        <v>767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5"/>
      <c r="AC20" s="21"/>
      <c r="AD20" s="21"/>
      <c r="AE20" s="21"/>
      <c r="AF20" s="21"/>
      <c r="AG20" s="21"/>
      <c r="AH20" s="26">
        <f>IFERROR(AH19/F19,0)+IFERROR(AH19/G19,0)</f>
        <v>67.660876666666013</v>
      </c>
      <c r="AL20" s="178">
        <v>696.63</v>
      </c>
      <c r="AM20" s="6" t="s">
        <v>767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1.3828471040423902E-2</v>
      </c>
      <c r="AL21" s="178">
        <v>3403</v>
      </c>
      <c r="AM21" s="6" t="s">
        <v>768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866.44</v>
      </c>
      <c r="AM22" s="6" t="s">
        <v>720</v>
      </c>
      <c r="AN22" s="174"/>
    </row>
    <row r="23" spans="1:40" x14ac:dyDescent="0.35">
      <c r="A23" s="37" t="s">
        <v>1</v>
      </c>
      <c r="B23" s="37" t="s">
        <v>2</v>
      </c>
      <c r="C23" s="37" t="s">
        <v>110</v>
      </c>
      <c r="D23" s="37" t="s">
        <v>66</v>
      </c>
      <c r="E23" s="37" t="s">
        <v>638</v>
      </c>
      <c r="F23" s="37" t="s">
        <v>137</v>
      </c>
      <c r="G23" s="37" t="s">
        <v>138</v>
      </c>
      <c r="H23" s="37" t="s">
        <v>4</v>
      </c>
      <c r="I23" s="37" t="s">
        <v>5</v>
      </c>
      <c r="J23" s="37" t="s">
        <v>6</v>
      </c>
      <c r="K23" s="37" t="s">
        <v>7</v>
      </c>
      <c r="L23" s="37" t="s">
        <v>279</v>
      </c>
      <c r="M23" s="37" t="s">
        <v>280</v>
      </c>
      <c r="N23" s="37" t="s">
        <v>281</v>
      </c>
      <c r="O23" s="37" t="s">
        <v>282</v>
      </c>
      <c r="P23" s="37" t="s">
        <v>283</v>
      </c>
      <c r="Q23" s="37" t="s">
        <v>284</v>
      </c>
      <c r="R23" s="37" t="s">
        <v>904</v>
      </c>
      <c r="S23" s="37" t="s">
        <v>285</v>
      </c>
      <c r="T23" s="37" t="s">
        <v>289</v>
      </c>
      <c r="U23" s="37" t="s">
        <v>8</v>
      </c>
      <c r="V23" s="37" t="s">
        <v>9</v>
      </c>
      <c r="W23" s="37" t="s">
        <v>10</v>
      </c>
      <c r="X23" s="37" t="s">
        <v>100</v>
      </c>
      <c r="Y23" s="37" t="s">
        <v>106</v>
      </c>
      <c r="Z23" s="37" t="s">
        <v>12</v>
      </c>
      <c r="AA23" s="37" t="s">
        <v>258</v>
      </c>
      <c r="AB23" s="37" t="s">
        <v>13</v>
      </c>
      <c r="AC23" s="37" t="s">
        <v>74</v>
      </c>
      <c r="AD23" s="37" t="s">
        <v>21</v>
      </c>
      <c r="AE23" s="37" t="s">
        <v>14</v>
      </c>
      <c r="AF23" s="37" t="s">
        <v>15</v>
      </c>
      <c r="AG23" s="37" t="s">
        <v>16</v>
      </c>
      <c r="AH23" s="15" t="s">
        <v>17</v>
      </c>
      <c r="AI23" s="14" t="s">
        <v>679</v>
      </c>
      <c r="AJ23" s="14" t="s">
        <v>678</v>
      </c>
      <c r="AL23" s="178">
        <v>220</v>
      </c>
      <c r="AM23" s="6" t="s">
        <v>728</v>
      </c>
      <c r="AN23" s="174"/>
    </row>
    <row r="24" spans="1:40" x14ac:dyDescent="0.35">
      <c r="A24" s="38">
        <v>45215</v>
      </c>
      <c r="B24" s="39" t="s">
        <v>632</v>
      </c>
      <c r="C24" s="39" t="s">
        <v>763</v>
      </c>
      <c r="D24" s="45">
        <v>1884897</v>
      </c>
      <c r="E24" s="45" t="s">
        <v>652</v>
      </c>
      <c r="F24" s="39">
        <v>100</v>
      </c>
      <c r="G24" s="39"/>
      <c r="H24" s="40">
        <v>65920</v>
      </c>
      <c r="I24" s="53">
        <v>0.55000000000000004</v>
      </c>
      <c r="J24" s="42">
        <f>IFERROR(K24/H24,"")</f>
        <v>0.55779733009708743</v>
      </c>
      <c r="K24" s="40">
        <v>36770</v>
      </c>
      <c r="L24" s="39">
        <v>53</v>
      </c>
      <c r="M24" s="39">
        <v>44</v>
      </c>
      <c r="N24" s="39">
        <v>3</v>
      </c>
      <c r="O24" s="39"/>
      <c r="P24" s="39"/>
      <c r="Q24" s="39"/>
      <c r="R24" s="39"/>
      <c r="S24" s="39"/>
      <c r="T24" s="39"/>
      <c r="U24" s="43">
        <v>215</v>
      </c>
      <c r="V24" s="43">
        <f>H24*U24*I24/15</f>
        <v>519669.33333333337</v>
      </c>
      <c r="W24" s="43">
        <v>245.14</v>
      </c>
      <c r="X24" s="43">
        <f>1091306.68/200*F24</f>
        <v>545653.34</v>
      </c>
      <c r="Y24" s="43">
        <f>IF(B24="FRANCISCO CAMACHO",((F24*42)+(G24*42)),IF(B24="JOSE INACIO",((F24*60)+(G24*60)),0))</f>
        <v>4200</v>
      </c>
      <c r="Z24" s="43">
        <v>47308</v>
      </c>
      <c r="AA24" s="43">
        <v>0</v>
      </c>
      <c r="AB24" s="43">
        <v>2150</v>
      </c>
      <c r="AC24" s="43">
        <v>0</v>
      </c>
      <c r="AD24" s="43">
        <f>IF(F24="",G24*4.11,F24*4.11)</f>
        <v>411.00000000000006</v>
      </c>
      <c r="AE24" s="43">
        <f>2182.61/200*F24</f>
        <v>1091.3050000000001</v>
      </c>
      <c r="AF24" s="43">
        <f>V24+Y24+Z24+AA24+AB24+AC24+AD24</f>
        <v>573738.33333333337</v>
      </c>
      <c r="AG24" s="43">
        <f>IFERROR(IFERROR((H24*W24*J24/15)-AE24,""),"")</f>
        <v>599828.54833333334</v>
      </c>
      <c r="AH24" s="26">
        <f>IFERROR(AG24-AF24,0)</f>
        <v>26090.214999999967</v>
      </c>
      <c r="AI24" s="25">
        <f>IF(F24="",(G24/$F$143)*$AL$28,(F24/$F$143)*$AL$28)</f>
        <v>171.31028207461335</v>
      </c>
      <c r="AJ24" s="25">
        <f>(AH24-AI24)*70%</f>
        <v>18143.233302547746</v>
      </c>
      <c r="AL24" s="178">
        <v>-4000</v>
      </c>
      <c r="AM24" s="6" t="s">
        <v>781</v>
      </c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2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260.90214999999966</v>
      </c>
      <c r="AL25" s="178"/>
      <c r="AM25" s="6"/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4.3496120804008914E-2</v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3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4">
        <f>SUM(AL19:AL27)</f>
        <v>1882.7000000000007</v>
      </c>
      <c r="AM28" s="189" t="s">
        <v>673</v>
      </c>
      <c r="AN28" s="191"/>
    </row>
    <row r="29" spans="1:40" x14ac:dyDescent="0.35">
      <c r="A29" s="20">
        <v>45216</v>
      </c>
      <c r="B29" s="21" t="s">
        <v>632</v>
      </c>
      <c r="C29" s="21" t="s">
        <v>738</v>
      </c>
      <c r="D29" s="44">
        <v>1884914</v>
      </c>
      <c r="E29" s="44" t="s">
        <v>652</v>
      </c>
      <c r="F29" s="21">
        <v>100</v>
      </c>
      <c r="G29" s="21"/>
      <c r="H29" s="22">
        <v>54560</v>
      </c>
      <c r="I29" s="33">
        <v>0.55000000000000004</v>
      </c>
      <c r="J29" s="24">
        <f>IFERROR(K29/H29,"")</f>
        <v>0.55992485337243403</v>
      </c>
      <c r="K29" s="22">
        <v>30549.5</v>
      </c>
      <c r="L29" s="21">
        <v>47</v>
      </c>
      <c r="M29" s="21">
        <v>45</v>
      </c>
      <c r="N29" s="21">
        <v>5</v>
      </c>
      <c r="O29" s="21">
        <v>2</v>
      </c>
      <c r="P29" s="21">
        <v>1</v>
      </c>
      <c r="Q29" s="21"/>
      <c r="R29" s="21"/>
      <c r="S29" s="21"/>
      <c r="T29" s="21"/>
      <c r="U29" s="25">
        <v>215</v>
      </c>
      <c r="V29" s="25">
        <f>H29*U29*I29/15</f>
        <v>430114.66666666674</v>
      </c>
      <c r="W29" s="25">
        <v>246.23</v>
      </c>
      <c r="X29" s="25">
        <f>997184.27/200*F29</f>
        <v>498592.13500000007</v>
      </c>
      <c r="Y29" s="25">
        <f>IF(B29="FRANCISCO CAMACHO",((F29*42)+(G29*42)),IF(B29="JOSE INACIO",((F29*60)+(G29*60)),0))</f>
        <v>4200</v>
      </c>
      <c r="Z29" s="25">
        <f>21387.32+21766.96</f>
        <v>43154.28</v>
      </c>
      <c r="AA29" s="25">
        <v>0</v>
      </c>
      <c r="AB29" s="25">
        <v>2150</v>
      </c>
      <c r="AC29" s="25">
        <v>0</v>
      </c>
      <c r="AD29" s="25">
        <f>IF(F29="",G29*4.11,F29*4.11)</f>
        <v>411.00000000000006</v>
      </c>
      <c r="AE29" s="25">
        <f>1994.37/200*F29</f>
        <v>997.18499999999995</v>
      </c>
      <c r="AF29" s="25">
        <f>V29+Y29+Z29+AA29+AB29+AC29+AD29</f>
        <v>480029.94666666677</v>
      </c>
      <c r="AG29" s="25">
        <f>IFERROR(IFERROR((H29*W29*J29/15)-AE29,""),"")</f>
        <v>500483.04066666664</v>
      </c>
      <c r="AH29" s="26">
        <f>IFERROR(AG29-AF29,0)</f>
        <v>20453.093999999866</v>
      </c>
      <c r="AI29" s="25">
        <f>IF(F29="",(G29/$F$143)*$AL$28,(F29/$F$143)*$AL$28)</f>
        <v>171.31028207461335</v>
      </c>
      <c r="AJ29" s="25">
        <f>(AH29-AI29)*70%</f>
        <v>14197.248602547676</v>
      </c>
      <c r="AL29" s="57"/>
      <c r="AM29" s="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2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204.53093999999865</v>
      </c>
      <c r="AL30" s="57"/>
      <c r="AM30" s="118" t="s">
        <v>22</v>
      </c>
      <c r="AN30" s="12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4.0866707436790259E-2</v>
      </c>
      <c r="AL31" s="247">
        <f>AL15-AL28</f>
        <v>163034.95892333242</v>
      </c>
      <c r="AM31" s="248">
        <f>AL31*30%</f>
        <v>48910.487676999728</v>
      </c>
      <c r="AN31" s="12" t="s">
        <v>785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3"/>
      <c r="AA32" s="21"/>
      <c r="AB32" s="21"/>
      <c r="AC32" s="21"/>
      <c r="AD32" s="21"/>
      <c r="AE32" s="21"/>
      <c r="AF32" s="21"/>
      <c r="AG32" s="21"/>
      <c r="AH32" s="24"/>
      <c r="AL32" s="57"/>
      <c r="AM32" s="249"/>
      <c r="AN32" s="246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7"/>
      <c r="AM33" s="248"/>
      <c r="AN33" s="1"/>
    </row>
    <row r="34" spans="1:40" x14ac:dyDescent="0.35">
      <c r="A34" s="20">
        <v>45216</v>
      </c>
      <c r="B34" s="21" t="s">
        <v>632</v>
      </c>
      <c r="C34" s="21" t="s">
        <v>676</v>
      </c>
      <c r="D34" s="44">
        <v>1884914</v>
      </c>
      <c r="E34" s="44" t="s">
        <v>652</v>
      </c>
      <c r="F34" s="21">
        <v>100</v>
      </c>
      <c r="G34" s="21"/>
      <c r="H34" s="22">
        <v>54230</v>
      </c>
      <c r="I34" s="33">
        <v>0.55000000000000004</v>
      </c>
      <c r="J34" s="24">
        <f>IFERROR(K34/H34,"")</f>
        <v>0.55683201180158581</v>
      </c>
      <c r="K34" s="22">
        <v>30197</v>
      </c>
      <c r="L34" s="21">
        <v>71</v>
      </c>
      <c r="M34" s="21">
        <v>26</v>
      </c>
      <c r="N34" s="21">
        <v>3</v>
      </c>
      <c r="O34" s="21"/>
      <c r="P34" s="21"/>
      <c r="Q34" s="21"/>
      <c r="R34" s="21"/>
      <c r="S34" s="21"/>
      <c r="T34" s="21"/>
      <c r="U34" s="25">
        <v>215</v>
      </c>
      <c r="V34" s="25">
        <f>H34*U34*I34/15</f>
        <v>427513.16666666674</v>
      </c>
      <c r="W34" s="25">
        <v>246.23</v>
      </c>
      <c r="X34" s="25">
        <f>997184.27/200*F34</f>
        <v>498592.13500000007</v>
      </c>
      <c r="Y34" s="25">
        <f>IF(B34="FRANCISCO CAMACHO",((F34*42)+(G34*42)),IF(B34="JOSE INACIO",((F34*60)+(G34*60)),0))</f>
        <v>4200</v>
      </c>
      <c r="Z34" s="25">
        <v>45457.56</v>
      </c>
      <c r="AA34" s="25">
        <v>0</v>
      </c>
      <c r="AB34" s="25">
        <v>2150</v>
      </c>
      <c r="AC34" s="25">
        <v>0</v>
      </c>
      <c r="AD34" s="25">
        <f>IF(F34="",G34*4.11,F34*4.11)</f>
        <v>411.00000000000006</v>
      </c>
      <c r="AE34" s="25">
        <f>1994.37/200*F34</f>
        <v>997.18499999999995</v>
      </c>
      <c r="AF34" s="25">
        <f>V34+Y34+Z34+AA34+AB34+AC34+AD34</f>
        <v>479731.72666666674</v>
      </c>
      <c r="AG34" s="25">
        <f>IFERROR(IFERROR((H34*W34*J34/15)-AE34,""),"")</f>
        <v>494696.63566666667</v>
      </c>
      <c r="AH34" s="26">
        <f>IFERROR(AG34-AF34,0)</f>
        <v>14964.908999999927</v>
      </c>
      <c r="AI34" s="25">
        <f>IF(F34="",(G34/$F$143)*$AL$28,(F34/$F$143)*$AL$28)</f>
        <v>171.31028207461335</v>
      </c>
      <c r="AJ34" s="25">
        <f>(AH34-AI34)*70%</f>
        <v>10355.519102547718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149.64908999999926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3.0250678741392305E-2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45217</v>
      </c>
      <c r="B39" s="21" t="s">
        <v>632</v>
      </c>
      <c r="C39" s="21" t="s">
        <v>747</v>
      </c>
      <c r="D39" s="44">
        <v>1884915</v>
      </c>
      <c r="E39" s="44" t="s">
        <v>652</v>
      </c>
      <c r="F39" s="21">
        <v>50</v>
      </c>
      <c r="G39" s="21"/>
      <c r="H39" s="22">
        <v>27546</v>
      </c>
      <c r="I39" s="33">
        <v>0.55000000000000004</v>
      </c>
      <c r="J39" s="24">
        <f>IFERROR(K39/H39,"")</f>
        <v>0.5452697306323967</v>
      </c>
      <c r="K39" s="22">
        <v>15020</v>
      </c>
      <c r="L39" s="21">
        <v>15</v>
      </c>
      <c r="M39" s="21">
        <v>25</v>
      </c>
      <c r="N39" s="21">
        <v>10</v>
      </c>
      <c r="O39" s="21"/>
      <c r="P39" s="21"/>
      <c r="Q39" s="21"/>
      <c r="R39" s="21"/>
      <c r="S39" s="21"/>
      <c r="T39" s="21"/>
      <c r="U39" s="25">
        <v>210</v>
      </c>
      <c r="V39" s="25">
        <f>H39*U39*I39/15</f>
        <v>212104.20000000004</v>
      </c>
      <c r="W39" s="25">
        <v>249.22</v>
      </c>
      <c r="X39" s="25">
        <f>974787.63/200*F39</f>
        <v>243696.9075</v>
      </c>
      <c r="Y39" s="25">
        <f>IF(B39="FRANCISCO CAMACHO",((F39*42)+(G39*42)),IF(B39="JOSE INACIO",((F39*60)+(G39*60)),0))</f>
        <v>2100</v>
      </c>
      <c r="Z39" s="25">
        <v>25569.1</v>
      </c>
      <c r="AA39" s="25">
        <v>0</v>
      </c>
      <c r="AB39" s="25">
        <v>1050</v>
      </c>
      <c r="AC39" s="25">
        <v>0</v>
      </c>
      <c r="AD39" s="25">
        <f>IF(F39="",G39*4.11,F39*4.11)</f>
        <v>205.50000000000003</v>
      </c>
      <c r="AE39" s="25">
        <f>1949.58/200*F39</f>
        <v>487.39499999999998</v>
      </c>
      <c r="AF39" s="25">
        <f>V39+Y39+Z39+AA39+AB39+AC39+AD39</f>
        <v>241028.80000000005</v>
      </c>
      <c r="AG39" s="25">
        <f>IFERROR(IFERROR((H39*W39*J39/15)-AE39,""),"")</f>
        <v>249064.89833333335</v>
      </c>
      <c r="AH39" s="26">
        <f>IFERROR(AG39-AF39,0)</f>
        <v>8036.0983333332988</v>
      </c>
      <c r="AI39" s="25">
        <f>IF(F39="",(G39/$F$143)*$AL$28,(F39/$F$143)*$AL$28)</f>
        <v>85.655141037306677</v>
      </c>
      <c r="AJ39" s="25">
        <f>(AH39-AI39)*70%</f>
        <v>5565.3102346071937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160.72196666666596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3.2265077845607421E-2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45217</v>
      </c>
      <c r="B44" s="21" t="s">
        <v>632</v>
      </c>
      <c r="C44" s="21" t="s">
        <v>738</v>
      </c>
      <c r="D44" s="44">
        <v>1884915</v>
      </c>
      <c r="E44" s="44" t="s">
        <v>652</v>
      </c>
      <c r="F44" s="21">
        <v>150</v>
      </c>
      <c r="G44" s="21"/>
      <c r="H44" s="22">
        <v>76120</v>
      </c>
      <c r="I44" s="33">
        <v>0.55000000000000004</v>
      </c>
      <c r="J44" s="24">
        <f>IFERROR(K44/H44,"")</f>
        <v>0.57343011035207569</v>
      </c>
      <c r="K44" s="22">
        <v>43649.5</v>
      </c>
      <c r="L44" s="21">
        <v>74</v>
      </c>
      <c r="M44" s="21">
        <v>64</v>
      </c>
      <c r="N44" s="21">
        <v>11</v>
      </c>
      <c r="O44" s="21">
        <v>1</v>
      </c>
      <c r="P44" s="21"/>
      <c r="Q44" s="21"/>
      <c r="R44" s="21"/>
      <c r="S44" s="21"/>
      <c r="T44" s="21"/>
      <c r="U44" s="25">
        <v>215</v>
      </c>
      <c r="V44" s="25">
        <f>H44*U44*I44/15</f>
        <v>600079.33333333337</v>
      </c>
      <c r="W44" s="25">
        <v>249.22</v>
      </c>
      <c r="X44" s="25">
        <f>974787.63/200*F44</f>
        <v>731090.72250000003</v>
      </c>
      <c r="Y44" s="25">
        <f>IF(B44="FRANCISCO CAMACHO",((F44*42)+(G44*42)),IF(B44="JOSE INACIO",((F44*60)+(G44*60)),0))</f>
        <v>6300</v>
      </c>
      <c r="Z44" s="25">
        <f>21584.36+43269.2</f>
        <v>64853.56</v>
      </c>
      <c r="AA44" s="25">
        <v>0</v>
      </c>
      <c r="AB44" s="25">
        <v>3225</v>
      </c>
      <c r="AC44" s="25">
        <v>0</v>
      </c>
      <c r="AD44" s="25">
        <f>IF(F44="",G44*4.11,F44*4.11)</f>
        <v>616.5</v>
      </c>
      <c r="AE44" s="25">
        <f>1949.58/200*F44</f>
        <v>1462.1849999999999</v>
      </c>
      <c r="AF44" s="25">
        <f>V44+Y44+Z44+AA44+AB44+AC44+AD44</f>
        <v>675074.39333333331</v>
      </c>
      <c r="AG44" s="25">
        <f>IFERROR(IFERROR((H44*W44*J44/15)-AE44,""),"")</f>
        <v>723759.70766666648</v>
      </c>
      <c r="AH44" s="26">
        <f>IFERROR(AG44-AF44,0)</f>
        <v>48685.314333333168</v>
      </c>
      <c r="AI44" s="25">
        <f>IF(F44="",(G44/$F$143)*$AL$28,(F44/$F$143)*$AL$28)</f>
        <v>256.96542311192002</v>
      </c>
      <c r="AJ44" s="25">
        <f>(AH44-AI44)*70%</f>
        <v>33899.844237154874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324.5687622222211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6.7267234991970001E-2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45219</v>
      </c>
      <c r="B49" s="21" t="s">
        <v>632</v>
      </c>
      <c r="C49" s="21" t="s">
        <v>747</v>
      </c>
      <c r="D49" s="44">
        <v>1884922</v>
      </c>
      <c r="E49" s="44" t="s">
        <v>652</v>
      </c>
      <c r="F49" s="21">
        <v>50</v>
      </c>
      <c r="G49" s="21"/>
      <c r="H49" s="22">
        <f>54066/100*F49</f>
        <v>27033</v>
      </c>
      <c r="I49" s="33">
        <v>0.55000000000000004</v>
      </c>
      <c r="J49" s="24">
        <f>IFERROR(K49/H49,"")</f>
        <v>0.53502509278782717</v>
      </c>
      <c r="K49" s="22">
        <f>43390/150*F49</f>
        <v>14463.333333333332</v>
      </c>
      <c r="L49" s="21">
        <v>11</v>
      </c>
      <c r="M49" s="21">
        <v>37</v>
      </c>
      <c r="N49" s="21">
        <v>2</v>
      </c>
      <c r="O49" s="21"/>
      <c r="P49" s="21"/>
      <c r="Q49" s="21"/>
      <c r="R49" s="21"/>
      <c r="S49" s="21"/>
      <c r="T49" s="21"/>
      <c r="U49" s="25">
        <v>210</v>
      </c>
      <c r="V49" s="25">
        <f>H49*U49*I49/15</f>
        <v>208154.10000000003</v>
      </c>
      <c r="W49" s="25">
        <v>242.95</v>
      </c>
      <c r="X49" s="25">
        <f>702771.97/150*F49</f>
        <v>234257.3233333333</v>
      </c>
      <c r="Y49" s="25">
        <f>IF(B49="FRANCISCO CAMACHO",((F49*42)+(G49*42)),IF(B49="JOSE INACIO",((F49*60)+(G49*60)),0))</f>
        <v>2100</v>
      </c>
      <c r="Z49" s="25">
        <f>(25647.53+25495.43)/100*F49</f>
        <v>25571.48</v>
      </c>
      <c r="AA49" s="25">
        <v>0</v>
      </c>
      <c r="AB49" s="25">
        <v>0</v>
      </c>
      <c r="AC49" s="25">
        <v>0</v>
      </c>
      <c r="AD49" s="25">
        <f>IF(F49="",G49*4.11,F49*4.11)</f>
        <v>205.50000000000003</v>
      </c>
      <c r="AE49" s="25">
        <f>1405.54/150*F49</f>
        <v>468.51333333333332</v>
      </c>
      <c r="AF49" s="25">
        <f>V49+Y49+Z49+AA49+AB49+AC49+AD49</f>
        <v>236031.08000000005</v>
      </c>
      <c r="AG49" s="25">
        <f>IFERROR(IFERROR((H49*W49*J49/15)-AE49,""),"")</f>
        <v>233789.27555555553</v>
      </c>
      <c r="AH49" s="26">
        <f>IFERROR(AG49-AF49,0)</f>
        <v>-2241.8044444445113</v>
      </c>
      <c r="AI49" s="25">
        <f>IF(F49="",(G49/$F$143)*$AL$28,(F49/$F$143)*$AL$28)</f>
        <v>85.655141037306677</v>
      </c>
      <c r="AJ49" s="25">
        <f>(AH49-AI49)*70%</f>
        <v>-1629.2217098372726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-44.836088888890224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-9.588996069718303E-3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L52" s="6"/>
      <c r="AM52" s="6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45219</v>
      </c>
      <c r="B54" s="21" t="s">
        <v>632</v>
      </c>
      <c r="C54" s="21" t="s">
        <v>747</v>
      </c>
      <c r="D54" s="44">
        <v>1886065</v>
      </c>
      <c r="E54" s="44" t="s">
        <v>652</v>
      </c>
      <c r="F54" s="21">
        <v>50</v>
      </c>
      <c r="G54" s="21"/>
      <c r="H54" s="22">
        <f>54066/100*F54</f>
        <v>27033</v>
      </c>
      <c r="I54" s="33">
        <v>0.55000000000000004</v>
      </c>
      <c r="J54" s="24">
        <f>IFERROR(K54/H54,"")</f>
        <v>0.52987089853142455</v>
      </c>
      <c r="K54" s="22">
        <v>14324</v>
      </c>
      <c r="L54" s="21">
        <v>12</v>
      </c>
      <c r="M54" s="21">
        <v>34</v>
      </c>
      <c r="N54" s="21">
        <v>4</v>
      </c>
      <c r="O54" s="21"/>
      <c r="P54" s="21"/>
      <c r="Q54" s="21"/>
      <c r="R54" s="21"/>
      <c r="S54" s="21"/>
      <c r="T54" s="21"/>
      <c r="U54" s="25">
        <v>210</v>
      </c>
      <c r="V54" s="25">
        <f>H54*U54*I54/15</f>
        <v>208154.10000000003</v>
      </c>
      <c r="W54" s="25">
        <v>244.15</v>
      </c>
      <c r="X54" s="25">
        <f>1031029.92/197*F54</f>
        <v>261682.72081218276</v>
      </c>
      <c r="Y54" s="25">
        <f>IF(B54="FRANCISCO CAMACHO",((F54*42)+(G54*42)),IF(B54="JOSE INACIO",((F54*60)+(G54*60)),0))</f>
        <v>2100</v>
      </c>
      <c r="Z54" s="25">
        <f>(25647.53+25495.43)/100*F54</f>
        <v>25571.48</v>
      </c>
      <c r="AA54" s="25">
        <v>0</v>
      </c>
      <c r="AB54" s="25">
        <v>0</v>
      </c>
      <c r="AC54" s="25">
        <v>0</v>
      </c>
      <c r="AD54" s="25">
        <f>IF(F54="",G54*4.11,F54*4.11)</f>
        <v>205.50000000000003</v>
      </c>
      <c r="AE54" s="25">
        <f>2062.06/197*F54</f>
        <v>523.36548223350258</v>
      </c>
      <c r="AF54" s="25">
        <f>V54+Y54+Z54+AA54+AB54+AC54+AD54</f>
        <v>236031.08000000005</v>
      </c>
      <c r="AG54" s="25">
        <f>IFERROR(IFERROR((H54*W54*J54/15)-AE54,""),"")</f>
        <v>232623.60785109983</v>
      </c>
      <c r="AH54" s="26">
        <f>IFERROR(AG54-AF54,0)</f>
        <v>-3407.4721489002113</v>
      </c>
      <c r="AI54" s="25">
        <f>IF(F54="",(G54/$F$143)*$AL$28,(F54/$F$143)*$AL$28)</f>
        <v>85.655141037306677</v>
      </c>
      <c r="AJ54" s="25">
        <f>(AH54-AI54)*70%</f>
        <v>-2445.1891029562626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-68.149442978004231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-1.4648006624853407E-2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45220</v>
      </c>
      <c r="B59" s="21" t="s">
        <v>632</v>
      </c>
      <c r="C59" s="21" t="s">
        <v>771</v>
      </c>
      <c r="D59" s="44">
        <v>1886065</v>
      </c>
      <c r="E59" s="44" t="s">
        <v>652</v>
      </c>
      <c r="F59" s="21">
        <v>147</v>
      </c>
      <c r="G59" s="21"/>
      <c r="H59" s="22">
        <f>92562/150*F59</f>
        <v>90710.760000000009</v>
      </c>
      <c r="I59" s="33">
        <v>0.55000000000000004</v>
      </c>
      <c r="J59" s="24">
        <f>IFERROR(K59/H59,"")</f>
        <v>0.54040446800357522</v>
      </c>
      <c r="K59" s="22">
        <v>49020.5</v>
      </c>
      <c r="L59" s="21">
        <v>2</v>
      </c>
      <c r="M59" s="21">
        <v>34</v>
      </c>
      <c r="N59" s="21">
        <v>89</v>
      </c>
      <c r="O59" s="21">
        <v>22</v>
      </c>
      <c r="P59" s="21"/>
      <c r="Q59" s="21"/>
      <c r="R59" s="21"/>
      <c r="S59" s="21"/>
      <c r="T59" s="21"/>
      <c r="U59" s="25">
        <v>215</v>
      </c>
      <c r="V59" s="25">
        <f>H59*U59*I59/15</f>
        <v>715103.15800000017</v>
      </c>
      <c r="W59" s="25">
        <v>244.15</v>
      </c>
      <c r="X59" s="25">
        <f>1031029.92/197*F59</f>
        <v>769347.19918781728</v>
      </c>
      <c r="Y59" s="25">
        <f>IF(B59="FRANCISCO CAMACHO",((F59*42)+(G59*42)),IF(B59="JOSE INACIO",((F59*60)+(G59*60)),0))</f>
        <v>6174</v>
      </c>
      <c r="Z59" s="25">
        <f>53039.19/150*F59</f>
        <v>51978.406200000005</v>
      </c>
      <c r="AA59" s="25">
        <v>0</v>
      </c>
      <c r="AB59" s="25">
        <f>(U59*15%*F59)</f>
        <v>4740.75</v>
      </c>
      <c r="AC59" s="25">
        <v>0</v>
      </c>
      <c r="AD59" s="25">
        <f>IF(F59="",G59*4.11,F59*4.11)</f>
        <v>604.17000000000007</v>
      </c>
      <c r="AE59" s="25">
        <f>2062.06/197*F59</f>
        <v>1538.6945177664975</v>
      </c>
      <c r="AF59" s="25">
        <f>V59+Y59+Z59+AA59+AB59+AC59+AD59</f>
        <v>778600.48420000018</v>
      </c>
      <c r="AG59" s="25">
        <f>IFERROR(IFERROR((H59*W59*J59/15)-AE59,""),"")</f>
        <v>796351.64381556679</v>
      </c>
      <c r="AH59" s="26">
        <f>IFERROR(AG59-AF59,0)</f>
        <v>17751.159615566605</v>
      </c>
      <c r="AI59" s="25">
        <f>IF(F59="",(G59/$F$143)*$AL$28,(F59/$F$143)*$AL$28)</f>
        <v>251.82611464968161</v>
      </c>
      <c r="AJ59" s="25">
        <f>(AH59-AI59)*70%</f>
        <v>12249.533450641846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120.75618786099731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2.22906046008963E-2</v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>
        <v>45220</v>
      </c>
      <c r="B64" s="21" t="s">
        <v>632</v>
      </c>
      <c r="C64" s="21" t="s">
        <v>771</v>
      </c>
      <c r="D64" s="44">
        <v>311023</v>
      </c>
      <c r="E64" s="44"/>
      <c r="F64" s="21">
        <v>2</v>
      </c>
      <c r="G64" s="21"/>
      <c r="H64" s="22">
        <f>92562/150*F64</f>
        <v>1234.1600000000001</v>
      </c>
      <c r="I64" s="33">
        <v>0.55000000000000004</v>
      </c>
      <c r="J64" s="24">
        <f>IFERROR(K64/H64,"")</f>
        <v>0</v>
      </c>
      <c r="K64" s="22"/>
      <c r="L64" s="21"/>
      <c r="M64" s="21"/>
      <c r="N64" s="21"/>
      <c r="O64" s="21"/>
      <c r="P64" s="21"/>
      <c r="Q64" s="21"/>
      <c r="R64" s="21"/>
      <c r="S64" s="21"/>
      <c r="T64" s="21"/>
      <c r="U64" s="25">
        <v>215</v>
      </c>
      <c r="V64" s="25">
        <f>H64*U64*I64/15</f>
        <v>9729.2946666666667</v>
      </c>
      <c r="W64" s="25"/>
      <c r="X64" s="25">
        <v>0</v>
      </c>
      <c r="Y64" s="25">
        <f>IF(B64="FRANCISCO CAMACHO",((F64*42)+(G64*42)),IF(B64="JOSE INACIO",((F64*60)+(G64*60)),0))</f>
        <v>84</v>
      </c>
      <c r="Z64" s="25">
        <f>53039.19/150*F64</f>
        <v>707.18920000000003</v>
      </c>
      <c r="AA64" s="25">
        <v>0</v>
      </c>
      <c r="AB64" s="25">
        <f>(U64*15%*F64)</f>
        <v>64.5</v>
      </c>
      <c r="AC64" s="25">
        <v>0</v>
      </c>
      <c r="AD64" s="25">
        <f>IF(F64="",G64*4.11,F64*4.11)</f>
        <v>8.2200000000000006</v>
      </c>
      <c r="AE64" s="25">
        <v>0</v>
      </c>
      <c r="AF64" s="25">
        <f>V64+Y64+Z64+AA64+AB64+AC64+AD64</f>
        <v>10593.203866666667</v>
      </c>
      <c r="AG64" s="25">
        <f>IFERROR(IFERROR((H64*W64*J64/15)-AE64,""),"")</f>
        <v>0</v>
      </c>
      <c r="AH64" s="26">
        <f>IFERROR(AG64-AF64,0)</f>
        <v>-10593.203866666667</v>
      </c>
      <c r="AI64" s="25">
        <f>IF(F64="",(G64/$F$143)*$AL$28,(F64/$F$143)*$AL$28)</f>
        <v>3.4262056414922673</v>
      </c>
      <c r="AJ64" s="25">
        <f>(AH64-AI64)*70%</f>
        <v>-7417.6410506157108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-5296.6019333333334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 t="str">
        <f>IFERROR(AH64/AG64,"")</f>
        <v/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45220</v>
      </c>
      <c r="B69" s="21" t="s">
        <v>419</v>
      </c>
      <c r="C69" s="21" t="s">
        <v>124</v>
      </c>
      <c r="D69" s="44">
        <v>1884922</v>
      </c>
      <c r="E69" s="44" t="s">
        <v>652</v>
      </c>
      <c r="F69" s="21">
        <v>50</v>
      </c>
      <c r="G69" s="21"/>
      <c r="H69" s="22">
        <v>28160</v>
      </c>
      <c r="I69" s="33">
        <v>0.55000000000000004</v>
      </c>
      <c r="J69" s="24">
        <f>IFERROR(K69/H69,"")</f>
        <v>0.51361268939393934</v>
      </c>
      <c r="K69" s="22">
        <f>43390/150*F69</f>
        <v>14463.333333333332</v>
      </c>
      <c r="L69" s="21"/>
      <c r="M69" s="21"/>
      <c r="N69" s="21">
        <v>24</v>
      </c>
      <c r="O69" s="21">
        <v>19</v>
      </c>
      <c r="P69" s="21">
        <v>7</v>
      </c>
      <c r="Q69" s="21"/>
      <c r="R69" s="21"/>
      <c r="S69" s="21"/>
      <c r="T69" s="21"/>
      <c r="U69" s="25">
        <v>225</v>
      </c>
      <c r="V69" s="25">
        <f>H69*U69*I69/15</f>
        <v>232320.00000000003</v>
      </c>
      <c r="W69" s="25">
        <v>242.95</v>
      </c>
      <c r="X69" s="25">
        <f>702771.97/150*F69</f>
        <v>234257.3233333333</v>
      </c>
      <c r="Y69" s="25">
        <f>IF(B69="FRANCISCO CAMACHO",((F69*42)+(G69*42)),IF(B69="DANILO VIANA",((F69*60)+(G69*60)),0))</f>
        <v>3000</v>
      </c>
      <c r="Z69" s="25">
        <v>12293.8</v>
      </c>
      <c r="AA69" s="25">
        <v>0</v>
      </c>
      <c r="AB69" s="25">
        <v>1125</v>
      </c>
      <c r="AC69" s="25">
        <f>38*F69</f>
        <v>1900</v>
      </c>
      <c r="AD69" s="25">
        <f>IF(F69="",G69*4.11,F69*4.11)</f>
        <v>205.50000000000003</v>
      </c>
      <c r="AE69" s="25">
        <f>1405.54/150*F69</f>
        <v>468.51333333333332</v>
      </c>
      <c r="AF69" s="25">
        <f>V69+Y69+Z69+AA69+AB69+AC69+AD69</f>
        <v>250844.30000000002</v>
      </c>
      <c r="AG69" s="25">
        <f>IFERROR(IFERROR((H69*W69*J69/15)-AE69,""),"")</f>
        <v>233789.27555555553</v>
      </c>
      <c r="AH69" s="26">
        <f>IFERROR(AG69-AF69,0)</f>
        <v>-17055.024444444483</v>
      </c>
      <c r="AI69" s="25">
        <f>IF(F69="",(G69/$F$143)*$AL$28,(F69/$F$143)*$AL$28)</f>
        <v>85.655141037306677</v>
      </c>
      <c r="AJ69" s="25">
        <f>(AH69-AI69)*70%</f>
        <v>-11998.475709837252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-341.10048888888969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-7.2950414016710041E-2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45220</v>
      </c>
      <c r="B74" s="21" t="s">
        <v>419</v>
      </c>
      <c r="C74" s="21" t="s">
        <v>772</v>
      </c>
      <c r="D74" s="44">
        <v>1884922</v>
      </c>
      <c r="E74" s="44" t="s">
        <v>652</v>
      </c>
      <c r="F74" s="21">
        <v>50</v>
      </c>
      <c r="G74" s="21"/>
      <c r="H74" s="22">
        <v>25630</v>
      </c>
      <c r="I74" s="33">
        <v>0.54</v>
      </c>
      <c r="J74" s="24">
        <f>IFERROR(K74/H74,"")</f>
        <v>0.56431265444140977</v>
      </c>
      <c r="K74" s="22">
        <f>43390/150*F74</f>
        <v>14463.333333333332</v>
      </c>
      <c r="L74" s="21">
        <v>8</v>
      </c>
      <c r="M74" s="21">
        <v>24</v>
      </c>
      <c r="N74" s="21">
        <v>15</v>
      </c>
      <c r="O74" s="21">
        <v>3</v>
      </c>
      <c r="P74" s="21"/>
      <c r="Q74" s="21"/>
      <c r="R74" s="21"/>
      <c r="S74" s="21"/>
      <c r="T74" s="21"/>
      <c r="U74" s="25">
        <v>225</v>
      </c>
      <c r="V74" s="25">
        <f>H74*U74*I74/15</f>
        <v>207603</v>
      </c>
      <c r="W74" s="25">
        <v>242.95</v>
      </c>
      <c r="X74" s="25">
        <f>702771.97/150*F74</f>
        <v>234257.3233333333</v>
      </c>
      <c r="Y74" s="25">
        <f>IF(B74="FRANCISCO CAMACHO",((F74*42)+(G74*42)),IF(B74="DANILO VIANA",((F74*60)+(G74*60)),0))</f>
        <v>3000</v>
      </c>
      <c r="Z74" s="25">
        <v>9183</v>
      </c>
      <c r="AA74" s="25">
        <v>0</v>
      </c>
      <c r="AB74" s="25">
        <v>1125</v>
      </c>
      <c r="AC74" s="25">
        <f>38*F74</f>
        <v>1900</v>
      </c>
      <c r="AD74" s="25">
        <f>IF(F74="",G74*4.11,F74*4.11)</f>
        <v>205.50000000000003</v>
      </c>
      <c r="AE74" s="25">
        <f>1405.54/150*F74</f>
        <v>468.51333333333332</v>
      </c>
      <c r="AF74" s="25">
        <f>V74+Y74+Z74+AA74+AB74+AC74+AD74</f>
        <v>223016.5</v>
      </c>
      <c r="AG74" s="25">
        <f>IFERROR(IFERROR((H74*W74*J74/15)-AE74,""),"")</f>
        <v>233789.27555555553</v>
      </c>
      <c r="AH74" s="26">
        <f>IFERROR(AG74-AF74,0)</f>
        <v>10772.775555555534</v>
      </c>
      <c r="AI74" s="25">
        <f>IF(F74="",(G74/$F$143)*$AL$28,(F74/$F$143)*$AL$28)</f>
        <v>85.655141037306677</v>
      </c>
      <c r="AJ74" s="25">
        <f>(AH74-AI74)*70%</f>
        <v>7480.984290162759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215.4555111111107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4.6078997977798991E-2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22">
        <v>0</v>
      </c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/>
      <c r="X79" s="25">
        <v>0</v>
      </c>
      <c r="Y79" s="25">
        <f>IF(B79="FRANCISCO CAMACHO",((F79*42)+(G79*42)),IF(B79="JOSE INACIO",((F79*60)+(G79*60)),0))</f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v>0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25">
        <f>IF(F79="",(G79/$F$143)*$AL$28,(F79/$F$143)*$AL$28)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22">
        <v>0</v>
      </c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/>
      <c r="X84" s="25">
        <v>0</v>
      </c>
      <c r="Y84" s="25">
        <f>IF(B84="FRANCISCO CAMACHO",((F84*42)+(G84*42)),IF(B84="JOSE INACIO",((F84*60)+(G84*60)),0))</f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25">
        <f>IF(F84="",(G84/$F$143)*$AL$28,(F84/$F$143)*$AL$28)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2">
        <v>0</v>
      </c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/>
      <c r="X89" s="25">
        <v>0</v>
      </c>
      <c r="Y89" s="25">
        <f>IF(B89="FRANCISCO CAMACHO",((F89*42)+(G89*42)),IF(B89="JOSE INACIO",((F89*60)+(G89*60)),0))</f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25">
        <f>IF(F89="",(G89/$F$143)*$AL$28,(F89/$F$143)*$AL$28)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2">
        <v>0</v>
      </c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/>
      <c r="X94" s="25">
        <v>0</v>
      </c>
      <c r="Y94" s="25">
        <f>IF(B94="FRANCISCO CAMACHO",((F94*42)+(G94*42)),IF(B94="JOSE INACIO",((F94*60)+(G94*60)),0))</f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25">
        <f>IF(F94="",(G94/$F$143)*$AL$28,(F94/$F$143)*$AL$28)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2">
        <v>0</v>
      </c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/>
      <c r="X99" s="25">
        <v>0</v>
      </c>
      <c r="Y99" s="25">
        <f>IF(B99="FRANCISCO CAMACHO",((F99*42)+(G99*42)),IF(B99="JOSE INACIO",((F99*60)+(G99*60)),0))</f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IF(F99="",(G99/$F$143)*$AL$28,(F99/$F$143)*$AL$28)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/>
      <c r="X104" s="25">
        <v>0</v>
      </c>
      <c r="Y104" s="25">
        <f>IF(B104="FRANCISCO CAMACHO",((F104*42)+(G104*42)),IF(B104="JOSE INACIO",((F104*60)+(G104*60)),0))</f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IF(F104="",(G104/$F$143)*$AL$28,(F104/$F$143)*$AL$28)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2">
        <v>0</v>
      </c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/>
      <c r="X109" s="25">
        <v>0</v>
      </c>
      <c r="Y109" s="25">
        <f>IF(B109="FRANCISCO CAMACHO",((F109*42)+(G109*42)),IF(B109="JOSE INACIO",((F109*60)+(G109*60)),0))</f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IF(F109="",(G109/$F$143)*$AL$28,(F109/$F$143)*$AL$28)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22">
        <v>0</v>
      </c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/>
      <c r="X114" s="25">
        <v>0</v>
      </c>
      <c r="Y114" s="25">
        <f>IF(B114="FRANCISCO CAMACHO",((F114*42)+(G114*42)),IF(B114="JOSE INACIO",((F114*60)+(G114*60)),0))</f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f>IF(F114="",G114*4.11,F114*4.11)</f>
        <v>0</v>
      </c>
      <c r="AE114" s="25">
        <v>0</v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25">
        <f>IF(F114="",(G114/$F$143)*$AL$28,(F114/$F$143)*$AL$28)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47"/>
      <c r="AJ117" s="47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B119" s="21"/>
      <c r="C119" s="21"/>
      <c r="D119" s="44"/>
      <c r="E119" s="44"/>
      <c r="F119" s="21"/>
      <c r="G119" s="21"/>
      <c r="H119" s="22">
        <v>0</v>
      </c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/>
      <c r="X119" s="25">
        <v>0</v>
      </c>
      <c r="Y119" s="25">
        <f>IF(B119="FRANCISCO CAMACHO",((F119*42)+(G119*42)),IF(B119="JOSE INACIO",((F119*60)+(G119*60)),0))</f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f>IF(F119="",G119*4.11,F119*4.11)</f>
        <v>0</v>
      </c>
      <c r="AE119" s="25">
        <v>0</v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25">
        <f>IF(F119="",(G119/$F$143)*$AL$28,(F119/$F$143)*$AL$28)</f>
        <v>0</v>
      </c>
      <c r="AJ119" s="25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x14ac:dyDescent="0.35">
      <c r="A124" s="20"/>
      <c r="B124" s="21"/>
      <c r="C124" s="21"/>
      <c r="D124" s="44"/>
      <c r="E124" s="44"/>
      <c r="F124" s="21"/>
      <c r="G124" s="21"/>
      <c r="H124" s="22">
        <v>0</v>
      </c>
      <c r="I124" s="33">
        <v>0</v>
      </c>
      <c r="J124" s="24" t="str">
        <f>IFERROR(K124/H124,"")</f>
        <v/>
      </c>
      <c r="K124" s="22">
        <v>0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/>
      <c r="X124" s="25">
        <v>0</v>
      </c>
      <c r="Y124" s="25">
        <f>IF(B124="FRANCISCO CAMACHO",((F124*42)+(G124*42)),IF(B124="JOSE INACIO",((F124*60)+(G124*60)),0))</f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f>IF(F124="",G124*4.11,F124*4.11)</f>
        <v>0</v>
      </c>
      <c r="AE124" s="25">
        <v>0</v>
      </c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25">
        <f>IF(F124="",(G124/$F$143)*$AL$28,(F124/$F$143)*$AL$28)</f>
        <v>0</v>
      </c>
      <c r="AJ124" s="25">
        <f>(AH124-AI124)*70%</f>
        <v>0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</row>
    <row r="128" spans="1:36" x14ac:dyDescent="0.35">
      <c r="A128" s="14" t="s">
        <v>1</v>
      </c>
      <c r="B128" s="14" t="s">
        <v>2</v>
      </c>
      <c r="C128" s="14" t="s">
        <v>110</v>
      </c>
      <c r="D128" s="14" t="s">
        <v>66</v>
      </c>
      <c r="E128" s="14" t="s">
        <v>638</v>
      </c>
      <c r="F128" s="14" t="s">
        <v>137</v>
      </c>
      <c r="G128" s="14" t="s">
        <v>138</v>
      </c>
      <c r="H128" s="14" t="s">
        <v>4</v>
      </c>
      <c r="I128" s="14" t="s">
        <v>5</v>
      </c>
      <c r="J128" s="14" t="s">
        <v>6</v>
      </c>
      <c r="K128" s="14" t="s">
        <v>7</v>
      </c>
      <c r="L128" s="14" t="s">
        <v>279</v>
      </c>
      <c r="M128" s="14" t="s">
        <v>280</v>
      </c>
      <c r="N128" s="14" t="s">
        <v>281</v>
      </c>
      <c r="O128" s="14" t="s">
        <v>282</v>
      </c>
      <c r="P128" s="14" t="s">
        <v>283</v>
      </c>
      <c r="Q128" s="14" t="s">
        <v>284</v>
      </c>
      <c r="R128" s="14" t="s">
        <v>904</v>
      </c>
      <c r="S128" s="14" t="s">
        <v>285</v>
      </c>
      <c r="T128" s="14" t="s">
        <v>289</v>
      </c>
      <c r="U128" s="14" t="s">
        <v>8</v>
      </c>
      <c r="V128" s="14" t="s">
        <v>9</v>
      </c>
      <c r="W128" s="14" t="s">
        <v>10</v>
      </c>
      <c r="X128" s="14" t="s">
        <v>100</v>
      </c>
      <c r="Y128" s="14" t="s">
        <v>106</v>
      </c>
      <c r="Z128" s="14" t="s">
        <v>12</v>
      </c>
      <c r="AA128" s="14" t="s">
        <v>258</v>
      </c>
      <c r="AB128" s="14" t="s">
        <v>13</v>
      </c>
      <c r="AC128" s="14" t="s">
        <v>74</v>
      </c>
      <c r="AD128" s="14" t="s">
        <v>21</v>
      </c>
      <c r="AE128" s="14" t="s">
        <v>14</v>
      </c>
      <c r="AF128" s="14" t="s">
        <v>15</v>
      </c>
      <c r="AG128" s="14" t="s">
        <v>16</v>
      </c>
      <c r="AH128" s="15" t="s">
        <v>17</v>
      </c>
      <c r="AI128" s="14" t="s">
        <v>679</v>
      </c>
      <c r="AJ128" s="14" t="s">
        <v>678</v>
      </c>
    </row>
    <row r="129" spans="1:36" x14ac:dyDescent="0.35">
      <c r="A129" s="20"/>
      <c r="B129" s="21"/>
      <c r="C129" s="21"/>
      <c r="D129" s="44"/>
      <c r="E129" s="44"/>
      <c r="F129" s="21"/>
      <c r="G129" s="21"/>
      <c r="H129" s="22">
        <v>0</v>
      </c>
      <c r="I129" s="33">
        <v>0</v>
      </c>
      <c r="J129" s="24" t="str">
        <f>IFERROR(K129/H129,"")</f>
        <v/>
      </c>
      <c r="K129" s="22">
        <v>0</v>
      </c>
      <c r="L129" s="21"/>
      <c r="M129" s="21"/>
      <c r="N129" s="21"/>
      <c r="O129" s="21"/>
      <c r="P129" s="21"/>
      <c r="Q129" s="21"/>
      <c r="R129" s="21"/>
      <c r="S129" s="21"/>
      <c r="T129" s="21"/>
      <c r="U129" s="25">
        <v>0</v>
      </c>
      <c r="V129" s="25">
        <f>H129*U129*I129/15</f>
        <v>0</v>
      </c>
      <c r="W129" s="25"/>
      <c r="X129" s="25">
        <v>0</v>
      </c>
      <c r="Y129" s="25">
        <f>IF(B129="FRANCISCO CAMACHO",((F129*42)+(G129*42)),IF(B129="JOSE INACIO",((F129*60)+(G129*60)),0))</f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f>IF(F129="",G129*4.11,F129*4.11)</f>
        <v>0</v>
      </c>
      <c r="AE129" s="25">
        <v>0</v>
      </c>
      <c r="AF129" s="25">
        <f>V129+Y129+Z129+AA129+AB129+AC129+AD129</f>
        <v>0</v>
      </c>
      <c r="AG129" s="25" t="str">
        <f>IFERROR(IFERROR((H129*W129*J129/15)-AE129,""),"")</f>
        <v/>
      </c>
      <c r="AH129" s="26">
        <f>IFERROR(AG129-AF129,0)</f>
        <v>0</v>
      </c>
      <c r="AI129" s="25">
        <f>IF(F129="",(G129/$F$143)*$AL$28,(F129/$F$143)*$AL$28)</f>
        <v>0</v>
      </c>
      <c r="AJ129" s="25">
        <f>(AH129-AI129)*70%</f>
        <v>0</v>
      </c>
    </row>
    <row r="130" spans="1:36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3"/>
      <c r="AA130" s="21"/>
      <c r="AB130" s="21"/>
      <c r="AC130" s="21"/>
      <c r="AD130" s="21"/>
      <c r="AE130" s="21"/>
      <c r="AF130" s="21"/>
      <c r="AG130" s="21"/>
      <c r="AH130" s="26">
        <f>IFERROR(AH129/F129,0)+IFERROR(AH129/G129,0)</f>
        <v>0</v>
      </c>
    </row>
    <row r="131" spans="1:36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7" t="str">
        <f>IFERROR(AH129/AG129,"")</f>
        <v/>
      </c>
    </row>
    <row r="132" spans="1:36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</row>
    <row r="133" spans="1:36" x14ac:dyDescent="0.35">
      <c r="A133" s="14" t="s">
        <v>1</v>
      </c>
      <c r="B133" s="14" t="s">
        <v>2</v>
      </c>
      <c r="C133" s="14" t="s">
        <v>110</v>
      </c>
      <c r="D133" s="14" t="s">
        <v>66</v>
      </c>
      <c r="E133" s="14" t="s">
        <v>638</v>
      </c>
      <c r="F133" s="14" t="s">
        <v>137</v>
      </c>
      <c r="G133" s="14" t="s">
        <v>138</v>
      </c>
      <c r="H133" s="14" t="s">
        <v>4</v>
      </c>
      <c r="I133" s="14" t="s">
        <v>5</v>
      </c>
      <c r="J133" s="14" t="s">
        <v>6</v>
      </c>
      <c r="K133" s="14" t="s">
        <v>7</v>
      </c>
      <c r="L133" s="14" t="s">
        <v>279</v>
      </c>
      <c r="M133" s="14" t="s">
        <v>280</v>
      </c>
      <c r="N133" s="14" t="s">
        <v>281</v>
      </c>
      <c r="O133" s="14" t="s">
        <v>282</v>
      </c>
      <c r="P133" s="14" t="s">
        <v>283</v>
      </c>
      <c r="Q133" s="14" t="s">
        <v>284</v>
      </c>
      <c r="R133" s="14" t="s">
        <v>904</v>
      </c>
      <c r="S133" s="14" t="s">
        <v>285</v>
      </c>
      <c r="T133" s="14" t="s">
        <v>289</v>
      </c>
      <c r="U133" s="14" t="s">
        <v>8</v>
      </c>
      <c r="V133" s="14" t="s">
        <v>9</v>
      </c>
      <c r="W133" s="14" t="s">
        <v>10</v>
      </c>
      <c r="X133" s="14" t="s">
        <v>100</v>
      </c>
      <c r="Y133" s="14" t="s">
        <v>106</v>
      </c>
      <c r="Z133" s="14" t="s">
        <v>12</v>
      </c>
      <c r="AA133" s="14" t="s">
        <v>258</v>
      </c>
      <c r="AB133" s="14" t="s">
        <v>13</v>
      </c>
      <c r="AC133" s="14" t="s">
        <v>74</v>
      </c>
      <c r="AD133" s="14" t="s">
        <v>21</v>
      </c>
      <c r="AE133" s="14" t="s">
        <v>14</v>
      </c>
      <c r="AF133" s="14" t="s">
        <v>15</v>
      </c>
      <c r="AG133" s="14" t="s">
        <v>16</v>
      </c>
      <c r="AH133" s="15" t="s">
        <v>17</v>
      </c>
      <c r="AI133" s="14" t="s">
        <v>679</v>
      </c>
      <c r="AJ133" s="14" t="s">
        <v>678</v>
      </c>
    </row>
    <row r="134" spans="1:36" x14ac:dyDescent="0.35">
      <c r="A134" s="20"/>
      <c r="B134" s="21"/>
      <c r="C134" s="21"/>
      <c r="D134" s="44"/>
      <c r="E134" s="44"/>
      <c r="F134" s="21"/>
      <c r="G134" s="21"/>
      <c r="H134" s="22">
        <v>0</v>
      </c>
      <c r="I134" s="33">
        <v>0</v>
      </c>
      <c r="J134" s="24" t="str">
        <f>IFERROR(K134/H134,"")</f>
        <v/>
      </c>
      <c r="K134" s="22">
        <v>0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5">
        <v>0</v>
      </c>
      <c r="V134" s="25">
        <f>H134*U134*I134/15</f>
        <v>0</v>
      </c>
      <c r="W134" s="25"/>
      <c r="X134" s="25">
        <v>0</v>
      </c>
      <c r="Y134" s="25">
        <f>IF(B134="FRANCISCO CAMACHO",((F134*42)+(G134*42)),IF(B134="JOSE INACIO",((F134*60)+(G134*60)),0))</f>
        <v>0</v>
      </c>
      <c r="Z134" s="25">
        <v>0</v>
      </c>
      <c r="AA134" s="25">
        <v>0</v>
      </c>
      <c r="AB134" s="25">
        <v>0</v>
      </c>
      <c r="AC134" s="25">
        <v>0</v>
      </c>
      <c r="AD134" s="25">
        <f>IF(F134="",G134*4.11,F134*4.11)</f>
        <v>0</v>
      </c>
      <c r="AE134" s="25">
        <v>0</v>
      </c>
      <c r="AF134" s="25">
        <f>V134+Y134+Z134+AA134+AB134+AC134+AD134</f>
        <v>0</v>
      </c>
      <c r="AG134" s="25" t="str">
        <f>IFERROR(IFERROR((H134*W134*J134/15)-AE134,""),"")</f>
        <v/>
      </c>
      <c r="AH134" s="26">
        <f>IFERROR(AG134-AF134,0)</f>
        <v>0</v>
      </c>
      <c r="AI134" s="25">
        <f>IF(F134="",(G134/$F$143)*$AL$28,(F134/$F$143)*$AL$28)</f>
        <v>0</v>
      </c>
      <c r="AJ134" s="25">
        <f>(AH134-AI134)*70%</f>
        <v>0</v>
      </c>
    </row>
    <row r="135" spans="1:36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3"/>
      <c r="AA135" s="21"/>
      <c r="AB135" s="21"/>
      <c r="AC135" s="21"/>
      <c r="AD135" s="21"/>
      <c r="AE135" s="21"/>
      <c r="AF135" s="21"/>
      <c r="AG135" s="21"/>
      <c r="AH135" s="26">
        <f>IFERROR(AH134/F134,0)+IFERROR(AH134/G134,0)</f>
        <v>0</v>
      </c>
    </row>
    <row r="136" spans="1:36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7" t="str">
        <f>IFERROR(AH134/AG134,"")</f>
        <v/>
      </c>
    </row>
    <row r="137" spans="1:36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47"/>
    </row>
    <row r="138" spans="1:36" x14ac:dyDescent="0.35">
      <c r="A138" s="14" t="s">
        <v>1</v>
      </c>
      <c r="B138" s="14" t="s">
        <v>2</v>
      </c>
      <c r="C138" s="14" t="s">
        <v>110</v>
      </c>
      <c r="D138" s="14" t="s">
        <v>66</v>
      </c>
      <c r="E138" s="14" t="s">
        <v>638</v>
      </c>
      <c r="F138" s="14" t="s">
        <v>137</v>
      </c>
      <c r="G138" s="14" t="s">
        <v>138</v>
      </c>
      <c r="H138" s="14" t="s">
        <v>4</v>
      </c>
      <c r="I138" s="14" t="s">
        <v>5</v>
      </c>
      <c r="J138" s="14" t="s">
        <v>6</v>
      </c>
      <c r="K138" s="14" t="s">
        <v>7</v>
      </c>
      <c r="L138" s="14" t="s">
        <v>279</v>
      </c>
      <c r="M138" s="14" t="s">
        <v>280</v>
      </c>
      <c r="N138" s="14" t="s">
        <v>281</v>
      </c>
      <c r="O138" s="14" t="s">
        <v>282</v>
      </c>
      <c r="P138" s="14" t="s">
        <v>283</v>
      </c>
      <c r="Q138" s="14" t="s">
        <v>284</v>
      </c>
      <c r="R138" s="14" t="s">
        <v>904</v>
      </c>
      <c r="S138" s="14" t="s">
        <v>285</v>
      </c>
      <c r="T138" s="14" t="s">
        <v>289</v>
      </c>
      <c r="U138" s="14" t="s">
        <v>8</v>
      </c>
      <c r="V138" s="14" t="s">
        <v>9</v>
      </c>
      <c r="W138" s="14" t="s">
        <v>10</v>
      </c>
      <c r="X138" s="14" t="s">
        <v>100</v>
      </c>
      <c r="Y138" s="14" t="s">
        <v>106</v>
      </c>
      <c r="Z138" s="14" t="s">
        <v>12</v>
      </c>
      <c r="AA138" s="14" t="s">
        <v>258</v>
      </c>
      <c r="AB138" s="14" t="s">
        <v>13</v>
      </c>
      <c r="AC138" s="14" t="s">
        <v>74</v>
      </c>
      <c r="AD138" s="14" t="s">
        <v>21</v>
      </c>
      <c r="AE138" s="14" t="s">
        <v>14</v>
      </c>
      <c r="AF138" s="14" t="s">
        <v>15</v>
      </c>
      <c r="AG138" s="14" t="s">
        <v>16</v>
      </c>
      <c r="AH138" s="15" t="s">
        <v>17</v>
      </c>
      <c r="AI138" s="14" t="s">
        <v>679</v>
      </c>
      <c r="AJ138" s="14" t="s">
        <v>678</v>
      </c>
    </row>
    <row r="139" spans="1:36" x14ac:dyDescent="0.35">
      <c r="A139" s="20"/>
      <c r="B139" s="21"/>
      <c r="C139" s="21"/>
      <c r="D139" s="44"/>
      <c r="E139" s="44"/>
      <c r="F139" s="21"/>
      <c r="G139" s="21"/>
      <c r="H139" s="22">
        <v>0</v>
      </c>
      <c r="I139" s="33">
        <v>0</v>
      </c>
      <c r="J139" s="24" t="str">
        <f>IFERROR(K139/H139,"")</f>
        <v/>
      </c>
      <c r="K139" s="22">
        <v>0</v>
      </c>
      <c r="L139" s="21"/>
      <c r="M139" s="21"/>
      <c r="N139" s="21"/>
      <c r="O139" s="21"/>
      <c r="P139" s="21"/>
      <c r="Q139" s="21"/>
      <c r="R139" s="21"/>
      <c r="S139" s="21"/>
      <c r="T139" s="21"/>
      <c r="U139" s="25">
        <v>0</v>
      </c>
      <c r="V139" s="25">
        <f>H139*U139*I139/15</f>
        <v>0</v>
      </c>
      <c r="W139" s="25"/>
      <c r="X139" s="25">
        <v>0</v>
      </c>
      <c r="Y139" s="25">
        <f>IF(B139="FRANCISCO CAMACHO",((F139*42)+(G139*42)),IF(B139="JOSE INACIO",((F139*60)+(G139*60)),0))</f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f>IF(F139="",G139*4.11,F139*4.11)</f>
        <v>0</v>
      </c>
      <c r="AE139" s="25">
        <v>0</v>
      </c>
      <c r="AF139" s="25">
        <f>V139+Y139+Z139+AA139+AB139+AC139+AD139</f>
        <v>0</v>
      </c>
      <c r="AG139" s="25" t="str">
        <f>IFERROR(IFERROR((H139*W139*J139/15)-AE139,""),"")</f>
        <v/>
      </c>
      <c r="AH139" s="26">
        <f>IFERROR(AG139-AF139,0)</f>
        <v>0</v>
      </c>
      <c r="AI139" s="25">
        <f>IF(F139="",(G139/$F$143)*$AL$28,(F139/$F$143)*$AL$28)</f>
        <v>0</v>
      </c>
      <c r="AJ139" s="25">
        <f>(AH139-AI139)*70%</f>
        <v>0</v>
      </c>
    </row>
    <row r="140" spans="1:36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3"/>
      <c r="AA140" s="21"/>
      <c r="AB140" s="21"/>
      <c r="AC140" s="21"/>
      <c r="AD140" s="21"/>
      <c r="AE140" s="21"/>
      <c r="AF140" s="21"/>
      <c r="AG140" s="21"/>
      <c r="AH140" s="26">
        <f>IFERROR(AH139/F139,0)+IFERROR(AH139/G139,0)</f>
        <v>0</v>
      </c>
    </row>
    <row r="141" spans="1:36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7" t="str">
        <f>IFERROR(AH139/AG139,"")</f>
        <v/>
      </c>
    </row>
    <row r="142" spans="1:36" ht="15" thickBot="1" x14ac:dyDescent="0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47"/>
      <c r="AI142" s="47"/>
      <c r="AJ142" s="47"/>
    </row>
    <row r="143" spans="1:36" ht="16" thickBot="1" x14ac:dyDescent="0.4">
      <c r="A143" s="377" t="s">
        <v>739</v>
      </c>
      <c r="B143" s="378"/>
      <c r="C143" s="378"/>
      <c r="D143" s="378"/>
      <c r="E143" s="378"/>
      <c r="F143" s="163">
        <f>SUM(F4:G139)</f>
        <v>1099</v>
      </c>
      <c r="G143" s="163"/>
      <c r="H143" s="30"/>
      <c r="I143" s="30"/>
      <c r="J143" s="30"/>
      <c r="K143" s="30"/>
      <c r="L143" s="46"/>
      <c r="M143" s="46"/>
      <c r="N143" s="46"/>
      <c r="O143" s="46"/>
      <c r="P143" s="46"/>
      <c r="Q143" s="46"/>
      <c r="R143" s="46"/>
      <c r="S143" s="46"/>
      <c r="T143" s="46"/>
      <c r="U143" s="30"/>
      <c r="V143" s="31">
        <f>SUM(V4:V142)</f>
        <v>4864453.6860000007</v>
      </c>
      <c r="W143" s="31"/>
      <c r="X143" s="31"/>
      <c r="Y143" s="31">
        <f t="shared" ref="Y143:AG143" si="0">SUM(Y4:Y142)</f>
        <v>48858</v>
      </c>
      <c r="Z143" s="31">
        <f t="shared" si="0"/>
        <v>455282.78539999999</v>
      </c>
      <c r="AA143" s="31">
        <f t="shared" si="0"/>
        <v>0</v>
      </c>
      <c r="AB143" s="31">
        <f t="shared" si="0"/>
        <v>23205.25</v>
      </c>
      <c r="AC143" s="31">
        <f t="shared" si="0"/>
        <v>5700</v>
      </c>
      <c r="AD143" s="31">
        <f t="shared" si="0"/>
        <v>4516.8900000000003</v>
      </c>
      <c r="AE143" s="31">
        <f t="shared" si="0"/>
        <v>11087.100649999997</v>
      </c>
      <c r="AF143" s="31">
        <f t="shared" si="0"/>
        <v>5402016.6114000008</v>
      </c>
      <c r="AG143" s="31">
        <f t="shared" si="0"/>
        <v>5566934.2703233343</v>
      </c>
      <c r="AH143" s="161">
        <f>AH4+AH9+AH14+AH19+AH24+AH29+AH34+AH39+AH44+AH49+AH54+AH59+AH64+AH69+AH74+AH79+AH84+AH89+AH94+AH99+AH104+AH109+AH114+AH119+AH124+AH129+AH134+AH139</f>
        <v>164917.65892333243</v>
      </c>
      <c r="AI143" s="165">
        <f>SUM(AI4:AI141)</f>
        <v>1882.7000000000012</v>
      </c>
      <c r="AJ143" s="165">
        <f>SUM(AJ4:AJ141)</f>
        <v>114124.4712463327</v>
      </c>
    </row>
    <row r="145" spans="22:35" x14ac:dyDescent="0.35">
      <c r="V145" s="162">
        <v>3173324.9000000004</v>
      </c>
      <c r="AI145" s="25"/>
    </row>
  </sheetData>
  <mergeCells count="2">
    <mergeCell ref="U2:AC2"/>
    <mergeCell ref="A143:E14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45"/>
  <sheetViews>
    <sheetView topLeftCell="A31" zoomScale="85" zoomScaleNormal="85" workbookViewId="0">
      <pane xSplit="7" ySplit="3" topLeftCell="H34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19.179687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284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AF143</f>
        <v>6275296.7256666673</v>
      </c>
      <c r="AM3" s="164">
        <f>AH143-AI143</f>
        <v>183421.99039693398</v>
      </c>
    </row>
    <row r="4" spans="1:40" x14ac:dyDescent="0.35">
      <c r="A4" s="20">
        <v>45222</v>
      </c>
      <c r="B4" s="21" t="s">
        <v>632</v>
      </c>
      <c r="C4" s="21" t="s">
        <v>697</v>
      </c>
      <c r="D4" s="44">
        <v>1887583</v>
      </c>
      <c r="E4" s="44" t="s">
        <v>652</v>
      </c>
      <c r="F4" s="21">
        <v>100</v>
      </c>
      <c r="G4" s="21"/>
      <c r="H4" s="22">
        <v>58760</v>
      </c>
      <c r="I4" s="33">
        <v>0.55000000000000004</v>
      </c>
      <c r="J4" s="24">
        <f>IFERROR(K4/H4,"")</f>
        <v>0.51870319945541188</v>
      </c>
      <c r="K4" s="22">
        <v>30479</v>
      </c>
      <c r="L4" s="21">
        <v>43</v>
      </c>
      <c r="M4" s="21">
        <v>39</v>
      </c>
      <c r="N4" s="21">
        <v>14</v>
      </c>
      <c r="O4" s="21">
        <v>4</v>
      </c>
      <c r="P4" s="21"/>
      <c r="Q4" s="21"/>
      <c r="R4" s="21"/>
      <c r="S4" s="21"/>
      <c r="T4" s="21"/>
      <c r="U4" s="25">
        <v>215</v>
      </c>
      <c r="V4" s="25">
        <f>H4*U4*I4/15</f>
        <v>463224.66666666674</v>
      </c>
      <c r="W4" s="25">
        <v>246.38</v>
      </c>
      <c r="X4" s="25">
        <f>996640.13/199*F4</f>
        <v>500824.18592964823</v>
      </c>
      <c r="Y4" s="25">
        <f>IF(B4="FRANCISCO CAMACHO",((F4*42)+(G4*42)),IF(B4="JOSE INACIO",((F4*60)+(G4*60)),0))</f>
        <v>4200</v>
      </c>
      <c r="Z4" s="264">
        <v>37640</v>
      </c>
      <c r="AA4" s="25">
        <v>0</v>
      </c>
      <c r="AB4" s="264">
        <v>2150</v>
      </c>
      <c r="AC4" s="25">
        <v>0</v>
      </c>
      <c r="AD4" s="25">
        <f>IF(F4="",G4*4.11,F4*4.11)</f>
        <v>411.00000000000006</v>
      </c>
      <c r="AE4" s="25">
        <f>1993.28/199*F4</f>
        <v>1001.6482412060302</v>
      </c>
      <c r="AF4" s="25">
        <f>V4+Y4+Z4+AA4+AB4+AC4+AD4</f>
        <v>507625.66666666674</v>
      </c>
      <c r="AG4" s="25">
        <f>IFERROR(IFERROR((H4*W4*J4/15)-AE4,""),"")</f>
        <v>499626.08642546064</v>
      </c>
      <c r="AH4" s="26">
        <f>IFERROR(AG4-AF4,0)</f>
        <v>-7999.5802412061021</v>
      </c>
      <c r="AI4" s="25">
        <f>IF(F4="",(G4/$F$143)*$AL$28,(F4/$F$143)*$AL$28)</f>
        <v>-25.984591679506948</v>
      </c>
      <c r="AJ4" s="25">
        <f>(AH4-AI4)*70%</f>
        <v>-5581.5169546686166</v>
      </c>
      <c r="AL4" s="166" t="s">
        <v>749</v>
      </c>
      <c r="AM4" s="167">
        <f>AM3/AL3</f>
        <v>2.9229213918557425E-2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-79.995802412061025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-1.6011134043137202E-2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284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45222</v>
      </c>
      <c r="B9" s="21" t="s">
        <v>632</v>
      </c>
      <c r="C9" s="21" t="s">
        <v>676</v>
      </c>
      <c r="D9" s="44">
        <v>1887583</v>
      </c>
      <c r="E9" s="44" t="s">
        <v>652</v>
      </c>
      <c r="F9" s="21">
        <v>49</v>
      </c>
      <c r="G9" s="21"/>
      <c r="H9" s="22">
        <f>27240/50*F9</f>
        <v>26695.199999999997</v>
      </c>
      <c r="I9" s="33">
        <v>0.55000000000000004</v>
      </c>
      <c r="J9" s="24">
        <f>IFERROR(K9/H9,"")</f>
        <v>0.62891456141928148</v>
      </c>
      <c r="K9" s="22">
        <v>16789</v>
      </c>
      <c r="L9" s="21">
        <v>17</v>
      </c>
      <c r="M9" s="21">
        <v>24</v>
      </c>
      <c r="N9" s="21">
        <v>8</v>
      </c>
      <c r="O9" s="21"/>
      <c r="P9" s="21"/>
      <c r="Q9" s="21"/>
      <c r="R9" s="21"/>
      <c r="S9" s="21"/>
      <c r="T9" s="21"/>
      <c r="U9" s="25">
        <v>215</v>
      </c>
      <c r="V9" s="25">
        <f>H9*U9*I9/15</f>
        <v>210447.16</v>
      </c>
      <c r="W9" s="25">
        <v>246.38</v>
      </c>
      <c r="X9" s="25">
        <f>996640.13/199*F9</f>
        <v>245403.85110552763</v>
      </c>
      <c r="Y9" s="25">
        <f>IF(B9="FRANCISCO CAMACHO",((F9*42)+(G9*42)),IF(B9="JOSE INACIO",((F9*60)+(G9*60)),0))</f>
        <v>2058</v>
      </c>
      <c r="Z9" s="264">
        <f>21147/50*F9</f>
        <v>20724.060000000001</v>
      </c>
      <c r="AA9" s="25">
        <v>0</v>
      </c>
      <c r="AB9" s="264">
        <v>1053.5</v>
      </c>
      <c r="AC9" s="25">
        <v>0</v>
      </c>
      <c r="AD9" s="25">
        <f>IF(F9="",G9*4.11,F9*4.11)</f>
        <v>201.39000000000001</v>
      </c>
      <c r="AE9" s="25">
        <f>1993.28/199*F9</f>
        <v>490.80763819095483</v>
      </c>
      <c r="AF9" s="25">
        <f>V9+Y9+Z9+AA9+AB9+AC9+AD9</f>
        <v>234484.11000000002</v>
      </c>
      <c r="AG9" s="25">
        <f>IFERROR(IFERROR((H9*W9*J9/15)-AE9,""),"")</f>
        <v>275274.11369514238</v>
      </c>
      <c r="AH9" s="26">
        <f>IFERROR(AG9-AF9,0)</f>
        <v>40790.003695142368</v>
      </c>
      <c r="AI9" s="25">
        <f>IF(F9="",(G9/$F$143)*$AL$28,(F9/$F$143)*$AL$28)</f>
        <v>-12.732449922958406</v>
      </c>
      <c r="AJ9" s="25">
        <f>(AH9-AI9)*70%</f>
        <v>28561.915301545727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832.44905500290542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0.14817958415194843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284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45222</v>
      </c>
      <c r="B14" s="21" t="s">
        <v>632</v>
      </c>
      <c r="C14" s="21" t="s">
        <v>676</v>
      </c>
      <c r="D14" s="44"/>
      <c r="E14" s="44" t="s">
        <v>652</v>
      </c>
      <c r="F14" s="21">
        <v>1</v>
      </c>
      <c r="G14" s="21"/>
      <c r="H14" s="22">
        <f>27240/50*F14</f>
        <v>544.79999999999995</v>
      </c>
      <c r="I14" s="33">
        <v>0.55000000000000004</v>
      </c>
      <c r="J14" s="24">
        <f>IFERROR(K14/H14,"")</f>
        <v>0</v>
      </c>
      <c r="K14" s="22"/>
      <c r="L14" s="21"/>
      <c r="M14" s="21"/>
      <c r="N14" s="21"/>
      <c r="O14" s="21"/>
      <c r="P14" s="21"/>
      <c r="Q14" s="21"/>
      <c r="R14" s="21"/>
      <c r="S14" s="21"/>
      <c r="T14" s="21"/>
      <c r="U14" s="25">
        <v>215</v>
      </c>
      <c r="V14" s="25">
        <f>H14*U14*I14/15</f>
        <v>4294.84</v>
      </c>
      <c r="W14" s="25"/>
      <c r="X14" s="25"/>
      <c r="Y14" s="25">
        <f>IF(B14="FRANCISCO CAMACHO",((F14*42)+(G14*42)),IF(B14="JOSE INACIO",((F14*60)+(G14*60)),0))</f>
        <v>42</v>
      </c>
      <c r="Z14" s="264">
        <f>21147/50*F14</f>
        <v>422.94</v>
      </c>
      <c r="AA14" s="25">
        <v>0</v>
      </c>
      <c r="AB14" s="264">
        <v>21.5</v>
      </c>
      <c r="AC14" s="25">
        <v>0</v>
      </c>
      <c r="AD14" s="25">
        <f>IF(F14="",G14*4.11,F14*4.11)</f>
        <v>4.1100000000000003</v>
      </c>
      <c r="AE14" s="25"/>
      <c r="AF14" s="25">
        <f>V14+Y14+Z14+AA14+AB14+AC14+AD14</f>
        <v>4785.3899999999994</v>
      </c>
      <c r="AG14" s="25">
        <f>IFERROR(IFERROR((H14*W14*J14/15)-AE14,""),"")</f>
        <v>0</v>
      </c>
      <c r="AH14" s="26">
        <f>IFERROR(AG14-AF14,0)</f>
        <v>-4785.3899999999994</v>
      </c>
      <c r="AI14" s="25">
        <f>IF(F14="",(G14/$F$143)*$AL$28,(F14/$F$143)*$AL$28)</f>
        <v>-0.25984591679506952</v>
      </c>
      <c r="AJ14" s="25">
        <f>(AH14-AI14)*70%</f>
        <v>-3349.591107858243</v>
      </c>
      <c r="AL14" s="14">
        <f>F4+G4+F9+G9+F14+G14+F19+G19+F24+G24+F29+G29+F34+G34+F39+G39+F44+G44+F49+G49+F54+G54+F59+G59+F64+G64+F74+G74+F79+G79+F69+G69+F84+G84+F89+G89+F94+G94+F99+G99+F104+G104+F109+G109+F114+G114+F119+G119+F124+G124+F129+G129+F134+G134+F139+G139</f>
        <v>1298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5"/>
      <c r="W15" s="21"/>
      <c r="X15" s="25"/>
      <c r="Y15" s="21"/>
      <c r="Z15" s="3"/>
      <c r="AA15" s="21"/>
      <c r="AB15" s="21"/>
      <c r="AC15" s="21"/>
      <c r="AD15" s="21"/>
      <c r="AE15" s="21"/>
      <c r="AF15" s="25"/>
      <c r="AG15" s="21"/>
      <c r="AH15" s="26">
        <f>IFERROR(AH14/F14,0)+IFERROR(AH14/G14,0)</f>
        <v>-4785.3899999999994</v>
      </c>
      <c r="AL15" s="11">
        <f>AH143</f>
        <v>183084.71039693398</v>
      </c>
      <c r="AM15" s="11">
        <f>AL15*30%</f>
        <v>54925.413119080193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2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5"/>
      <c r="Y16" s="21"/>
      <c r="Z16" s="21"/>
      <c r="AA16" s="21"/>
      <c r="AB16" s="21"/>
      <c r="AC16" s="21"/>
      <c r="AD16" s="21"/>
      <c r="AE16" s="21"/>
      <c r="AF16" s="21"/>
      <c r="AG16" s="21"/>
      <c r="AH16" s="27" t="str">
        <f>IFERROR(AH14/AG14,"")</f>
        <v/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284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45222</v>
      </c>
      <c r="B19" s="21" t="s">
        <v>773</v>
      </c>
      <c r="C19" s="21" t="s">
        <v>774</v>
      </c>
      <c r="D19" s="44">
        <v>1886705</v>
      </c>
      <c r="E19" s="44" t="s">
        <v>652</v>
      </c>
      <c r="F19" s="21">
        <v>25</v>
      </c>
      <c r="G19" s="21"/>
      <c r="H19" s="22">
        <v>12600</v>
      </c>
      <c r="I19" s="33">
        <v>0.54</v>
      </c>
      <c r="J19" s="24">
        <f>IFERROR(K19/H19,"")</f>
        <v>0.59579365079365076</v>
      </c>
      <c r="K19" s="22">
        <f>(30065+15038.5+14952.5)/200*F19</f>
        <v>7506.9999999999991</v>
      </c>
      <c r="L19" s="21">
        <v>22</v>
      </c>
      <c r="M19" s="21">
        <v>3</v>
      </c>
      <c r="N19" s="21"/>
      <c r="O19" s="21"/>
      <c r="P19" s="21"/>
      <c r="Q19" s="21"/>
      <c r="R19" s="21"/>
      <c r="S19" s="21"/>
      <c r="T19" s="21"/>
      <c r="U19" s="25">
        <v>230</v>
      </c>
      <c r="V19" s="25">
        <f>H19*U19*I19/15</f>
        <v>104328</v>
      </c>
      <c r="W19" s="25">
        <v>246.85</v>
      </c>
      <c r="X19" s="25">
        <f>988326.69/200*F19</f>
        <v>123540.83624999998</v>
      </c>
      <c r="Y19" s="25">
        <f>IF(B19="FRANCISCO CAMACHO",((F19*42)+(G19*42)),IF(B19="JOSE INACIO",((F19*60)+(G19*60)),0))</f>
        <v>0</v>
      </c>
      <c r="Z19" s="264">
        <f>30976/200*F19</f>
        <v>3872</v>
      </c>
      <c r="AA19" s="25">
        <v>0</v>
      </c>
      <c r="AB19" s="264">
        <f>4600/200*F19</f>
        <v>575</v>
      </c>
      <c r="AC19" s="25">
        <f>38*F19</f>
        <v>950</v>
      </c>
      <c r="AD19" s="25">
        <f>IF(F19="",G19*4.11,F19*4.11)</f>
        <v>102.75000000000001</v>
      </c>
      <c r="AE19" s="25">
        <f>1976.64/200*F19</f>
        <v>247.08</v>
      </c>
      <c r="AF19" s="25">
        <f>V19+Y19+Z19+AA19+AB19+AC19+AD19</f>
        <v>109827.75</v>
      </c>
      <c r="AG19" s="25">
        <f>IFERROR(IFERROR((H19*W19*J19/15)-AE19,""),"")</f>
        <v>123293.11666666667</v>
      </c>
      <c r="AH19" s="26">
        <f>IFERROR(AG19-AF19,0)</f>
        <v>13465.366666666669</v>
      </c>
      <c r="AI19" s="25">
        <f>IF(F19="",(G19/$F$143)*$AL$28,(F19/$F$143)*$AL$28)</f>
        <v>-6.4961479198767371</v>
      </c>
      <c r="AJ19" s="25">
        <f>(AH19-AI19)*70%</f>
        <v>9430.3039702105816</v>
      </c>
      <c r="AL19" s="178">
        <v>-2500</v>
      </c>
      <c r="AM19" s="6" t="s">
        <v>782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5"/>
      <c r="W20" s="21"/>
      <c r="X20" s="25"/>
      <c r="Y20" s="21"/>
      <c r="Z20" s="3"/>
      <c r="AA20" s="21"/>
      <c r="AB20" s="21"/>
      <c r="AC20" s="21"/>
      <c r="AD20" s="21"/>
      <c r="AE20" s="21"/>
      <c r="AF20" s="25"/>
      <c r="AG20" s="21"/>
      <c r="AH20" s="26">
        <f>IFERROR(AH19/F19,0)+IFERROR(AH19/G19,0)</f>
        <v>538.61466666666672</v>
      </c>
      <c r="AL20" s="178">
        <v>2162.7199999999998</v>
      </c>
      <c r="AM20" s="6" t="s">
        <v>736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2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5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0.10921426135306014</v>
      </c>
      <c r="AL21" s="178"/>
      <c r="AM21" s="6"/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/>
      <c r="AM22" s="6"/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284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/>
      <c r="AM23" s="6"/>
      <c r="AN23" s="174"/>
    </row>
    <row r="24" spans="1:40" x14ac:dyDescent="0.35">
      <c r="A24" s="20">
        <v>45222</v>
      </c>
      <c r="B24" s="21" t="s">
        <v>779</v>
      </c>
      <c r="C24" s="21" t="s">
        <v>774</v>
      </c>
      <c r="D24" s="44">
        <v>1886705</v>
      </c>
      <c r="E24" s="44" t="s">
        <v>652</v>
      </c>
      <c r="F24" s="21">
        <v>175</v>
      </c>
      <c r="G24" s="21"/>
      <c r="H24" s="22">
        <v>94590</v>
      </c>
      <c r="I24" s="33">
        <v>0.55000000000000004</v>
      </c>
      <c r="J24" s="24">
        <f>IFERROR(K24/H24,"")</f>
        <v>0.5555449836134897</v>
      </c>
      <c r="K24" s="22">
        <f>(30065+15038.5+14952.5)/200*F24</f>
        <v>52548.999999999993</v>
      </c>
      <c r="L24" s="21">
        <v>42</v>
      </c>
      <c r="M24" s="21">
        <v>79</v>
      </c>
      <c r="N24" s="21">
        <v>49</v>
      </c>
      <c r="O24" s="21">
        <v>5</v>
      </c>
      <c r="P24" s="21"/>
      <c r="Q24" s="21"/>
      <c r="R24" s="21"/>
      <c r="S24" s="21"/>
      <c r="T24" s="21"/>
      <c r="U24" s="25">
        <v>230</v>
      </c>
      <c r="V24" s="25">
        <f>H24*U24*I24/15</f>
        <v>797709.00000000012</v>
      </c>
      <c r="W24" s="25">
        <v>246.85</v>
      </c>
      <c r="X24" s="25">
        <f>988326.69/200*F24</f>
        <v>864785.85374999989</v>
      </c>
      <c r="Y24" s="25">
        <f>IF(B24="FRANCISCO CAMACHO",((F24*42)+(G24*42)),IF(B24="JOSE INACIO",((F24*60)+(G24*60)),0))</f>
        <v>0</v>
      </c>
      <c r="Z24" s="264">
        <f>30976/200*F24</f>
        <v>27104</v>
      </c>
      <c r="AA24" s="25">
        <v>0</v>
      </c>
      <c r="AB24" s="264">
        <f>4600/200*F24</f>
        <v>4025</v>
      </c>
      <c r="AC24" s="25">
        <f>38*F24</f>
        <v>6650</v>
      </c>
      <c r="AD24" s="25">
        <f>IF(F24="",G24*4.11,F24*4.11)</f>
        <v>719.25</v>
      </c>
      <c r="AE24" s="25">
        <f>1976.64/200*F24</f>
        <v>1729.5600000000002</v>
      </c>
      <c r="AF24" s="25">
        <f>V24+Y24+Z24+AA24+AB24+AC24+AD24</f>
        <v>836207.25000000012</v>
      </c>
      <c r="AG24" s="25">
        <f>IFERROR(IFERROR((H24*W24*J24/15)-AE24,""),"")</f>
        <v>863051.81666666653</v>
      </c>
      <c r="AH24" s="26">
        <f>IFERROR(AG24-AF24,0)</f>
        <v>26844.566666666418</v>
      </c>
      <c r="AI24" s="25">
        <f>IF(F24="",(G24/$F$143)*$AL$28,(F24/$F$143)*$AL$28)</f>
        <v>-45.473035439137163</v>
      </c>
      <c r="AJ24" s="25">
        <f>(AH24-AI24)*70%</f>
        <v>18823.027791473887</v>
      </c>
      <c r="AL24" s="178"/>
      <c r="AM24" s="6"/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5"/>
      <c r="W25" s="21"/>
      <c r="X25" s="25"/>
      <c r="Y25" s="21"/>
      <c r="Z25" s="3"/>
      <c r="AA25" s="21"/>
      <c r="AB25" s="21"/>
      <c r="AC25" s="21"/>
      <c r="AD25" s="21"/>
      <c r="AE25" s="21"/>
      <c r="AF25" s="25"/>
      <c r="AG25" s="21"/>
      <c r="AH25" s="26">
        <f>IFERROR(AH24/F24,0)+IFERROR(AH24/G24,0)</f>
        <v>153.3975238095224</v>
      </c>
      <c r="AL25" s="178"/>
      <c r="AM25" s="6"/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2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5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3.1104235166721745E-2</v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284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4">
        <f>SUM(AL19:AL27)</f>
        <v>-337.2800000000002</v>
      </c>
      <c r="AM28" s="189" t="s">
        <v>673</v>
      </c>
      <c r="AN28" s="191"/>
    </row>
    <row r="29" spans="1:40" x14ac:dyDescent="0.35">
      <c r="A29" s="20">
        <v>45222</v>
      </c>
      <c r="B29" s="21" t="s">
        <v>632</v>
      </c>
      <c r="C29" s="21" t="s">
        <v>676</v>
      </c>
      <c r="D29" s="44">
        <v>1887583</v>
      </c>
      <c r="E29" s="44" t="s">
        <v>652</v>
      </c>
      <c r="F29" s="21">
        <v>50</v>
      </c>
      <c r="G29" s="21"/>
      <c r="H29" s="22">
        <v>25649</v>
      </c>
      <c r="I29" s="33">
        <v>0.55000000000000004</v>
      </c>
      <c r="J29" s="24">
        <f>IFERROR(K29/H29,"")</f>
        <v>0.52280790674100353</v>
      </c>
      <c r="K29" s="22">
        <v>13409.5</v>
      </c>
      <c r="L29" s="21">
        <v>11</v>
      </c>
      <c r="M29" s="21">
        <v>25</v>
      </c>
      <c r="N29" s="21">
        <v>13</v>
      </c>
      <c r="O29" s="21">
        <v>1</v>
      </c>
      <c r="P29" s="21"/>
      <c r="Q29" s="21"/>
      <c r="R29" s="21"/>
      <c r="S29" s="21"/>
      <c r="T29" s="21"/>
      <c r="U29" s="25">
        <v>215</v>
      </c>
      <c r="V29" s="25">
        <f>H29*U29*I29/15</f>
        <v>202199.6166666667</v>
      </c>
      <c r="W29" s="25">
        <v>246.38</v>
      </c>
      <c r="X29" s="25">
        <f>996640.13/199*F29</f>
        <v>250412.09296482411</v>
      </c>
      <c r="Y29" s="25">
        <f>IF(B29="FRANCISCO CAMACHO",((F29*42)+(G29*42)),IF(B29="JOSE INACIO",((F29*60)+(G29*60)),0))</f>
        <v>2100</v>
      </c>
      <c r="Z29" s="264">
        <v>21019</v>
      </c>
      <c r="AA29" s="25">
        <v>0</v>
      </c>
      <c r="AB29" s="264">
        <v>1075</v>
      </c>
      <c r="AC29" s="25">
        <v>0</v>
      </c>
      <c r="AD29" s="25">
        <f>IF(F29="",G29*4.11,F29*4.11)</f>
        <v>205.50000000000003</v>
      </c>
      <c r="AE29" s="25">
        <f>1993.28/199*F29</f>
        <v>500.8241206030151</v>
      </c>
      <c r="AF29" s="25">
        <f>V29+Y29+Z29+AA29+AB29+AC29+AD29</f>
        <v>226599.1166666667</v>
      </c>
      <c r="AG29" s="25">
        <f>IFERROR(IFERROR((H29*W29*J29/15)-AE29,""),"")</f>
        <v>219754.68321273031</v>
      </c>
      <c r="AH29" s="26">
        <f>IFERROR(AG29-AF29,0)</f>
        <v>-6844.4334539363917</v>
      </c>
      <c r="AI29" s="25">
        <f>IF(F29="",(G29/$F$143)*$AL$28,(F29/$F$143)*$AL$28)</f>
        <v>-12.992295839753474</v>
      </c>
      <c r="AJ29" s="25">
        <f>(AH29-AI29)*70%</f>
        <v>-4782.0088106676467</v>
      </c>
      <c r="AL29" s="57"/>
      <c r="AM29" s="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5"/>
      <c r="AC30" s="21"/>
      <c r="AD30" s="21"/>
      <c r="AE30" s="21"/>
      <c r="AF30" s="21"/>
      <c r="AG30" s="21"/>
      <c r="AH30" s="26">
        <f>IFERROR(AH29/F29,0)+IFERROR(AH29/G29,0)</f>
        <v>-136.88866907872784</v>
      </c>
      <c r="AL30" s="57"/>
      <c r="AM30" s="118" t="s">
        <v>22</v>
      </c>
      <c r="AN30" s="12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-3.1145791087922974E-2</v>
      </c>
      <c r="AL31" s="247">
        <f>AL15-AL28</f>
        <v>183421.99039693398</v>
      </c>
      <c r="AM31" s="248">
        <f>AL31*30%</f>
        <v>55026.597119080194</v>
      </c>
      <c r="AN31" s="12" t="s">
        <v>799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249"/>
      <c r="AN32" s="246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7"/>
      <c r="AM33" s="248"/>
      <c r="AN33" s="1"/>
    </row>
    <row r="34" spans="1:40" x14ac:dyDescent="0.35">
      <c r="A34" s="20">
        <v>45223</v>
      </c>
      <c r="B34" s="21" t="s">
        <v>632</v>
      </c>
      <c r="C34" s="21" t="s">
        <v>776</v>
      </c>
      <c r="D34" s="44">
        <v>1887375</v>
      </c>
      <c r="E34" s="44" t="s">
        <v>652</v>
      </c>
      <c r="F34" s="21">
        <v>199</v>
      </c>
      <c r="G34" s="21"/>
      <c r="H34" s="22">
        <f>112040/200*F34</f>
        <v>111479.8</v>
      </c>
      <c r="I34" s="33">
        <v>0.55000000000000004</v>
      </c>
      <c r="J34" s="24">
        <f>IFERROR(K34/H34,"")</f>
        <v>0.54244912531238842</v>
      </c>
      <c r="K34" s="22">
        <f>60776/200*F34</f>
        <v>60472.12</v>
      </c>
      <c r="L34" s="21">
        <v>64</v>
      </c>
      <c r="M34" s="21">
        <v>122</v>
      </c>
      <c r="N34" s="21">
        <v>12</v>
      </c>
      <c r="O34" s="21">
        <v>1</v>
      </c>
      <c r="P34" s="21"/>
      <c r="Q34" s="21"/>
      <c r="R34" s="21"/>
      <c r="S34" s="21"/>
      <c r="T34" s="21"/>
      <c r="U34" s="25">
        <v>210</v>
      </c>
      <c r="V34" s="25">
        <f>H34*U34*I34/15</f>
        <v>858394.46000000008</v>
      </c>
      <c r="W34" s="25">
        <v>249.17</v>
      </c>
      <c r="X34" s="25">
        <f>1009566.63/200*F34</f>
        <v>1004518.79685</v>
      </c>
      <c r="Y34" s="25">
        <f>IF(B34="FRANCISCO CAMACHO",((F34*42)+(G34*42)),IF(B34="JOSE INACIO",((F34*60)+(G34*60)),0))</f>
        <v>8358</v>
      </c>
      <c r="Z34" s="264">
        <f>87289.6/200*F34</f>
        <v>86853.152000000002</v>
      </c>
      <c r="AA34" s="25">
        <v>0</v>
      </c>
      <c r="AB34" s="264">
        <f>6300/200*F34</f>
        <v>6268.5</v>
      </c>
      <c r="AC34" s="25">
        <v>0</v>
      </c>
      <c r="AD34" s="25">
        <f>IF(F34="",G34*4.11,F34*4.11)</f>
        <v>817.8900000000001</v>
      </c>
      <c r="AE34" s="25">
        <f>2019.13/200*F34</f>
        <v>2009.0343500000001</v>
      </c>
      <c r="AF34" s="25">
        <f>V34+Y34+Z34+AA34+AB34+AC34+AD34</f>
        <v>960692.00200000009</v>
      </c>
      <c r="AG34" s="25">
        <f>IFERROR(IFERROR((H34*W34*J34/15)-AE34,""),"")</f>
        <v>1002513.5083433334</v>
      </c>
      <c r="AH34" s="26">
        <f>IFERROR(AG34-AF34,0)</f>
        <v>41821.506343333283</v>
      </c>
      <c r="AI34" s="25">
        <f>IF(F34="",(G34/$F$143)*$AL$28,(F34/$F$143)*$AL$28)</f>
        <v>-51.709337442218832</v>
      </c>
      <c r="AJ34" s="25">
        <f>(AH34-AI34)*70%</f>
        <v>29311.250976542848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5"/>
      <c r="AC35" s="21"/>
      <c r="AD35" s="21"/>
      <c r="AE35" s="21"/>
      <c r="AF35" s="21"/>
      <c r="AG35" s="21"/>
      <c r="AH35" s="26">
        <f>IFERROR(AH34/F34,0)+IFERROR(AH34/G34,0)</f>
        <v>210.15832333333307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4.1716651192504992E-2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45223</v>
      </c>
      <c r="B39" s="21" t="s">
        <v>632</v>
      </c>
      <c r="C39" s="21" t="s">
        <v>776</v>
      </c>
      <c r="D39" s="44">
        <v>311023</v>
      </c>
      <c r="E39" s="44" t="s">
        <v>652</v>
      </c>
      <c r="F39" s="21">
        <v>1</v>
      </c>
      <c r="G39" s="21"/>
      <c r="H39" s="22">
        <f>112040/200*F39</f>
        <v>560.20000000000005</v>
      </c>
      <c r="I39" s="33">
        <v>0.55000000000000004</v>
      </c>
      <c r="J39" s="24">
        <f>IFERROR(K39/H39,"")</f>
        <v>0</v>
      </c>
      <c r="K39" s="22">
        <v>0</v>
      </c>
      <c r="L39" s="21"/>
      <c r="M39" s="21"/>
      <c r="N39" s="21"/>
      <c r="O39" s="21"/>
      <c r="P39" s="21"/>
      <c r="Q39" s="21"/>
      <c r="R39" s="21"/>
      <c r="S39" s="21"/>
      <c r="T39" s="21"/>
      <c r="U39" s="25">
        <v>210</v>
      </c>
      <c r="V39" s="25">
        <f>H39*U39*I39/15</f>
        <v>4313.5400000000009</v>
      </c>
      <c r="W39" s="25">
        <v>0</v>
      </c>
      <c r="X39" s="25">
        <v>0</v>
      </c>
      <c r="Y39" s="25">
        <f>IF(B39="FRANCISCO CAMACHO",((F39*42)+(G39*42)),IF(B39="JOSE INACIO",((F39*60)+(G39*60)),0))</f>
        <v>42</v>
      </c>
      <c r="Z39" s="264">
        <f>87289.6/200*F39</f>
        <v>436.44800000000004</v>
      </c>
      <c r="AA39" s="25">
        <v>0</v>
      </c>
      <c r="AB39" s="264">
        <f>6300/200*F39</f>
        <v>31.5</v>
      </c>
      <c r="AC39" s="25">
        <v>0</v>
      </c>
      <c r="AD39" s="25">
        <f>IF(F39="",G39*4.11,F39*4.11)</f>
        <v>4.1100000000000003</v>
      </c>
      <c r="AE39" s="25">
        <v>0</v>
      </c>
      <c r="AF39" s="25">
        <f>V39+Y39+Z39+AA39+AB39+AC39+AD39</f>
        <v>4827.5980000000009</v>
      </c>
      <c r="AG39" s="25">
        <f>IFERROR(IFERROR((H39*W39*J39/15)-AE39,""),"")</f>
        <v>0</v>
      </c>
      <c r="AH39" s="26">
        <f>IFERROR(AG39-AF39,0)</f>
        <v>-4827.5980000000009</v>
      </c>
      <c r="AI39" s="25">
        <f>IF(F39="",(G39/$F$143)*$AL$28,(F39/$F$143)*$AL$28)</f>
        <v>-0.25984591679506952</v>
      </c>
      <c r="AJ39" s="25">
        <f>(AH39-AI39)*70%</f>
        <v>-3379.1367078582439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2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-4827.5980000000009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 t="str">
        <f>IFERROR(AH39/AG39,"")</f>
        <v/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3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45224</v>
      </c>
      <c r="B44" s="21" t="s">
        <v>632</v>
      </c>
      <c r="C44" s="21" t="s">
        <v>633</v>
      </c>
      <c r="D44" s="44">
        <v>1884927</v>
      </c>
      <c r="E44" s="44" t="s">
        <v>652</v>
      </c>
      <c r="F44" s="21">
        <v>199</v>
      </c>
      <c r="G44" s="21"/>
      <c r="H44" s="22">
        <f>106440/200*F44</f>
        <v>105907.8</v>
      </c>
      <c r="I44" s="33">
        <v>0.55000000000000004</v>
      </c>
      <c r="J44" s="24">
        <f>IFERROR(K44/H44,"")</f>
        <v>0.54526673200651887</v>
      </c>
      <c r="K44" s="22">
        <v>57748</v>
      </c>
      <c r="L44" s="21">
        <v>70</v>
      </c>
      <c r="M44" s="21">
        <v>103</v>
      </c>
      <c r="N44" s="21">
        <v>20</v>
      </c>
      <c r="O44" s="21">
        <v>6</v>
      </c>
      <c r="P44" s="21"/>
      <c r="Q44" s="21"/>
      <c r="R44" s="21"/>
      <c r="S44" s="21"/>
      <c r="T44" s="21"/>
      <c r="U44" s="25">
        <v>215</v>
      </c>
      <c r="V44" s="25">
        <f>H44*U44*I44/15</f>
        <v>834906.49000000011</v>
      </c>
      <c r="W44" s="25">
        <v>244.95</v>
      </c>
      <c r="X44" s="25">
        <v>943040.35</v>
      </c>
      <c r="Y44" s="25">
        <f>IF(B44="FRANCISCO CAMACHO",((F44*42)+(G44*42)),IF(B44="JOSE INACIO",((F44*60)+(G44*60)),0))</f>
        <v>8358</v>
      </c>
      <c r="Z44" s="264">
        <v>92667.839999999997</v>
      </c>
      <c r="AA44" s="25">
        <v>0</v>
      </c>
      <c r="AB44" s="264">
        <v>4300</v>
      </c>
      <c r="AC44" s="25">
        <v>0</v>
      </c>
      <c r="AD44" s="25">
        <f>IF(F44="",G44*4.11,F44*4.11)</f>
        <v>817.8900000000001</v>
      </c>
      <c r="AE44" s="25">
        <v>1886.09</v>
      </c>
      <c r="AF44" s="25">
        <f>V44+Y44+Z44+AA44+AB44+AC44+AD44</f>
        <v>941050.22000000009</v>
      </c>
      <c r="AG44" s="25">
        <f>IFERROR(IFERROR((H44*W44*J44/15)-AE44,""),"")</f>
        <v>941138.75</v>
      </c>
      <c r="AH44" s="26">
        <f>IFERROR(AG44-AF44,0)</f>
        <v>88.529999999911524</v>
      </c>
      <c r="AI44" s="25">
        <f>IF(F44="",(G44/$F$143)*$AL$28,(F44/$F$143)*$AL$28)</f>
        <v>-51.709337442218832</v>
      </c>
      <c r="AJ44" s="25">
        <f>(AH44-AI44)*70%</f>
        <v>98.167536209491246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0.44487437185885187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9.4066895024683155E-5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45226</v>
      </c>
      <c r="B49" s="21" t="s">
        <v>632</v>
      </c>
      <c r="C49" s="21" t="s">
        <v>697</v>
      </c>
      <c r="D49" s="44">
        <v>1886136</v>
      </c>
      <c r="E49" s="44" t="s">
        <v>652</v>
      </c>
      <c r="F49" s="21">
        <v>200</v>
      </c>
      <c r="G49" s="21"/>
      <c r="H49" s="22">
        <v>118292</v>
      </c>
      <c r="I49" s="33">
        <v>0.55000000000000004</v>
      </c>
      <c r="J49" s="24">
        <f>IFERROR(K49/H49,"")</f>
        <v>0.55217597132519525</v>
      </c>
      <c r="K49" s="22">
        <v>65318</v>
      </c>
      <c r="L49" s="21">
        <v>29</v>
      </c>
      <c r="M49" s="21">
        <v>126</v>
      </c>
      <c r="N49" s="21">
        <v>38</v>
      </c>
      <c r="O49" s="21">
        <v>4</v>
      </c>
      <c r="P49" s="21">
        <v>3</v>
      </c>
      <c r="Q49" s="21"/>
      <c r="R49" s="21"/>
      <c r="S49" s="21"/>
      <c r="T49" s="21"/>
      <c r="U49" s="25">
        <v>215</v>
      </c>
      <c r="V49" s="25">
        <f>H49*U49*I49/15</f>
        <v>932535.26666666684</v>
      </c>
      <c r="W49" s="25">
        <v>245.84</v>
      </c>
      <c r="X49" s="25">
        <v>1070522.8799999999</v>
      </c>
      <c r="Y49" s="25">
        <f>IF(B49="FRANCISCO CAMACHO",((F49*42)+(G49*42)),IF(B49="JOSE INACIO",((F49*60)+(G49*60)),0))</f>
        <v>8400</v>
      </c>
      <c r="Z49" s="264">
        <v>82092.639999999999</v>
      </c>
      <c r="AA49" s="25">
        <v>0</v>
      </c>
      <c r="AB49" s="264">
        <v>4300</v>
      </c>
      <c r="AC49" s="25">
        <v>0</v>
      </c>
      <c r="AD49" s="25">
        <f>IF(F49="",G49*4.11,F49*4.11)</f>
        <v>822.00000000000011</v>
      </c>
      <c r="AE49" s="25">
        <v>2141.0500000000002</v>
      </c>
      <c r="AF49" s="25">
        <f>V49+Y49+Z49+AA49+AB49+AC49+AD49</f>
        <v>1028149.9066666669</v>
      </c>
      <c r="AG49" s="25">
        <f>IFERROR(IFERROR((H49*W49*J49/15)-AE49,""),"")</f>
        <v>1068377.4246666667</v>
      </c>
      <c r="AH49" s="26">
        <f>IFERROR(AG49-AF49,0)</f>
        <v>40227.517999999807</v>
      </c>
      <c r="AI49" s="25">
        <f>IF(F49="",(G49/$F$143)*$AL$28,(F49/$F$143)*$AL$28)</f>
        <v>-51.969183359013897</v>
      </c>
      <c r="AJ49" s="25">
        <f>(AH49-AI49)*70%</f>
        <v>28195.641028351172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201.13758999999902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3.7652909048083619E-2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L52" s="6"/>
      <c r="AM52" s="6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45226</v>
      </c>
      <c r="B54" s="21" t="s">
        <v>632</v>
      </c>
      <c r="C54" s="21" t="s">
        <v>697</v>
      </c>
      <c r="D54" s="44">
        <v>1886877</v>
      </c>
      <c r="E54" s="44" t="s">
        <v>652</v>
      </c>
      <c r="F54" s="21">
        <v>50</v>
      </c>
      <c r="G54" s="21"/>
      <c r="H54" s="22">
        <v>29740</v>
      </c>
      <c r="I54" s="33">
        <v>0.55000000000000004</v>
      </c>
      <c r="J54" s="24">
        <f>IFERROR(K54/H54,"")</f>
        <v>0.55899462004034972</v>
      </c>
      <c r="K54" s="22">
        <v>16624.5</v>
      </c>
      <c r="L54" s="21">
        <v>17</v>
      </c>
      <c r="M54" s="21">
        <v>20</v>
      </c>
      <c r="N54" s="21">
        <v>10</v>
      </c>
      <c r="O54" s="21">
        <v>3</v>
      </c>
      <c r="P54" s="21"/>
      <c r="Q54" s="21"/>
      <c r="R54" s="21"/>
      <c r="S54" s="21"/>
      <c r="T54" s="21"/>
      <c r="U54" s="25">
        <v>215</v>
      </c>
      <c r="V54" s="25">
        <f>H54*U54*I54/15</f>
        <v>234450.33333333337</v>
      </c>
      <c r="W54" s="25">
        <v>247.36</v>
      </c>
      <c r="X54" s="25">
        <f>992273.59/200*F54</f>
        <v>248068.39749999999</v>
      </c>
      <c r="Y54" s="25">
        <f>IF(B54="FRANCISCO CAMACHO",((F54*42)+(G54*42)),IF(B54="JOSE INACIO",((F54*60)+(G54*60)),0))</f>
        <v>2100</v>
      </c>
      <c r="Z54" s="264">
        <v>19847.400000000001</v>
      </c>
      <c r="AA54" s="25">
        <v>0</v>
      </c>
      <c r="AB54" s="264">
        <v>1075</v>
      </c>
      <c r="AC54" s="25">
        <v>0</v>
      </c>
      <c r="AD54" s="25">
        <f>IF(F54="",G54*4.11,F54*4.11)</f>
        <v>205.50000000000003</v>
      </c>
      <c r="AE54" s="25">
        <f>1984.55/200*F54</f>
        <v>496.13750000000005</v>
      </c>
      <c r="AF54" s="25">
        <f>V54+Y54+Z54+AA54+AB54+AC54+AD54</f>
        <v>257678.23333333337</v>
      </c>
      <c r="AG54" s="25">
        <f>IFERROR(IFERROR((H54*W54*J54/15)-AE54,""),"")</f>
        <v>273652.95050000004</v>
      </c>
      <c r="AH54" s="26">
        <f>IFERROR(AG54-AF54,0)</f>
        <v>15974.717166666669</v>
      </c>
      <c r="AI54" s="25">
        <f>IF(F54="",(G54/$F$143)*$AL$28,(F54/$F$143)*$AL$28)</f>
        <v>-12.992295839753474</v>
      </c>
      <c r="AJ54" s="25">
        <f>(AH54-AI54)*70%</f>
        <v>11191.396623754496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319.4943433333334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5.8375826525819484E-2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45226</v>
      </c>
      <c r="B59" s="21" t="s">
        <v>632</v>
      </c>
      <c r="C59" s="21" t="s">
        <v>676</v>
      </c>
      <c r="D59" s="44">
        <v>1886877</v>
      </c>
      <c r="E59" s="44" t="s">
        <v>652</v>
      </c>
      <c r="F59" s="21">
        <v>150</v>
      </c>
      <c r="G59" s="21"/>
      <c r="H59" s="22">
        <v>79810</v>
      </c>
      <c r="I59" s="33">
        <v>0.55000000000000004</v>
      </c>
      <c r="J59" s="24">
        <f>IFERROR(K59/H59,"")</f>
        <v>0.54565217391304344</v>
      </c>
      <c r="K59" s="22">
        <v>43548.5</v>
      </c>
      <c r="L59" s="21">
        <v>80</v>
      </c>
      <c r="M59" s="21">
        <v>70</v>
      </c>
      <c r="N59" s="21"/>
      <c r="O59" s="21"/>
      <c r="P59" s="21"/>
      <c r="Q59" s="21"/>
      <c r="R59" s="21"/>
      <c r="S59" s="21"/>
      <c r="T59" s="21"/>
      <c r="U59" s="25">
        <v>215</v>
      </c>
      <c r="V59" s="25">
        <f>H59*U59*I59/15</f>
        <v>629168.83333333337</v>
      </c>
      <c r="W59" s="25">
        <v>247.36</v>
      </c>
      <c r="X59" s="25">
        <f>992273.59/200*F59</f>
        <v>744205.1925</v>
      </c>
      <c r="Y59" s="25">
        <f>IF(B59="FRANCISCO CAMACHO",((F59*42)+(G59*42)),IF(B59="JOSE INACIO",((F59*60)+(G59*60)),0))</f>
        <v>6300</v>
      </c>
      <c r="Z59" s="264">
        <v>68663.399999999994</v>
      </c>
      <c r="AA59" s="25">
        <v>0</v>
      </c>
      <c r="AB59" s="264">
        <v>3225</v>
      </c>
      <c r="AC59" s="25">
        <v>0</v>
      </c>
      <c r="AD59" s="25">
        <f>IF(F59="",G59*4.11,F59*4.11)</f>
        <v>616.5</v>
      </c>
      <c r="AE59" s="25">
        <f>1984.55/200*F59</f>
        <v>1488.4125000000001</v>
      </c>
      <c r="AF59" s="25">
        <f>V59+Y59+Z59+AA59+AB59+AC59+AD59</f>
        <v>707973.7333333334</v>
      </c>
      <c r="AG59" s="25">
        <f>IFERROR(IFERROR((H59*W59*J59/15)-AE59,""),"")</f>
        <v>716655.38483333343</v>
      </c>
      <c r="AH59" s="26">
        <f>IFERROR(AG59-AF59,0)</f>
        <v>8681.6515000000363</v>
      </c>
      <c r="AI59" s="25">
        <f>IF(F59="",(G59/$F$143)*$AL$28,(F59/$F$143)*$AL$28)</f>
        <v>-38.976887519260423</v>
      </c>
      <c r="AJ59" s="25">
        <f>(AH59-AI59)*70%</f>
        <v>6104.4398712635075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57.877676666666908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1.2114123027233034E-2</v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97">
        <v>45228</v>
      </c>
      <c r="B64" s="117" t="s">
        <v>632</v>
      </c>
      <c r="C64" s="21" t="s">
        <v>747</v>
      </c>
      <c r="D64" s="44">
        <v>1886138</v>
      </c>
      <c r="E64" s="44" t="s">
        <v>652</v>
      </c>
      <c r="F64" s="21">
        <v>99</v>
      </c>
      <c r="G64" s="21"/>
      <c r="H64" s="160">
        <f>52215/100*F64</f>
        <v>51692.85</v>
      </c>
      <c r="I64" s="263">
        <v>0.54</v>
      </c>
      <c r="J64" s="24">
        <f>IFERROR(K64/H64,"")</f>
        <v>0.56300823034520253</v>
      </c>
      <c r="K64" s="22">
        <v>29103.5</v>
      </c>
      <c r="L64" s="21">
        <v>62</v>
      </c>
      <c r="M64" s="21">
        <v>35</v>
      </c>
      <c r="N64" s="21">
        <v>1</v>
      </c>
      <c r="O64" s="21">
        <v>1</v>
      </c>
      <c r="P64" s="21"/>
      <c r="Q64" s="21"/>
      <c r="R64" s="21"/>
      <c r="S64" s="21"/>
      <c r="T64" s="21"/>
      <c r="U64" s="25">
        <v>215</v>
      </c>
      <c r="V64" s="25">
        <f>H64*U64*I64/15</f>
        <v>400102.65900000004</v>
      </c>
      <c r="W64" s="25">
        <v>245.33</v>
      </c>
      <c r="X64" s="25">
        <f>958662.47/199*F64</f>
        <v>476922.53532663319</v>
      </c>
      <c r="Y64" s="25">
        <f>IF(B64="FRANCISCO CAMACHO",((F64*42)+(G64*42)),IF(B64="JOSE INACIO",((F64*60)+(G64*60)),0))</f>
        <v>4158</v>
      </c>
      <c r="Z64" s="264">
        <v>48578.2</v>
      </c>
      <c r="AA64" s="25">
        <v>0</v>
      </c>
      <c r="AB64" s="264">
        <v>2150</v>
      </c>
      <c r="AC64" s="25">
        <v>0</v>
      </c>
      <c r="AD64" s="25">
        <f>IF(F64="",G64*4.11,F64*4.11)</f>
        <v>406.89000000000004</v>
      </c>
      <c r="AE64" s="25">
        <f>1917.32/199*F64</f>
        <v>953.84261306532665</v>
      </c>
      <c r="AF64" s="25">
        <f>V64+Y64+Z64+AA64+AB64+AC64+AD64</f>
        <v>455395.74900000007</v>
      </c>
      <c r="AG64" s="25">
        <f>IFERROR(IFERROR((H64*W64*J64/15)-AE64,""),"")</f>
        <v>475043.60105360136</v>
      </c>
      <c r="AH64" s="26">
        <f>IFERROR(AG64-AF64,0)</f>
        <v>19647.852053601295</v>
      </c>
      <c r="AI64" s="25">
        <f>IF(F64="",(G64/$F$143)*$AL$28,(F64/$F$143)*$AL$28)</f>
        <v>-25.72474576271188</v>
      </c>
      <c r="AJ64" s="25">
        <f>(AH64-AI64)*70%</f>
        <v>13771.503759554804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198.46315205657874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4.1360102546427809E-2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/>
      <c r="B69" s="21"/>
      <c r="C69" s="21"/>
      <c r="D69" s="44"/>
      <c r="E69" s="44"/>
      <c r="F69" s="21"/>
      <c r="G69" s="21"/>
      <c r="H69" s="22">
        <v>0</v>
      </c>
      <c r="I69" s="33">
        <v>0</v>
      </c>
      <c r="J69" s="24" t="str">
        <f>IFERROR(K69/H69,"")</f>
        <v/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>
        <v>0</v>
      </c>
      <c r="V69" s="25">
        <f>H69*U69*I69/15</f>
        <v>0</v>
      </c>
      <c r="W69" s="25">
        <v>0</v>
      </c>
      <c r="X69" s="25">
        <v>0</v>
      </c>
      <c r="Y69" s="25">
        <f>IF(B69="FRANCISCO CAMACHO",((F69*42)+(G69*42)),IF(B69="JOSE INACIO",((F69*60)+(G69*60)),0))</f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f>IF(F69="",G69*4.11,F69*4.11)</f>
        <v>0</v>
      </c>
      <c r="AE69" s="25">
        <v>0</v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25">
        <f>IF(F69="",(G69/$F$143)*$AL$28,(F69/$F$143)*$AL$28)</f>
        <v>0</v>
      </c>
      <c r="AJ69" s="25">
        <f>(AH69-AI69)*70%</f>
        <v>0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/>
      <c r="B74" s="21"/>
      <c r="C74" s="21"/>
      <c r="D74" s="44"/>
      <c r="E74" s="44"/>
      <c r="F74" s="21"/>
      <c r="G74" s="21"/>
      <c r="H74" s="22">
        <v>0</v>
      </c>
      <c r="I74" s="33">
        <v>0</v>
      </c>
      <c r="J74" s="24" t="str">
        <f>IFERROR(K74/H74,"")</f>
        <v/>
      </c>
      <c r="K74" s="22"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>
        <v>0</v>
      </c>
      <c r="Y74" s="25">
        <f>IF(B74="FRANCISCO CAMACHO",((F74*42)+(G74*42)),IF(B74="JOSE INACIO",((F74*60)+(G74*60)),0))</f>
        <v>0</v>
      </c>
      <c r="Z74" s="25">
        <v>0</v>
      </c>
      <c r="AA74" s="25">
        <v>0</v>
      </c>
      <c r="AB74" s="25">
        <v>0</v>
      </c>
      <c r="AC74" s="25">
        <v>0</v>
      </c>
      <c r="AD74" s="25">
        <f>IF(F74="",G74*4.11,F74*4.11)</f>
        <v>0</v>
      </c>
      <c r="AE74" s="25">
        <v>0</v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25">
        <f>IF(F74="",(G74/$F$143)*$AL$28,(F74/$F$143)*$AL$28)</f>
        <v>0</v>
      </c>
      <c r="AJ74" s="25">
        <f>(AH74-AI74)*70%</f>
        <v>0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22">
        <v>0</v>
      </c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>
        <v>0</v>
      </c>
      <c r="Y79" s="25">
        <f>IF(B79="FRANCISCO CAMACHO",((F79*42)+(G79*42)),IF(B79="JOSE INACIO",((F79*60)+(G79*60)),0))</f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v>0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25">
        <f>IF(F79="",(G79/$F$143)*$AL$28,(F79/$F$143)*$AL$28)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22">
        <v>0</v>
      </c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f>IF(B84="FRANCISCO CAMACHO",((F84*42)+(G84*42)),IF(B84="JOSE INACIO",((F84*60)+(G84*60)),0))</f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25">
        <f>IF(F84="",(G84/$F$143)*$AL$28,(F84/$F$143)*$AL$28)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2">
        <v>0</v>
      </c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>
        <v>0</v>
      </c>
      <c r="Y89" s="25">
        <f>IF(B89="FRANCISCO CAMACHO",((F89*42)+(G89*42)),IF(B89="JOSE INACIO",((F89*60)+(G89*60)),0))</f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25">
        <f>IF(F89="",(G89/$F$143)*$AL$28,(F89/$F$143)*$AL$28)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2">
        <v>0</v>
      </c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f>IF(B94="FRANCISCO CAMACHO",((F94*42)+(G94*42)),IF(B94="JOSE INACIO",((F94*60)+(G94*60)),0))</f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25">
        <f>IF(F94="",(G94/$F$143)*$AL$28,(F94/$F$143)*$AL$28)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2">
        <v>0</v>
      </c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IF(B99="FRANCISCO CAMACHO",((F99*42)+(G99*42)),IF(B99="JOSE INACIO",((F99*60)+(G99*60)),0))</f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IF(F99="",(G99/$F$143)*$AL$28,(F99/$F$143)*$AL$28)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IF(B104="FRANCISCO CAMACHO",((F104*42)+(G104*42)),IF(B104="JOSE INACIO",((F104*60)+(G104*60)),0))</f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IF(F104="",(G104/$F$143)*$AL$28,(F104/$F$143)*$AL$28)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2">
        <v>0</v>
      </c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>
        <v>0</v>
      </c>
      <c r="Y109" s="25">
        <f>IF(B109="FRANCISCO CAMACHO",((F109*42)+(G109*42)),IF(B109="JOSE INACIO",((F109*60)+(G109*60)),0))</f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IF(F109="",(G109/$F$143)*$AL$28,(F109/$F$143)*$AL$28)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22">
        <v>0</v>
      </c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>
        <v>0</v>
      </c>
      <c r="X114" s="25">
        <v>0</v>
      </c>
      <c r="Y114" s="25">
        <f>IF(B114="FRANCISCO CAMACHO",((F114*42)+(G114*42)),IF(B114="JOSE INACIO",((F114*60)+(G114*60)),0))</f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f>IF(F114="",G114*4.11,F114*4.11)</f>
        <v>0</v>
      </c>
      <c r="AE114" s="25">
        <v>0</v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25">
        <f>IF(F114="",(G114/$F$143)*$AL$28,(F114/$F$143)*$AL$28)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47"/>
      <c r="AJ117" s="47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B119" s="21"/>
      <c r="C119" s="21"/>
      <c r="D119" s="44"/>
      <c r="E119" s="44"/>
      <c r="F119" s="21"/>
      <c r="G119" s="21"/>
      <c r="H119" s="22">
        <v>0</v>
      </c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>
        <v>0</v>
      </c>
      <c r="X119" s="25">
        <v>0</v>
      </c>
      <c r="Y119" s="25">
        <f>IF(B119="FRANCISCO CAMACHO",((F119*42)+(G119*42)),IF(B119="JOSE INACIO",((F119*60)+(G119*60)),0))</f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f>IF(F119="",G119*4.11,F119*4.11)</f>
        <v>0</v>
      </c>
      <c r="AE119" s="25">
        <v>0</v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25">
        <f>IF(F119="",(G119/$F$143)*$AL$28,(F119/$F$143)*$AL$28)</f>
        <v>0</v>
      </c>
      <c r="AJ119" s="25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x14ac:dyDescent="0.35">
      <c r="A124" s="20"/>
      <c r="B124" s="21"/>
      <c r="C124" s="21"/>
      <c r="D124" s="44"/>
      <c r="E124" s="44"/>
      <c r="F124" s="21"/>
      <c r="G124" s="21"/>
      <c r="H124" s="22">
        <v>0</v>
      </c>
      <c r="I124" s="33">
        <v>0</v>
      </c>
      <c r="J124" s="24" t="str">
        <f>IFERROR(K124/H124,"")</f>
        <v/>
      </c>
      <c r="K124" s="22">
        <v>0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>
        <v>0</v>
      </c>
      <c r="X124" s="25">
        <v>0</v>
      </c>
      <c r="Y124" s="25">
        <f>IF(B124="FRANCISCO CAMACHO",((F124*42)+(G124*42)),IF(B124="JOSE INACIO",((F124*60)+(G124*60)),0))</f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f>IF(F124="",G124*4.11,F124*4.11)</f>
        <v>0</v>
      </c>
      <c r="AE124" s="25">
        <v>0</v>
      </c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25">
        <f>IF(F124="",(G124/$F$143)*$AL$28,(F124/$F$143)*$AL$28)</f>
        <v>0</v>
      </c>
      <c r="AJ124" s="25">
        <f>(AH124-AI124)*70%</f>
        <v>0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</row>
    <row r="128" spans="1:36" x14ac:dyDescent="0.35">
      <c r="A128" s="14" t="s">
        <v>1</v>
      </c>
      <c r="B128" s="14" t="s">
        <v>2</v>
      </c>
      <c r="C128" s="14" t="s">
        <v>110</v>
      </c>
      <c r="D128" s="14" t="s">
        <v>66</v>
      </c>
      <c r="E128" s="14" t="s">
        <v>638</v>
      </c>
      <c r="F128" s="14" t="s">
        <v>137</v>
      </c>
      <c r="G128" s="14" t="s">
        <v>138</v>
      </c>
      <c r="H128" s="14" t="s">
        <v>4</v>
      </c>
      <c r="I128" s="14" t="s">
        <v>5</v>
      </c>
      <c r="J128" s="14" t="s">
        <v>6</v>
      </c>
      <c r="K128" s="14" t="s">
        <v>7</v>
      </c>
      <c r="L128" s="14" t="s">
        <v>279</v>
      </c>
      <c r="M128" s="14" t="s">
        <v>280</v>
      </c>
      <c r="N128" s="14" t="s">
        <v>281</v>
      </c>
      <c r="O128" s="14" t="s">
        <v>282</v>
      </c>
      <c r="P128" s="14" t="s">
        <v>283</v>
      </c>
      <c r="Q128" s="14" t="s">
        <v>284</v>
      </c>
      <c r="R128" s="14" t="s">
        <v>904</v>
      </c>
      <c r="S128" s="14" t="s">
        <v>285</v>
      </c>
      <c r="T128" s="14" t="s">
        <v>289</v>
      </c>
      <c r="U128" s="14" t="s">
        <v>8</v>
      </c>
      <c r="V128" s="14" t="s">
        <v>9</v>
      </c>
      <c r="W128" s="14" t="s">
        <v>10</v>
      </c>
      <c r="X128" s="14" t="s">
        <v>100</v>
      </c>
      <c r="Y128" s="14" t="s">
        <v>106</v>
      </c>
      <c r="Z128" s="14" t="s">
        <v>12</v>
      </c>
      <c r="AA128" s="14" t="s">
        <v>258</v>
      </c>
      <c r="AB128" s="14" t="s">
        <v>13</v>
      </c>
      <c r="AC128" s="14" t="s">
        <v>74</v>
      </c>
      <c r="AD128" s="14" t="s">
        <v>21</v>
      </c>
      <c r="AE128" s="14" t="s">
        <v>14</v>
      </c>
      <c r="AF128" s="14" t="s">
        <v>15</v>
      </c>
      <c r="AG128" s="14" t="s">
        <v>16</v>
      </c>
      <c r="AH128" s="15" t="s">
        <v>17</v>
      </c>
      <c r="AI128" s="14" t="s">
        <v>679</v>
      </c>
      <c r="AJ128" s="14" t="s">
        <v>678</v>
      </c>
    </row>
    <row r="129" spans="1:36" x14ac:dyDescent="0.35">
      <c r="A129" s="20"/>
      <c r="B129" s="21"/>
      <c r="C129" s="21"/>
      <c r="D129" s="44"/>
      <c r="E129" s="44"/>
      <c r="F129" s="21"/>
      <c r="G129" s="21"/>
      <c r="H129" s="22">
        <v>0</v>
      </c>
      <c r="I129" s="33">
        <v>0</v>
      </c>
      <c r="J129" s="24" t="str">
        <f>IFERROR(K129/H129,"")</f>
        <v/>
      </c>
      <c r="K129" s="22">
        <v>0</v>
      </c>
      <c r="L129" s="21"/>
      <c r="M129" s="21"/>
      <c r="N129" s="21"/>
      <c r="O129" s="21"/>
      <c r="P129" s="21"/>
      <c r="Q129" s="21"/>
      <c r="R129" s="21"/>
      <c r="S129" s="21"/>
      <c r="T129" s="21"/>
      <c r="U129" s="25">
        <v>0</v>
      </c>
      <c r="V129" s="25">
        <f>H129*U129*I129/15</f>
        <v>0</v>
      </c>
      <c r="W129" s="25">
        <v>0</v>
      </c>
      <c r="X129" s="25">
        <v>0</v>
      </c>
      <c r="Y129" s="25">
        <f>IF(B129="FRANCISCO CAMACHO",((F129*42)+(G129*42)),IF(B129="JOSE INACIO",((F129*60)+(G129*60)),0))</f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f>IF(F129="",G129*4.11,F129*4.11)</f>
        <v>0</v>
      </c>
      <c r="AE129" s="25">
        <v>0</v>
      </c>
      <c r="AF129" s="25">
        <f>V129+Y129+Z129+AA129+AB129+AC129+AD129</f>
        <v>0</v>
      </c>
      <c r="AG129" s="25" t="str">
        <f>IFERROR(IFERROR((H129*W129*J129/15)-AE129,""),"")</f>
        <v/>
      </c>
      <c r="AH129" s="26">
        <f>IFERROR(AG129-AF129,0)</f>
        <v>0</v>
      </c>
      <c r="AI129" s="25">
        <f>IF(F129="",(G129/$F$143)*$AL$28,(F129/$F$143)*$AL$28)</f>
        <v>0</v>
      </c>
      <c r="AJ129" s="25">
        <f>(AH129-AI129)*70%</f>
        <v>0</v>
      </c>
    </row>
    <row r="130" spans="1:36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3"/>
      <c r="AA130" s="21"/>
      <c r="AB130" s="21"/>
      <c r="AC130" s="21"/>
      <c r="AD130" s="21"/>
      <c r="AE130" s="21"/>
      <c r="AF130" s="21"/>
      <c r="AG130" s="21"/>
      <c r="AH130" s="26">
        <f>IFERROR(AH129/F129,0)+IFERROR(AH129/G129,0)</f>
        <v>0</v>
      </c>
    </row>
    <row r="131" spans="1:36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7" t="str">
        <f>IFERROR(AH129/AG129,"")</f>
        <v/>
      </c>
    </row>
    <row r="132" spans="1:36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</row>
    <row r="133" spans="1:36" x14ac:dyDescent="0.35">
      <c r="A133" s="14" t="s">
        <v>1</v>
      </c>
      <c r="B133" s="14" t="s">
        <v>2</v>
      </c>
      <c r="C133" s="14" t="s">
        <v>110</v>
      </c>
      <c r="D133" s="14" t="s">
        <v>66</v>
      </c>
      <c r="E133" s="14" t="s">
        <v>638</v>
      </c>
      <c r="F133" s="14" t="s">
        <v>137</v>
      </c>
      <c r="G133" s="14" t="s">
        <v>138</v>
      </c>
      <c r="H133" s="14" t="s">
        <v>4</v>
      </c>
      <c r="I133" s="14" t="s">
        <v>5</v>
      </c>
      <c r="J133" s="14" t="s">
        <v>6</v>
      </c>
      <c r="K133" s="14" t="s">
        <v>7</v>
      </c>
      <c r="L133" s="14" t="s">
        <v>279</v>
      </c>
      <c r="M133" s="14" t="s">
        <v>280</v>
      </c>
      <c r="N133" s="14" t="s">
        <v>281</v>
      </c>
      <c r="O133" s="14" t="s">
        <v>282</v>
      </c>
      <c r="P133" s="14" t="s">
        <v>283</v>
      </c>
      <c r="Q133" s="14" t="s">
        <v>284</v>
      </c>
      <c r="R133" s="14" t="s">
        <v>904</v>
      </c>
      <c r="S133" s="14" t="s">
        <v>285</v>
      </c>
      <c r="T133" s="14" t="s">
        <v>289</v>
      </c>
      <c r="U133" s="14" t="s">
        <v>8</v>
      </c>
      <c r="V133" s="14" t="s">
        <v>9</v>
      </c>
      <c r="W133" s="14" t="s">
        <v>10</v>
      </c>
      <c r="X133" s="14" t="s">
        <v>100</v>
      </c>
      <c r="Y133" s="14" t="s">
        <v>106</v>
      </c>
      <c r="Z133" s="14" t="s">
        <v>12</v>
      </c>
      <c r="AA133" s="14" t="s">
        <v>258</v>
      </c>
      <c r="AB133" s="14" t="s">
        <v>13</v>
      </c>
      <c r="AC133" s="14" t="s">
        <v>74</v>
      </c>
      <c r="AD133" s="14" t="s">
        <v>21</v>
      </c>
      <c r="AE133" s="14" t="s">
        <v>14</v>
      </c>
      <c r="AF133" s="14" t="s">
        <v>15</v>
      </c>
      <c r="AG133" s="14" t="s">
        <v>16</v>
      </c>
      <c r="AH133" s="15" t="s">
        <v>17</v>
      </c>
      <c r="AI133" s="14" t="s">
        <v>679</v>
      </c>
      <c r="AJ133" s="14" t="s">
        <v>678</v>
      </c>
    </row>
    <row r="134" spans="1:36" x14ac:dyDescent="0.35">
      <c r="A134" s="20"/>
      <c r="B134" s="21"/>
      <c r="C134" s="21"/>
      <c r="D134" s="44"/>
      <c r="E134" s="44"/>
      <c r="F134" s="21"/>
      <c r="G134" s="21"/>
      <c r="H134" s="22">
        <v>0</v>
      </c>
      <c r="I134" s="33">
        <v>0</v>
      </c>
      <c r="J134" s="24" t="str">
        <f>IFERROR(K134/H134,"")</f>
        <v/>
      </c>
      <c r="K134" s="22">
        <v>0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5">
        <v>0</v>
      </c>
      <c r="V134" s="25">
        <f>H134*U134*I134/15</f>
        <v>0</v>
      </c>
      <c r="W134" s="25">
        <v>0</v>
      </c>
      <c r="X134" s="25">
        <v>0</v>
      </c>
      <c r="Y134" s="25">
        <f>IF(B134="FRANCISCO CAMACHO",((F134*42)+(G134*42)),IF(B134="JOSE INACIO",((F134*60)+(G134*60)),0))</f>
        <v>0</v>
      </c>
      <c r="Z134" s="25">
        <v>0</v>
      </c>
      <c r="AA134" s="25">
        <v>0</v>
      </c>
      <c r="AB134" s="25">
        <v>0</v>
      </c>
      <c r="AC134" s="25">
        <v>0</v>
      </c>
      <c r="AD134" s="25">
        <f>IF(F134="",G134*4.11,F134*4.11)</f>
        <v>0</v>
      </c>
      <c r="AE134" s="25">
        <v>0</v>
      </c>
      <c r="AF134" s="25">
        <f>V134+Y134+Z134+AA134+AB134+AC134+AD134</f>
        <v>0</v>
      </c>
      <c r="AG134" s="25" t="str">
        <f>IFERROR(IFERROR((H134*W134*J134/15)-AE134,""),"")</f>
        <v/>
      </c>
      <c r="AH134" s="26">
        <f>IFERROR(AG134-AF134,0)</f>
        <v>0</v>
      </c>
      <c r="AI134" s="25">
        <f>IF(F134="",(G134/$F$143)*$AL$28,(F134/$F$143)*$AL$28)</f>
        <v>0</v>
      </c>
      <c r="AJ134" s="25">
        <f>(AH134-AI134)*70%</f>
        <v>0</v>
      </c>
    </row>
    <row r="135" spans="1:36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3"/>
      <c r="AA135" s="21"/>
      <c r="AB135" s="21"/>
      <c r="AC135" s="21"/>
      <c r="AD135" s="21"/>
      <c r="AE135" s="21"/>
      <c r="AF135" s="21"/>
      <c r="AG135" s="21"/>
      <c r="AH135" s="26">
        <f>IFERROR(AH134/F134,0)+IFERROR(AH134/G134,0)</f>
        <v>0</v>
      </c>
    </row>
    <row r="136" spans="1:36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7" t="str">
        <f>IFERROR(AH134/AG134,"")</f>
        <v/>
      </c>
    </row>
    <row r="137" spans="1:36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47"/>
    </row>
    <row r="138" spans="1:36" x14ac:dyDescent="0.35">
      <c r="A138" s="14" t="s">
        <v>1</v>
      </c>
      <c r="B138" s="14" t="s">
        <v>2</v>
      </c>
      <c r="C138" s="14" t="s">
        <v>110</v>
      </c>
      <c r="D138" s="14" t="s">
        <v>66</v>
      </c>
      <c r="E138" s="14" t="s">
        <v>638</v>
      </c>
      <c r="F138" s="14" t="s">
        <v>137</v>
      </c>
      <c r="G138" s="14" t="s">
        <v>138</v>
      </c>
      <c r="H138" s="14" t="s">
        <v>4</v>
      </c>
      <c r="I138" s="14" t="s">
        <v>5</v>
      </c>
      <c r="J138" s="14" t="s">
        <v>6</v>
      </c>
      <c r="K138" s="14" t="s">
        <v>7</v>
      </c>
      <c r="L138" s="14" t="s">
        <v>279</v>
      </c>
      <c r="M138" s="14" t="s">
        <v>280</v>
      </c>
      <c r="N138" s="14" t="s">
        <v>281</v>
      </c>
      <c r="O138" s="14" t="s">
        <v>282</v>
      </c>
      <c r="P138" s="14" t="s">
        <v>283</v>
      </c>
      <c r="Q138" s="14" t="s">
        <v>284</v>
      </c>
      <c r="R138" s="14" t="s">
        <v>904</v>
      </c>
      <c r="S138" s="14" t="s">
        <v>285</v>
      </c>
      <c r="T138" s="14" t="s">
        <v>289</v>
      </c>
      <c r="U138" s="14" t="s">
        <v>8</v>
      </c>
      <c r="V138" s="14" t="s">
        <v>9</v>
      </c>
      <c r="W138" s="14" t="s">
        <v>10</v>
      </c>
      <c r="X138" s="14" t="s">
        <v>100</v>
      </c>
      <c r="Y138" s="14" t="s">
        <v>106</v>
      </c>
      <c r="Z138" s="14" t="s">
        <v>12</v>
      </c>
      <c r="AA138" s="14" t="s">
        <v>258</v>
      </c>
      <c r="AB138" s="14" t="s">
        <v>13</v>
      </c>
      <c r="AC138" s="14" t="s">
        <v>74</v>
      </c>
      <c r="AD138" s="14" t="s">
        <v>21</v>
      </c>
      <c r="AE138" s="14" t="s">
        <v>14</v>
      </c>
      <c r="AF138" s="14" t="s">
        <v>15</v>
      </c>
      <c r="AG138" s="14" t="s">
        <v>16</v>
      </c>
      <c r="AH138" s="15" t="s">
        <v>17</v>
      </c>
      <c r="AI138" s="14" t="s">
        <v>679</v>
      </c>
      <c r="AJ138" s="14" t="s">
        <v>678</v>
      </c>
    </row>
    <row r="139" spans="1:36" x14ac:dyDescent="0.35">
      <c r="A139" s="20"/>
      <c r="B139" s="21"/>
      <c r="C139" s="21"/>
      <c r="D139" s="44"/>
      <c r="E139" s="44"/>
      <c r="F139" s="21"/>
      <c r="G139" s="21"/>
      <c r="H139" s="22">
        <v>0</v>
      </c>
      <c r="I139" s="33">
        <v>0</v>
      </c>
      <c r="J139" s="24" t="str">
        <f>IFERROR(K139/H139,"")</f>
        <v/>
      </c>
      <c r="K139" s="22">
        <v>0</v>
      </c>
      <c r="L139" s="21"/>
      <c r="M139" s="21"/>
      <c r="N139" s="21"/>
      <c r="O139" s="21"/>
      <c r="P139" s="21"/>
      <c r="Q139" s="21"/>
      <c r="R139" s="21"/>
      <c r="S139" s="21"/>
      <c r="T139" s="21"/>
      <c r="U139" s="25">
        <v>0</v>
      </c>
      <c r="V139" s="25">
        <f>H139*U139*I139/15</f>
        <v>0</v>
      </c>
      <c r="W139" s="25">
        <v>0</v>
      </c>
      <c r="X139" s="25">
        <v>0</v>
      </c>
      <c r="Y139" s="25">
        <f>IF(B139="FRANCISCO CAMACHO",((F139*42)+(G139*42)),IF(B139="JOSE INACIO",((F139*60)+(G139*60)),0))</f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f>IF(F139="",G139*4.11,F139*4.11)</f>
        <v>0</v>
      </c>
      <c r="AE139" s="25">
        <v>0</v>
      </c>
      <c r="AF139" s="25">
        <f>V139+Y139+Z139+AA139+AB139+AC139+AD139</f>
        <v>0</v>
      </c>
      <c r="AG139" s="25" t="str">
        <f>IFERROR(IFERROR((H139*W139*J139/15)-AE139,""),"")</f>
        <v/>
      </c>
      <c r="AH139" s="26">
        <f>IFERROR(AG139-AF139,0)</f>
        <v>0</v>
      </c>
      <c r="AI139" s="25">
        <f>IF(F139="",(G139/$F$143)*$AL$28,(F139/$F$143)*$AL$28)</f>
        <v>0</v>
      </c>
      <c r="AJ139" s="25">
        <f>(AH139-AI139)*70%</f>
        <v>0</v>
      </c>
    </row>
    <row r="140" spans="1:36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3"/>
      <c r="AA140" s="21"/>
      <c r="AB140" s="21"/>
      <c r="AC140" s="21"/>
      <c r="AD140" s="21"/>
      <c r="AE140" s="21"/>
      <c r="AF140" s="21"/>
      <c r="AG140" s="21"/>
      <c r="AH140" s="26">
        <f>IFERROR(AH139/F139,0)+IFERROR(AH139/G139,0)</f>
        <v>0</v>
      </c>
    </row>
    <row r="141" spans="1:36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7" t="str">
        <f>IFERROR(AH139/AG139,"")</f>
        <v/>
      </c>
    </row>
    <row r="142" spans="1:36" ht="15" thickBot="1" x14ac:dyDescent="0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47"/>
      <c r="AI142" s="47"/>
      <c r="AJ142" s="47"/>
    </row>
    <row r="143" spans="1:36" ht="16" thickBot="1" x14ac:dyDescent="0.4">
      <c r="A143" s="377" t="s">
        <v>739</v>
      </c>
      <c r="B143" s="378"/>
      <c r="C143" s="378"/>
      <c r="D143" s="378"/>
      <c r="E143" s="378"/>
      <c r="F143" s="163">
        <f>SUM(F1:G139)</f>
        <v>1298</v>
      </c>
      <c r="G143" s="163"/>
      <c r="H143" s="30"/>
      <c r="I143" s="30"/>
      <c r="J143" s="30"/>
      <c r="K143" s="30"/>
      <c r="L143" s="46"/>
      <c r="M143" s="46"/>
      <c r="N143" s="46"/>
      <c r="O143" s="46"/>
      <c r="P143" s="46"/>
      <c r="Q143" s="46"/>
      <c r="R143" s="46"/>
      <c r="S143" s="46"/>
      <c r="T143" s="46"/>
      <c r="U143" s="30"/>
      <c r="V143" s="31">
        <f>SUM(V4:V142)</f>
        <v>5676074.865666667</v>
      </c>
      <c r="W143" s="31"/>
      <c r="X143" s="31"/>
      <c r="Y143" s="31">
        <f t="shared" ref="Y143:AG143" si="0">SUM(Y4:Y142)</f>
        <v>46116</v>
      </c>
      <c r="Z143" s="31">
        <f t="shared" si="0"/>
        <v>509921.08</v>
      </c>
      <c r="AA143" s="31">
        <f t="shared" si="0"/>
        <v>0</v>
      </c>
      <c r="AB143" s="31">
        <f t="shared" si="0"/>
        <v>30250</v>
      </c>
      <c r="AC143" s="31">
        <f t="shared" si="0"/>
        <v>7600</v>
      </c>
      <c r="AD143" s="31">
        <f t="shared" si="0"/>
        <v>5334.7800000000007</v>
      </c>
      <c r="AE143" s="31">
        <f t="shared" si="0"/>
        <v>12944.486963065327</v>
      </c>
      <c r="AF143" s="31">
        <f t="shared" si="0"/>
        <v>6275296.7256666673</v>
      </c>
      <c r="AG143" s="31">
        <f t="shared" si="0"/>
        <v>6458381.4360636007</v>
      </c>
      <c r="AH143" s="161">
        <f>AH4+AH9+AH14+AH19+AH24+AH29+AH34+AH39+AH44+AH49+AH54+AH59+AH64+AH69+AH74+AH79+AH84+AH89+AH94+AH99+AH104+AH109+AH114+AH119+AH124+AH129+AH134+AH139</f>
        <v>183084.71039693398</v>
      </c>
      <c r="AI143" s="165">
        <f>SUM(AI4:AI141)</f>
        <v>-337.2800000000002</v>
      </c>
      <c r="AJ143" s="165">
        <f>SUM(AJ4:AJ141)</f>
        <v>128395.39327785376</v>
      </c>
    </row>
    <row r="145" spans="22:35" x14ac:dyDescent="0.35">
      <c r="V145" s="162"/>
      <c r="AI145" s="25"/>
    </row>
  </sheetData>
  <mergeCells count="2">
    <mergeCell ref="U2:AC2"/>
    <mergeCell ref="A143:E14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45"/>
  <sheetViews>
    <sheetView zoomScale="85" zoomScaleNormal="85" workbookViewId="0">
      <pane xSplit="7" ySplit="3" topLeftCell="H4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19.179687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AF143</f>
        <v>2766079.3766666674</v>
      </c>
      <c r="AM3" s="164">
        <f>AH143-AI143</f>
        <v>-63044.400220268275</v>
      </c>
    </row>
    <row r="4" spans="1:40" x14ac:dyDescent="0.35">
      <c r="A4" s="20">
        <v>45229</v>
      </c>
      <c r="B4" s="21" t="s">
        <v>419</v>
      </c>
      <c r="C4" s="21" t="s">
        <v>341</v>
      </c>
      <c r="D4" s="44">
        <v>1886138</v>
      </c>
      <c r="E4" s="44" t="s">
        <v>652</v>
      </c>
      <c r="F4" s="21">
        <v>50</v>
      </c>
      <c r="G4" s="21"/>
      <c r="H4" s="22">
        <v>26030</v>
      </c>
      <c r="I4" s="33">
        <v>0.54</v>
      </c>
      <c r="J4" s="24">
        <f>IFERROR(K4/H4,"")</f>
        <v>0.52741067998463309</v>
      </c>
      <c r="K4" s="22">
        <v>13728.5</v>
      </c>
      <c r="L4" s="21">
        <v>31</v>
      </c>
      <c r="M4" s="21">
        <v>14</v>
      </c>
      <c r="N4" s="21">
        <v>5</v>
      </c>
      <c r="O4" s="21"/>
      <c r="P4" s="21"/>
      <c r="Q4" s="21"/>
      <c r="R4" s="21"/>
      <c r="S4" s="21"/>
      <c r="T4" s="21"/>
      <c r="U4" s="25">
        <v>225</v>
      </c>
      <c r="V4" s="25">
        <f>H4*U4*I4/15</f>
        <v>210843</v>
      </c>
      <c r="W4" s="25">
        <v>245.33</v>
      </c>
      <c r="X4" s="25">
        <f>958662.47/199*F4</f>
        <v>240869.96733668342</v>
      </c>
      <c r="Y4" s="25">
        <f>IF(B4="FRANCISCO CAMACHO",((F4*42)+(G4*42)),IF(B4="DANILO VIANA",((F4*60)+(G4*60)),0))</f>
        <v>3000</v>
      </c>
      <c r="Z4" s="264">
        <v>6570</v>
      </c>
      <c r="AA4" s="25">
        <v>0</v>
      </c>
      <c r="AB4" s="264">
        <v>1125</v>
      </c>
      <c r="AC4" s="25">
        <f>38*F4</f>
        <v>1900</v>
      </c>
      <c r="AD4" s="25">
        <f>IF(F4="",G4*4.11,F4*4.11)</f>
        <v>205.50000000000003</v>
      </c>
      <c r="AE4" s="25">
        <f>1917.32/199*F4</f>
        <v>481.7386934673367</v>
      </c>
      <c r="AF4" s="25">
        <f>V4+Y4+Z4+AA4+AB4+AC4+AD4</f>
        <v>223643.5</v>
      </c>
      <c r="AG4" s="25">
        <f>IFERROR(IFERROR((H4*W4*J4/15)-AE4,""),"")</f>
        <v>224052.45497319935</v>
      </c>
      <c r="AH4" s="26">
        <f>IFERROR(AG4-AF4,0)</f>
        <v>408.95497319934657</v>
      </c>
      <c r="AI4" s="25">
        <f>IF(F4="",(G4/$F$143)*$AL$28,(F4/$F$143)*$AL$28)</f>
        <v>1365.0778145695365</v>
      </c>
      <c r="AJ4" s="25">
        <f>(AH4-AI4)*70%</f>
        <v>-669.28598895913285</v>
      </c>
      <c r="AL4" s="166" t="s">
        <v>749</v>
      </c>
      <c r="AM4" s="167">
        <f>AM3/AL3</f>
        <v>-2.2791970740999302E-2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8.1790994639869314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1.8252644151935977E-3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45230</v>
      </c>
      <c r="B9" s="21" t="s">
        <v>783</v>
      </c>
      <c r="C9" s="21" t="s">
        <v>784</v>
      </c>
      <c r="D9" s="44">
        <v>1886138</v>
      </c>
      <c r="E9" s="44" t="s">
        <v>652</v>
      </c>
      <c r="F9" s="21">
        <v>50</v>
      </c>
      <c r="G9" s="21"/>
      <c r="H9" s="22">
        <v>28640</v>
      </c>
      <c r="I9" s="33">
        <v>0.55000000000000004</v>
      </c>
      <c r="J9" s="24">
        <f>IFERROR(K9/H9,"")</f>
        <v>0.55109986033519553</v>
      </c>
      <c r="K9" s="22">
        <v>15783.5</v>
      </c>
      <c r="L9" s="21">
        <v>4</v>
      </c>
      <c r="M9" s="21">
        <v>10</v>
      </c>
      <c r="N9" s="21">
        <v>26</v>
      </c>
      <c r="O9" s="21">
        <v>8</v>
      </c>
      <c r="P9" s="21">
        <v>2</v>
      </c>
      <c r="Q9" s="21"/>
      <c r="R9" s="21"/>
      <c r="S9" s="21"/>
      <c r="T9" s="21"/>
      <c r="U9" s="25">
        <v>235</v>
      </c>
      <c r="V9" s="25">
        <f>H9*U9*I9/15</f>
        <v>246781.33333333337</v>
      </c>
      <c r="W9" s="25">
        <v>245.33</v>
      </c>
      <c r="X9" s="25">
        <f>958662.47/199*F9</f>
        <v>240869.96733668342</v>
      </c>
      <c r="Y9" s="25">
        <f>IF(B9="FRANCISCO CAMACHO",((F9*42)+(G9*42)),IF(B9="JOSE INACIO",((F9*60)+(G9*60)),0))</f>
        <v>0</v>
      </c>
      <c r="Z9" s="264">
        <v>1504</v>
      </c>
      <c r="AA9" s="25">
        <v>0</v>
      </c>
      <c r="AB9" s="264">
        <v>1175</v>
      </c>
      <c r="AC9" s="25">
        <v>0</v>
      </c>
      <c r="AD9" s="25">
        <f>IF(F9="",G9*4.11,F9*4.11)</f>
        <v>205.50000000000003</v>
      </c>
      <c r="AE9" s="25">
        <f>1917.32/199*F9</f>
        <v>481.7386934673367</v>
      </c>
      <c r="AF9" s="25">
        <f>V9+Y9+Z9+AA9+AB9+AC9+AD9</f>
        <v>249665.83333333337</v>
      </c>
      <c r="AG9" s="25">
        <f>IFERROR(IFERROR((H9*W9*J9/15)-AE9,""),"")</f>
        <v>257662.66497319934</v>
      </c>
      <c r="AH9" s="26">
        <f>IFERROR(AG9-AF9,0)</f>
        <v>7996.8316398659663</v>
      </c>
      <c r="AI9" s="25">
        <f>IF(F9="",(G9/$F$143)*$AL$28,(F9/$F$143)*$AL$28)</f>
        <v>1365.0778145695365</v>
      </c>
      <c r="AJ9" s="25">
        <f>(AH9-AI9)*70%</f>
        <v>4642.2276777075003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159.93663279731933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3.1036051112402152E-2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45230</v>
      </c>
      <c r="B14" s="21" t="s">
        <v>632</v>
      </c>
      <c r="C14" s="21" t="s">
        <v>676</v>
      </c>
      <c r="D14" s="44">
        <v>1886137</v>
      </c>
      <c r="E14" s="44" t="s">
        <v>652</v>
      </c>
      <c r="F14" s="21">
        <v>50</v>
      </c>
      <c r="G14" s="21"/>
      <c r="H14" s="22">
        <v>28500</v>
      </c>
      <c r="I14" s="33">
        <v>0.55000000000000004</v>
      </c>
      <c r="J14" s="24">
        <f>IFERROR(K14/H14,"")</f>
        <v>0.55521052631578949</v>
      </c>
      <c r="K14" s="22">
        <v>15823.5</v>
      </c>
      <c r="L14" s="21">
        <v>47</v>
      </c>
      <c r="M14" s="21">
        <v>2</v>
      </c>
      <c r="N14" s="21">
        <v>1</v>
      </c>
      <c r="O14" s="21"/>
      <c r="P14" s="21"/>
      <c r="Q14" s="21"/>
      <c r="R14" s="21"/>
      <c r="S14" s="21"/>
      <c r="T14" s="21"/>
      <c r="U14" s="25">
        <v>215</v>
      </c>
      <c r="V14" s="25">
        <f>H14*U14*I14/15</f>
        <v>224675.00000000003</v>
      </c>
      <c r="W14" s="25">
        <v>236.55</v>
      </c>
      <c r="X14" s="25">
        <f>894025.45/204*F14</f>
        <v>219123.88480392157</v>
      </c>
      <c r="Y14" s="25">
        <f>IF(B14="FRANCISCO CAMACHO",((F14*42)+(G14*42)),IF(B14="DANILO VIANA",((F14*60)+(G14*60)),0))</f>
        <v>2100</v>
      </c>
      <c r="Z14" s="264">
        <v>22823.8</v>
      </c>
      <c r="AA14" s="25">
        <v>0</v>
      </c>
      <c r="AB14" s="264">
        <f>3225/150*F14</f>
        <v>1075</v>
      </c>
      <c r="AC14" s="25">
        <v>0</v>
      </c>
      <c r="AD14" s="25">
        <f>IF(F14="",G14*4.11,F14*4.11)</f>
        <v>205.50000000000003</v>
      </c>
      <c r="AE14" s="25">
        <f>1788.04/204*F14</f>
        <v>438.24509803921569</v>
      </c>
      <c r="AF14" s="25">
        <f>V14+Y14+Z14+AA14+AB14+AC14+AD14</f>
        <v>250879.30000000002</v>
      </c>
      <c r="AG14" s="25">
        <f>IFERROR(IFERROR((H14*W14*J14/15)-AE14,""),"")</f>
        <v>249098.34990196081</v>
      </c>
      <c r="AH14" s="26">
        <f>IFERROR(AG14-AF14,0)</f>
        <v>-1780.950098039204</v>
      </c>
      <c r="AI14" s="25">
        <f>IF(F14="",(G14/$F$143)*$AL$28,(F14/$F$143)*$AL$28)</f>
        <v>1365.0778145695365</v>
      </c>
      <c r="AJ14" s="25">
        <f>(AH14-AI14)*70%</f>
        <v>-2202.2195388261184</v>
      </c>
      <c r="AL14" s="14">
        <f>F4+G4+F9+G9+F14+G14+F19+G19+F24+G24+F29+G29+F34+G34+F39+G39+F44+G44+F49+G49+F54+G54+F59+G59+F64+G64+F74+G74+F79+G79+F69+G69+F84+G84+F89+G89+F94+G94+F99+G99+F104+G104+F109+G109+F114+G114+F119+G119+F124+G124+F129+G129+F134+G134+F139+G139</f>
        <v>604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5"/>
      <c r="W15" s="21"/>
      <c r="X15" s="25"/>
      <c r="Y15" s="21"/>
      <c r="Z15" s="3"/>
      <c r="AA15" s="21"/>
      <c r="AB15" s="21"/>
      <c r="AC15" s="21"/>
      <c r="AD15" s="21"/>
      <c r="AE15" s="21"/>
      <c r="AF15" s="25"/>
      <c r="AG15" s="21"/>
      <c r="AH15" s="26">
        <f>IFERROR(AH14/F14,0)+IFERROR(AH14/G14,0)</f>
        <v>-35.619001960784082</v>
      </c>
      <c r="AL15" s="11">
        <f>AH143</f>
        <v>-46554.260220268276</v>
      </c>
      <c r="AM15" s="11">
        <f>AL15*30%</f>
        <v>-13966.278066080482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2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5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-7.1495860921605607E-3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45231</v>
      </c>
      <c r="B19" s="21" t="s">
        <v>789</v>
      </c>
      <c r="C19" s="21" t="s">
        <v>790</v>
      </c>
      <c r="D19" s="44">
        <v>1886137</v>
      </c>
      <c r="E19" s="44" t="s">
        <v>652</v>
      </c>
      <c r="F19" s="21">
        <v>104</v>
      </c>
      <c r="G19" s="21"/>
      <c r="H19" s="22">
        <v>47760</v>
      </c>
      <c r="I19" s="33">
        <v>0.52</v>
      </c>
      <c r="J19" s="24">
        <f>IFERROR(K19/H19,"")</f>
        <v>0.5026695979899497</v>
      </c>
      <c r="K19" s="22">
        <v>24007.5</v>
      </c>
      <c r="L19" s="21">
        <v>9</v>
      </c>
      <c r="M19" s="21">
        <v>27</v>
      </c>
      <c r="N19" s="21">
        <v>50</v>
      </c>
      <c r="O19" s="21">
        <v>17</v>
      </c>
      <c r="P19" s="21">
        <v>1</v>
      </c>
      <c r="Q19" s="21"/>
      <c r="R19" s="21"/>
      <c r="S19" s="21"/>
      <c r="T19" s="21"/>
      <c r="U19" s="25">
        <v>230</v>
      </c>
      <c r="V19" s="25">
        <f>H19*U19*I19/15</f>
        <v>380806.40000000002</v>
      </c>
      <c r="W19" s="25">
        <v>236.55</v>
      </c>
      <c r="X19" s="25">
        <f>894025.45/204*F19</f>
        <v>455777.68039215682</v>
      </c>
      <c r="Y19" s="25">
        <f>IF(B19="FRANCISCO CAMACHO",((F19*42)+(G19*42)),IF(B19="JOSE INACIO",((F19*60)+(G19*60)),0))</f>
        <v>0</v>
      </c>
      <c r="Z19" s="264">
        <f>(4160+9702.4+8520)/260*F19</f>
        <v>8952.9600000000009</v>
      </c>
      <c r="AA19" s="25">
        <v>0</v>
      </c>
      <c r="AB19" s="264">
        <f>7085/260*F19</f>
        <v>2834</v>
      </c>
      <c r="AC19" s="25">
        <v>0</v>
      </c>
      <c r="AD19" s="25">
        <f>IF(F19="",G19*4.11,F19*4.11)</f>
        <v>427.44000000000005</v>
      </c>
      <c r="AE19" s="25">
        <f>1788.04/204*F19</f>
        <v>911.5498039215687</v>
      </c>
      <c r="AF19" s="25">
        <f>V19+Y19+Z19+AA19+AB19+AC19+AD19</f>
        <v>393020.80000000005</v>
      </c>
      <c r="AG19" s="25">
        <f>IFERROR(IFERROR((H19*W19*J19/15)-AE19,""),"")</f>
        <v>377686.72519607842</v>
      </c>
      <c r="AH19" s="26">
        <f>IFERROR(AG19-AF19,0)</f>
        <v>-15334.074803921627</v>
      </c>
      <c r="AI19" s="25">
        <f>IF(F19="",(G19/$F$143)*$AL$28,(F19/$F$143)*$AL$28)</f>
        <v>2839.3618543046355</v>
      </c>
      <c r="AJ19" s="25">
        <f>(AH19-AI19)*70%</f>
        <v>-12721.405660758383</v>
      </c>
      <c r="AL19" s="178">
        <v>200</v>
      </c>
      <c r="AM19" s="6" t="s">
        <v>742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5"/>
      <c r="W20" s="21"/>
      <c r="X20" s="25"/>
      <c r="Y20" s="21"/>
      <c r="Z20" s="3"/>
      <c r="AA20" s="21"/>
      <c r="AB20" s="21"/>
      <c r="AC20" s="21"/>
      <c r="AD20" s="21"/>
      <c r="AE20" s="21"/>
      <c r="AF20" s="25"/>
      <c r="AG20" s="21"/>
      <c r="AH20" s="26">
        <f>IFERROR(AH19/F19,0)+IFERROR(AH19/G19,0)</f>
        <v>-147.44302696078486</v>
      </c>
      <c r="AL20" s="178">
        <v>2162.7199999999998</v>
      </c>
      <c r="AM20" s="6" t="s">
        <v>736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2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5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-4.059998348091489E-2</v>
      </c>
      <c r="AL21" s="178">
        <v>4694</v>
      </c>
      <c r="AM21" s="6" t="s">
        <v>786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3500</v>
      </c>
      <c r="AM22" s="6" t="s">
        <v>787</v>
      </c>
      <c r="AN22" s="174"/>
    </row>
    <row r="23" spans="1:40" x14ac:dyDescent="0.35">
      <c r="A23" s="37" t="s">
        <v>1</v>
      </c>
      <c r="B23" s="37" t="s">
        <v>2</v>
      </c>
      <c r="C23" s="37" t="s">
        <v>110</v>
      </c>
      <c r="D23" s="37" t="s">
        <v>66</v>
      </c>
      <c r="E23" s="37" t="s">
        <v>638</v>
      </c>
      <c r="F23" s="37" t="s">
        <v>137</v>
      </c>
      <c r="G23" s="37" t="s">
        <v>138</v>
      </c>
      <c r="H23" s="37" t="s">
        <v>4</v>
      </c>
      <c r="I23" s="37" t="s">
        <v>5</v>
      </c>
      <c r="J23" s="37" t="s">
        <v>6</v>
      </c>
      <c r="K23" s="37" t="s">
        <v>7</v>
      </c>
      <c r="L23" s="37" t="s">
        <v>279</v>
      </c>
      <c r="M23" s="37" t="s">
        <v>280</v>
      </c>
      <c r="N23" s="37" t="s">
        <v>281</v>
      </c>
      <c r="O23" s="37" t="s">
        <v>282</v>
      </c>
      <c r="P23" s="37" t="s">
        <v>283</v>
      </c>
      <c r="Q23" s="37" t="s">
        <v>284</v>
      </c>
      <c r="R23" s="37" t="s">
        <v>904</v>
      </c>
      <c r="S23" s="37" t="s">
        <v>285</v>
      </c>
      <c r="T23" s="37" t="s">
        <v>289</v>
      </c>
      <c r="U23" s="37" t="s">
        <v>8</v>
      </c>
      <c r="V23" s="37" t="s">
        <v>9</v>
      </c>
      <c r="W23" s="37" t="s">
        <v>10</v>
      </c>
      <c r="X23" s="37" t="s">
        <v>100</v>
      </c>
      <c r="Y23" s="37" t="s">
        <v>106</v>
      </c>
      <c r="Z23" s="37" t="s">
        <v>12</v>
      </c>
      <c r="AA23" s="37" t="s">
        <v>258</v>
      </c>
      <c r="AB23" s="37" t="s">
        <v>13</v>
      </c>
      <c r="AC23" s="37" t="s">
        <v>74</v>
      </c>
      <c r="AD23" s="37" t="s">
        <v>21</v>
      </c>
      <c r="AE23" s="37" t="s">
        <v>14</v>
      </c>
      <c r="AF23" s="37" t="s">
        <v>15</v>
      </c>
      <c r="AG23" s="37" t="s">
        <v>16</v>
      </c>
      <c r="AH23" s="15" t="s">
        <v>17</v>
      </c>
      <c r="AI23" s="14" t="s">
        <v>679</v>
      </c>
      <c r="AJ23" s="14" t="s">
        <v>678</v>
      </c>
      <c r="AL23" s="178">
        <v>1833.42</v>
      </c>
      <c r="AM23" s="6" t="s">
        <v>788</v>
      </c>
      <c r="AN23" s="174"/>
    </row>
    <row r="24" spans="1:40" x14ac:dyDescent="0.35">
      <c r="A24" s="38">
        <v>45232</v>
      </c>
      <c r="B24" s="39" t="s">
        <v>783</v>
      </c>
      <c r="C24" s="39" t="s">
        <v>784</v>
      </c>
      <c r="D24" s="45">
        <v>1886137</v>
      </c>
      <c r="E24" s="45" t="s">
        <v>652</v>
      </c>
      <c r="F24" s="39">
        <v>50</v>
      </c>
      <c r="G24" s="39"/>
      <c r="H24" s="40">
        <v>30020</v>
      </c>
      <c r="I24" s="53">
        <v>0.55000000000000004</v>
      </c>
      <c r="J24" s="42">
        <f>IFERROR(K24/H24,"")</f>
        <v>0.5616422385076616</v>
      </c>
      <c r="K24" s="40">
        <v>16860.5</v>
      </c>
      <c r="L24" s="39">
        <v>2</v>
      </c>
      <c r="M24" s="39">
        <v>5</v>
      </c>
      <c r="N24" s="39">
        <v>23</v>
      </c>
      <c r="O24" s="39">
        <v>16</v>
      </c>
      <c r="P24" s="39">
        <v>4</v>
      </c>
      <c r="Q24" s="39"/>
      <c r="R24" s="39"/>
      <c r="S24" s="39"/>
      <c r="T24" s="39"/>
      <c r="U24" s="43">
        <v>235</v>
      </c>
      <c r="V24" s="43">
        <f>H24*U24*I24/15</f>
        <v>258672.33333333337</v>
      </c>
      <c r="W24" s="43">
        <v>236.55</v>
      </c>
      <c r="X24" s="43">
        <f>894025.45/204*F24</f>
        <v>219123.88480392157</v>
      </c>
      <c r="Y24" s="43">
        <f>IF(B24="FRANCISCO CAMACHO",((F24*42)+(G24*42)),IF(B24="JOSE INACIO",((F24*60)+(G24*60)),0))</f>
        <v>0</v>
      </c>
      <c r="Z24" s="264">
        <v>1504</v>
      </c>
      <c r="AA24" s="43">
        <v>0</v>
      </c>
      <c r="AB24" s="264">
        <f>5875/200*F24</f>
        <v>1468.75</v>
      </c>
      <c r="AC24" s="43">
        <v>0</v>
      </c>
      <c r="AD24" s="43">
        <f>IF(F24="",G24*4.11,F24*4.11)</f>
        <v>205.50000000000003</v>
      </c>
      <c r="AE24" s="43">
        <f>1788.04/204*F24</f>
        <v>438.24509803921569</v>
      </c>
      <c r="AF24" s="43">
        <f>V24+Y24+Z24+AA24+AB24+AC24+AD24</f>
        <v>261850.58333333337</v>
      </c>
      <c r="AG24" s="43">
        <f>IFERROR(IFERROR((H24*W24*J24/15)-AE24,""),"")</f>
        <v>265451.8399019608</v>
      </c>
      <c r="AH24" s="26">
        <f>IFERROR(AG24-AF24,0)</f>
        <v>3601.256568627432</v>
      </c>
      <c r="AI24" s="25">
        <f>IF(F24="",(G24/$F$143)*$AL$28,(F24/$F$143)*$AL$28)</f>
        <v>1365.0778145695365</v>
      </c>
      <c r="AJ24" s="25">
        <f>(AH24-AI24)*70%</f>
        <v>1565.3251278405266</v>
      </c>
      <c r="AL24" s="178">
        <v>100</v>
      </c>
      <c r="AM24" s="6" t="s">
        <v>742</v>
      </c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5"/>
      <c r="W25" s="21"/>
      <c r="X25" s="25"/>
      <c r="Y25" s="21"/>
      <c r="Z25" s="3"/>
      <c r="AA25" s="21"/>
      <c r="AB25" s="21"/>
      <c r="AC25" s="21"/>
      <c r="AD25" s="21"/>
      <c r="AE25" s="21"/>
      <c r="AF25" s="25"/>
      <c r="AG25" s="21"/>
      <c r="AH25" s="26">
        <f>IFERROR(AH24/F24,0)+IFERROR(AH24/G24,0)</f>
        <v>72.025131372548643</v>
      </c>
      <c r="AL25" s="178">
        <v>4000</v>
      </c>
      <c r="AM25" s="6" t="s">
        <v>791</v>
      </c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2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5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1.3566515756520965E-2</v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4">
        <f>SUM(AL19:AL27)</f>
        <v>16490.14</v>
      </c>
      <c r="AM28" s="189" t="s">
        <v>673</v>
      </c>
      <c r="AN28" s="191"/>
    </row>
    <row r="29" spans="1:40" x14ac:dyDescent="0.35">
      <c r="A29" s="20">
        <v>45232</v>
      </c>
      <c r="B29" s="21" t="s">
        <v>783</v>
      </c>
      <c r="C29" s="21" t="s">
        <v>784</v>
      </c>
      <c r="D29" s="44">
        <v>1890058</v>
      </c>
      <c r="E29" s="44" t="s">
        <v>652</v>
      </c>
      <c r="F29" s="21">
        <v>100</v>
      </c>
      <c r="G29" s="21"/>
      <c r="H29" s="22">
        <v>48840</v>
      </c>
      <c r="I29" s="33">
        <v>0.55000000000000004</v>
      </c>
      <c r="J29" s="24">
        <f>IFERROR(K29/H29,"")</f>
        <v>0.51289926289926291</v>
      </c>
      <c r="K29" s="22">
        <v>25050</v>
      </c>
      <c r="L29" s="21">
        <v>9</v>
      </c>
      <c r="M29" s="21">
        <v>53</v>
      </c>
      <c r="N29" s="21">
        <v>32</v>
      </c>
      <c r="O29" s="21">
        <v>6</v>
      </c>
      <c r="P29" s="21"/>
      <c r="Q29" s="21"/>
      <c r="R29" s="21"/>
      <c r="S29" s="21"/>
      <c r="T29" s="21"/>
      <c r="U29" s="25">
        <v>235</v>
      </c>
      <c r="V29" s="25">
        <f>H29*U29*I29/15</f>
        <v>420838.00000000006</v>
      </c>
      <c r="W29" s="25">
        <v>236.07</v>
      </c>
      <c r="X29" s="25">
        <f>1753707.87/400*F29</f>
        <v>438426.96750000003</v>
      </c>
      <c r="Y29" s="25">
        <f>IF(B29="FRANCISCO CAMACHO",((F29*42)+(G29*42)),IF(B29="JOSE INACIO",((F29*60)+(G29*60)),0))</f>
        <v>0</v>
      </c>
      <c r="Z29" s="264">
        <v>3323.2</v>
      </c>
      <c r="AA29" s="25">
        <v>0</v>
      </c>
      <c r="AB29" s="264">
        <f>5875/200*F29</f>
        <v>2937.5</v>
      </c>
      <c r="AC29" s="25">
        <v>0</v>
      </c>
      <c r="AD29" s="25">
        <f>IF(F29="",G29*4.11,F29*4.11)</f>
        <v>411.00000000000006</v>
      </c>
      <c r="AE29" s="25">
        <f>3507.41/400*F29</f>
        <v>876.85250000000008</v>
      </c>
      <c r="AF29" s="25">
        <f>V29+Y29+Z29+AA29+AB29+AC29+AD29</f>
        <v>427509.70000000007</v>
      </c>
      <c r="AG29" s="25">
        <f>IFERROR(IFERROR((H29*W29*J29/15)-AE29,""),"")</f>
        <v>393360.04750000004</v>
      </c>
      <c r="AH29" s="26">
        <f>IFERROR(AG29-AF29,0)</f>
        <v>-34149.652500000026</v>
      </c>
      <c r="AI29" s="25">
        <f>IF(F29="",(G29/$F$143)*$AL$28,(F29/$F$143)*$AL$28)</f>
        <v>2730.155629139073</v>
      </c>
      <c r="AJ29" s="25">
        <f>(AH29-AI29)*70%</f>
        <v>-25815.865690397368</v>
      </c>
      <c r="AL29" s="57"/>
      <c r="AM29" s="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5"/>
      <c r="AC30" s="21"/>
      <c r="AD30" s="21"/>
      <c r="AE30" s="21"/>
      <c r="AF30" s="21"/>
      <c r="AG30" s="21"/>
      <c r="AH30" s="26">
        <f>IFERROR(AH29/F29,0)+IFERROR(AH29/G29,0)</f>
        <v>-341.49652500000025</v>
      </c>
      <c r="AL30" s="57"/>
      <c r="AM30" s="118" t="s">
        <v>22</v>
      </c>
      <c r="AN30" s="12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2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-8.6815254159740313E-2</v>
      </c>
      <c r="AL31" s="249">
        <f>AL15-AL28</f>
        <v>-63044.400220268275</v>
      </c>
      <c r="AM31" s="265">
        <f>AL31*30%</f>
        <v>-18913.320066080483</v>
      </c>
      <c r="AN31" s="12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249"/>
      <c r="AN32" s="246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7"/>
      <c r="AM33" s="248"/>
      <c r="AN33" s="1"/>
    </row>
    <row r="34" spans="1:40" x14ac:dyDescent="0.35">
      <c r="A34" s="20">
        <v>45233</v>
      </c>
      <c r="B34" s="21" t="s">
        <v>632</v>
      </c>
      <c r="C34" s="21" t="s">
        <v>697</v>
      </c>
      <c r="D34" s="44">
        <v>1890058</v>
      </c>
      <c r="E34" s="44" t="s">
        <v>652</v>
      </c>
      <c r="F34" s="21">
        <v>200</v>
      </c>
      <c r="G34" s="21"/>
      <c r="H34" s="22">
        <v>109746</v>
      </c>
      <c r="I34" s="33">
        <v>0.55000000000000004</v>
      </c>
      <c r="J34" s="24">
        <f>IFERROR(K34/H34,"")</f>
        <v>0.55232536948954858</v>
      </c>
      <c r="K34" s="22">
        <v>60615.5</v>
      </c>
      <c r="L34" s="21">
        <v>50</v>
      </c>
      <c r="M34" s="21">
        <v>112</v>
      </c>
      <c r="N34" s="21">
        <v>33</v>
      </c>
      <c r="O34" s="21">
        <v>3</v>
      </c>
      <c r="P34" s="21">
        <v>2</v>
      </c>
      <c r="Q34" s="21"/>
      <c r="R34" s="21"/>
      <c r="S34" s="21"/>
      <c r="T34" s="21"/>
      <c r="U34" s="25">
        <v>215</v>
      </c>
      <c r="V34" s="25">
        <f>H34*U34*I34/15</f>
        <v>865164.30000000016</v>
      </c>
      <c r="W34" s="25">
        <v>236.07</v>
      </c>
      <c r="X34" s="25">
        <f>1753707.87/400*F34</f>
        <v>876853.93500000006</v>
      </c>
      <c r="Y34" s="25">
        <f>IF(B34="FRANCISCO CAMACHO",((F34*42)+(G34*42)),IF(B34="JOSE INACIO",((F34*60)+(G34*60)),0))</f>
        <v>8400</v>
      </c>
      <c r="Z34" s="264">
        <f>59967.76+19780.6</f>
        <v>79748.36</v>
      </c>
      <c r="AA34" s="25">
        <v>0</v>
      </c>
      <c r="AB34" s="264">
        <f>8062.5/300*F34</f>
        <v>5375</v>
      </c>
      <c r="AC34" s="25">
        <v>0</v>
      </c>
      <c r="AD34" s="25">
        <f>IF(F34="",G34*4.11,F34*4.11)</f>
        <v>822.00000000000011</v>
      </c>
      <c r="AE34" s="25">
        <f>3507.41/400*F34</f>
        <v>1753.7050000000002</v>
      </c>
      <c r="AF34" s="25">
        <f>V34+Y34+Z34+AA34+AB34+AC34+AD34</f>
        <v>959509.66000000015</v>
      </c>
      <c r="AG34" s="25">
        <f>IFERROR(IFERROR((H34*W34*J34/15)-AE34,""),"")</f>
        <v>952213.03399999999</v>
      </c>
      <c r="AH34" s="26">
        <f>IFERROR(AG34-AF34,0)</f>
        <v>-7296.6260000001639</v>
      </c>
      <c r="AI34" s="25">
        <f>IF(F34="",(G34/$F$143)*$AL$28,(F34/$F$143)*$AL$28)</f>
        <v>5460.3112582781459</v>
      </c>
      <c r="AJ34" s="25">
        <f>(AH34-AI34)*70%</f>
        <v>-8929.8560807948161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5"/>
      <c r="AC35" s="21"/>
      <c r="AD35" s="21"/>
      <c r="AE35" s="21"/>
      <c r="AF35" s="21"/>
      <c r="AG35" s="21"/>
      <c r="AH35" s="26">
        <f>IFERROR(AH34/F34,0)+IFERROR(AH34/G34,0)</f>
        <v>-36.48313000000082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-7.6628083626926746E-3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/>
      <c r="B39" s="21"/>
      <c r="C39" s="21"/>
      <c r="D39" s="44"/>
      <c r="E39" s="44"/>
      <c r="F39" s="21"/>
      <c r="G39" s="21"/>
      <c r="H39" s="22">
        <v>0</v>
      </c>
      <c r="I39" s="33">
        <v>0</v>
      </c>
      <c r="J39" s="24" t="str">
        <f>IFERROR(K39/H39,"")</f>
        <v/>
      </c>
      <c r="K39" s="22">
        <v>0</v>
      </c>
      <c r="L39" s="21"/>
      <c r="M39" s="21"/>
      <c r="N39" s="21"/>
      <c r="O39" s="21"/>
      <c r="P39" s="21"/>
      <c r="Q39" s="21"/>
      <c r="R39" s="21"/>
      <c r="S39" s="21"/>
      <c r="T39" s="21"/>
      <c r="U39" s="25">
        <v>0</v>
      </c>
      <c r="V39" s="25">
        <f>H39*U39*I39/15</f>
        <v>0</v>
      </c>
      <c r="W39" s="25">
        <v>0</v>
      </c>
      <c r="X39" s="25">
        <v>0</v>
      </c>
      <c r="Y39" s="25">
        <f>IF(B39="FRANCISCO CAMACHO",((F39*42)+(G39*42)),IF(B39="JOSE INACIO",((F39*60)+(G39*60)),0))</f>
        <v>0</v>
      </c>
      <c r="Z39" s="25">
        <v>0</v>
      </c>
      <c r="AA39" s="25">
        <v>0</v>
      </c>
      <c r="AB39" s="25">
        <v>0</v>
      </c>
      <c r="AC39" s="25">
        <v>0</v>
      </c>
      <c r="AD39" s="25">
        <f>IF(F39="",G39*4.11,F39*4.11)</f>
        <v>0</v>
      </c>
      <c r="AE39" s="25">
        <v>0</v>
      </c>
      <c r="AF39" s="25">
        <f>V39+Y39+Z39+AA39+AB39+AC39+AD39</f>
        <v>0</v>
      </c>
      <c r="AG39" s="25" t="str">
        <f>IFERROR(IFERROR((H39*W39*J39/15)-AE39,""),"")</f>
        <v/>
      </c>
      <c r="AH39" s="26">
        <f>IFERROR(AG39-AF39,0)</f>
        <v>0</v>
      </c>
      <c r="AI39" s="25">
        <f>IF(F39="",(G39/$F$143)*$AL$28,(F39/$F$143)*$AL$28)</f>
        <v>0</v>
      </c>
      <c r="AJ39" s="25">
        <f>(AH39-AI39)*70%</f>
        <v>0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2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0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 t="str">
        <f>IFERROR(AH39/AG39,"")</f>
        <v/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3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/>
      <c r="B44" s="21"/>
      <c r="C44" s="21"/>
      <c r="D44" s="44"/>
      <c r="E44" s="44"/>
      <c r="F44" s="21"/>
      <c r="G44" s="21"/>
      <c r="H44" s="22">
        <v>0</v>
      </c>
      <c r="I44" s="33">
        <v>0</v>
      </c>
      <c r="J44" s="24" t="str">
        <f>IFERROR(K44/H44,"")</f>
        <v/>
      </c>
      <c r="K44" s="22">
        <v>0</v>
      </c>
      <c r="L44" s="21"/>
      <c r="M44" s="21"/>
      <c r="N44" s="21"/>
      <c r="O44" s="21"/>
      <c r="P44" s="21"/>
      <c r="Q44" s="21"/>
      <c r="R44" s="21"/>
      <c r="S44" s="21"/>
      <c r="T44" s="21"/>
      <c r="U44" s="25">
        <v>0</v>
      </c>
      <c r="V44" s="25">
        <f>H44*U44*I44/15</f>
        <v>0</v>
      </c>
      <c r="W44" s="25">
        <v>0</v>
      </c>
      <c r="X44" s="25">
        <v>0</v>
      </c>
      <c r="Y44" s="25">
        <f>IF(B44="FRANCISCO CAMACHO",((F44*42)+(G44*42)),IF(B44="JOSE INACIO",((F44*60)+(G44*60)),0))</f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f>IF(F44="",G44*4.11,F44*4.11)</f>
        <v>0</v>
      </c>
      <c r="AE44" s="25">
        <v>0</v>
      </c>
      <c r="AF44" s="25">
        <f>V44+Y44+Z44+AA44+AB44+AC44+AD44</f>
        <v>0</v>
      </c>
      <c r="AG44" s="25" t="str">
        <f>IFERROR(IFERROR((H44*W44*J44/15)-AE44,""),"")</f>
        <v/>
      </c>
      <c r="AH44" s="26">
        <f>IFERROR(AG44-AF44,0)</f>
        <v>0</v>
      </c>
      <c r="AI44" s="25">
        <f>IF(F44="",(G44/$F$143)*$AL$28,(F44/$F$143)*$AL$28)</f>
        <v>0</v>
      </c>
      <c r="AJ44" s="25">
        <f>(AH44-AI44)*70%</f>
        <v>0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0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 t="str">
        <f>IFERROR(AH44/AG44,"")</f>
        <v/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/>
      <c r="B49" s="21"/>
      <c r="C49" s="21"/>
      <c r="D49" s="44"/>
      <c r="E49" s="44"/>
      <c r="F49" s="21"/>
      <c r="G49" s="21"/>
      <c r="H49" s="22">
        <v>0</v>
      </c>
      <c r="I49" s="33">
        <v>0</v>
      </c>
      <c r="J49" s="24" t="str">
        <f>IFERROR(K49/H49,"")</f>
        <v/>
      </c>
      <c r="K49" s="22">
        <v>0</v>
      </c>
      <c r="L49" s="21"/>
      <c r="M49" s="21"/>
      <c r="N49" s="21"/>
      <c r="O49" s="21"/>
      <c r="P49" s="21"/>
      <c r="Q49" s="21"/>
      <c r="R49" s="21"/>
      <c r="S49" s="21"/>
      <c r="T49" s="21"/>
      <c r="U49" s="25">
        <v>0</v>
      </c>
      <c r="V49" s="25">
        <f>H49*U49*I49/15</f>
        <v>0</v>
      </c>
      <c r="W49" s="25">
        <v>0</v>
      </c>
      <c r="X49" s="25">
        <v>0</v>
      </c>
      <c r="Y49" s="25">
        <f>IF(B49="FRANCISCO CAMACHO",((F49*42)+(G49*42)),IF(B49="JOSE INACIO",((F49*60)+(G49*60)),0))</f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f>IF(F49="",G49*4.11,F49*4.11)</f>
        <v>0</v>
      </c>
      <c r="AE49" s="25">
        <v>0</v>
      </c>
      <c r="AF49" s="25">
        <f>V49+Y49+Z49+AA49+AB49+AC49+AD49</f>
        <v>0</v>
      </c>
      <c r="AG49" s="25" t="str">
        <f>IFERROR(IFERROR((H49*W49*J49/15)-AE49,""),"")</f>
        <v/>
      </c>
      <c r="AH49" s="26">
        <f>IFERROR(AG49-AF49,0)</f>
        <v>0</v>
      </c>
      <c r="AI49" s="25">
        <f>IF(F49="",(G49/$F$143)*$AL$28,(F49/$F$143)*$AL$28)</f>
        <v>0</v>
      </c>
      <c r="AJ49" s="25">
        <f>(AH49-AI49)*70%</f>
        <v>0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0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 t="str">
        <f>IFERROR(AH49/AG49,"")</f>
        <v/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L52" s="6"/>
      <c r="AM52" s="6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/>
      <c r="B54" s="21"/>
      <c r="C54" s="21"/>
      <c r="D54" s="44"/>
      <c r="E54" s="44"/>
      <c r="F54" s="21"/>
      <c r="G54" s="21"/>
      <c r="H54" s="22">
        <v>0</v>
      </c>
      <c r="I54" s="33">
        <v>0</v>
      </c>
      <c r="J54" s="24" t="str">
        <f>IFERROR(K54/H54,"")</f>
        <v/>
      </c>
      <c r="K54" s="22">
        <v>0</v>
      </c>
      <c r="L54" s="21"/>
      <c r="M54" s="21"/>
      <c r="N54" s="21"/>
      <c r="O54" s="21"/>
      <c r="P54" s="21"/>
      <c r="Q54" s="21"/>
      <c r="R54" s="21"/>
      <c r="S54" s="21"/>
      <c r="T54" s="21"/>
      <c r="U54" s="25">
        <v>0</v>
      </c>
      <c r="V54" s="25">
        <f>H54*U54*I54/15</f>
        <v>0</v>
      </c>
      <c r="W54" s="25">
        <v>0</v>
      </c>
      <c r="X54" s="25">
        <v>0</v>
      </c>
      <c r="Y54" s="25">
        <f>IF(B54="FRANCISCO CAMACHO",((F54*42)+(G54*42)),IF(B54="JOSE INACIO",((F54*60)+(G54*60)),0))</f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f>IF(F54="",G54*4.11,F54*4.11)</f>
        <v>0</v>
      </c>
      <c r="AE54" s="25">
        <v>0</v>
      </c>
      <c r="AF54" s="25">
        <f>V54+Y54+Z54+AA54+AB54+AC54+AD54</f>
        <v>0</v>
      </c>
      <c r="AG54" s="25" t="str">
        <f>IFERROR(IFERROR((H54*W54*J54/15)-AE54,""),"")</f>
        <v/>
      </c>
      <c r="AH54" s="26">
        <f>IFERROR(AG54-AF54,0)</f>
        <v>0</v>
      </c>
      <c r="AI54" s="25">
        <f>IF(F54="",(G54/$F$143)*$AL$28,(F54/$F$143)*$AL$28)</f>
        <v>0</v>
      </c>
      <c r="AJ54" s="25">
        <f>(AH54-AI54)*70%</f>
        <v>0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0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 t="str">
        <f>IFERROR(AH54/AG54,"")</f>
        <v/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/>
      <c r="B59" s="21"/>
      <c r="C59" s="21"/>
      <c r="D59" s="44"/>
      <c r="E59" s="44"/>
      <c r="F59" s="21"/>
      <c r="G59" s="21"/>
      <c r="H59" s="22">
        <v>0</v>
      </c>
      <c r="I59" s="33">
        <v>0</v>
      </c>
      <c r="J59" s="24" t="str">
        <f>IFERROR(K59/H59,"")</f>
        <v/>
      </c>
      <c r="K59" s="22">
        <v>0</v>
      </c>
      <c r="L59" s="21"/>
      <c r="M59" s="21"/>
      <c r="N59" s="21"/>
      <c r="O59" s="21"/>
      <c r="P59" s="21"/>
      <c r="Q59" s="21"/>
      <c r="R59" s="21"/>
      <c r="S59" s="21"/>
      <c r="T59" s="21"/>
      <c r="U59" s="25">
        <v>0</v>
      </c>
      <c r="V59" s="25">
        <f>H59*U59*I59/15</f>
        <v>0</v>
      </c>
      <c r="W59" s="25">
        <v>0</v>
      </c>
      <c r="X59" s="25">
        <v>0</v>
      </c>
      <c r="Y59" s="25">
        <f>IF(B59="FRANCISCO CAMACHO",((F59*42)+(G59*42)),IF(B59="JOSE INACIO",((F59*60)+(G59*60)),0))</f>
        <v>0</v>
      </c>
      <c r="Z59" s="25">
        <v>0</v>
      </c>
      <c r="AA59" s="25">
        <v>0</v>
      </c>
      <c r="AB59" s="25">
        <v>0</v>
      </c>
      <c r="AC59" s="25">
        <v>0</v>
      </c>
      <c r="AD59" s="25">
        <f>IF(F59="",G59*4.11,F59*4.11)</f>
        <v>0</v>
      </c>
      <c r="AE59" s="25">
        <v>0</v>
      </c>
      <c r="AF59" s="25">
        <f>V59+Y59+Z59+AA59+AB59+AC59+AD59</f>
        <v>0</v>
      </c>
      <c r="AG59" s="25" t="str">
        <f>IFERROR(IFERROR((H59*W59*J59/15)-AE59,""),"")</f>
        <v/>
      </c>
      <c r="AH59" s="26">
        <f>IFERROR(AG59-AF59,0)</f>
        <v>0</v>
      </c>
      <c r="AI59" s="25">
        <f>IF(F59="",(G59/$F$143)*$AL$28,(F59/$F$143)*$AL$28)</f>
        <v>0</v>
      </c>
      <c r="AJ59" s="25">
        <f>(AH59-AI59)*70%</f>
        <v>0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0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 t="str">
        <f>IFERROR(AH59/AG59,"")</f>
        <v/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/>
      <c r="B64" s="21"/>
      <c r="C64" s="21"/>
      <c r="D64" s="44"/>
      <c r="E64" s="44"/>
      <c r="F64" s="21"/>
      <c r="G64" s="21"/>
      <c r="H64" s="22">
        <v>0</v>
      </c>
      <c r="I64" s="33">
        <v>0</v>
      </c>
      <c r="J64" s="24" t="str">
        <f>IFERROR(K64/H64,"")</f>
        <v/>
      </c>
      <c r="K64" s="22">
        <v>0</v>
      </c>
      <c r="L64" s="21"/>
      <c r="M64" s="21"/>
      <c r="N64" s="21"/>
      <c r="O64" s="21"/>
      <c r="P64" s="21"/>
      <c r="Q64" s="21"/>
      <c r="R64" s="21"/>
      <c r="S64" s="21"/>
      <c r="T64" s="21"/>
      <c r="U64" s="25">
        <v>0</v>
      </c>
      <c r="V64" s="25">
        <f>H64*U64*I64/15</f>
        <v>0</v>
      </c>
      <c r="W64" s="25">
        <v>0</v>
      </c>
      <c r="X64" s="25">
        <v>0</v>
      </c>
      <c r="Y64" s="25">
        <f>IF(B64="FRANCISCO CAMACHO",((F64*42)+(G64*42)),IF(B64="JOSE INACIO",((F64*60)+(G64*60)),0))</f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f>IF(F64="",G64*4.11,F64*4.11)</f>
        <v>0</v>
      </c>
      <c r="AE64" s="25">
        <v>0</v>
      </c>
      <c r="AF64" s="25">
        <f>V64+Y64+Z64+AA64+AB64+AC64+AD64</f>
        <v>0</v>
      </c>
      <c r="AG64" s="25" t="str">
        <f>IFERROR(IFERROR((H64*W64*J64/15)-AE64,""),"")</f>
        <v/>
      </c>
      <c r="AH64" s="26">
        <f>IFERROR(AG64-AF64,0)</f>
        <v>0</v>
      </c>
      <c r="AI64" s="25">
        <f>IF(F64="",(G64/$F$143)*$AL$28,(F64/$F$143)*$AL$28)</f>
        <v>0</v>
      </c>
      <c r="AJ64" s="25">
        <f>(AH64-AI64)*70%</f>
        <v>0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0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 t="str">
        <f>IFERROR(AH64/AG64,"")</f>
        <v/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/>
      <c r="B69" s="21"/>
      <c r="C69" s="21"/>
      <c r="D69" s="44"/>
      <c r="E69" s="44"/>
      <c r="F69" s="21"/>
      <c r="G69" s="21"/>
      <c r="H69" s="22">
        <v>0</v>
      </c>
      <c r="I69" s="33">
        <v>0</v>
      </c>
      <c r="J69" s="24" t="str">
        <f>IFERROR(K69/H69,"")</f>
        <v/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>
        <v>0</v>
      </c>
      <c r="V69" s="25">
        <f>H69*U69*I69/15</f>
        <v>0</v>
      </c>
      <c r="W69" s="25">
        <v>0</v>
      </c>
      <c r="X69" s="25">
        <v>0</v>
      </c>
      <c r="Y69" s="25">
        <f>IF(B69="FRANCISCO CAMACHO",((F69*42)+(G69*42)),IF(B69="JOSE INACIO",((F69*60)+(G69*60)),0))</f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f>IF(F69="",G69*4.11,F69*4.11)</f>
        <v>0</v>
      </c>
      <c r="AE69" s="25">
        <v>0</v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25">
        <f>IF(F69="",(G69/$F$143)*$AL$28,(F69/$F$143)*$AL$28)</f>
        <v>0</v>
      </c>
      <c r="AJ69" s="25">
        <f>(AH69-AI69)*70%</f>
        <v>0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/>
      <c r="B74" s="21"/>
      <c r="C74" s="21"/>
      <c r="D74" s="44"/>
      <c r="E74" s="44"/>
      <c r="F74" s="21"/>
      <c r="G74" s="21"/>
      <c r="H74" s="22">
        <v>0</v>
      </c>
      <c r="I74" s="33">
        <v>0</v>
      </c>
      <c r="J74" s="24" t="str">
        <f>IFERROR(K74/H74,"")</f>
        <v/>
      </c>
      <c r="K74" s="22"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>
        <v>0</v>
      </c>
      <c r="Y74" s="25">
        <f>IF(B74="FRANCISCO CAMACHO",((F74*42)+(G74*42)),IF(B74="JOSE INACIO",((F74*60)+(G74*60)),0))</f>
        <v>0</v>
      </c>
      <c r="Z74" s="25">
        <v>0</v>
      </c>
      <c r="AA74" s="25">
        <v>0</v>
      </c>
      <c r="AB74" s="25">
        <v>0</v>
      </c>
      <c r="AC74" s="25">
        <v>0</v>
      </c>
      <c r="AD74" s="25">
        <f>IF(F74="",G74*4.11,F74*4.11)</f>
        <v>0</v>
      </c>
      <c r="AE74" s="25">
        <v>0</v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25">
        <f>IF(F74="",(G74/$F$143)*$AL$28,(F74/$F$143)*$AL$28)</f>
        <v>0</v>
      </c>
      <c r="AJ74" s="25">
        <f>(AH74-AI74)*70%</f>
        <v>0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22">
        <v>0</v>
      </c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>
        <v>0</v>
      </c>
      <c r="Y79" s="25">
        <f>IF(B79="FRANCISCO CAMACHO",((F79*42)+(G79*42)),IF(B79="JOSE INACIO",((F79*60)+(G79*60)),0))</f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v>0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25">
        <f>IF(F79="",(G79/$F$143)*$AL$28,(F79/$F$143)*$AL$28)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22">
        <v>0</v>
      </c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f>IF(B84="FRANCISCO CAMACHO",((F84*42)+(G84*42)),IF(B84="JOSE INACIO",((F84*60)+(G84*60)),0))</f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25">
        <f>IF(F84="",(G84/$F$143)*$AL$28,(F84/$F$143)*$AL$28)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2">
        <v>0</v>
      </c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>
        <v>0</v>
      </c>
      <c r="Y89" s="25">
        <f>IF(B89="FRANCISCO CAMACHO",((F89*42)+(G89*42)),IF(B89="JOSE INACIO",((F89*60)+(G89*60)),0))</f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25">
        <f>IF(F89="",(G89/$F$143)*$AL$28,(F89/$F$143)*$AL$28)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2">
        <v>0</v>
      </c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f>IF(B94="FRANCISCO CAMACHO",((F94*42)+(G94*42)),IF(B94="JOSE INACIO",((F94*60)+(G94*60)),0))</f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25">
        <f>IF(F94="",(G94/$F$143)*$AL$28,(F94/$F$143)*$AL$28)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2">
        <v>0</v>
      </c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IF(B99="FRANCISCO CAMACHO",((F99*42)+(G99*42)),IF(B99="JOSE INACIO",((F99*60)+(G99*60)),0))</f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IF(F99="",(G99/$F$143)*$AL$28,(F99/$F$143)*$AL$28)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IF(B104="FRANCISCO CAMACHO",((F104*42)+(G104*42)),IF(B104="JOSE INACIO",((F104*60)+(G104*60)),0))</f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IF(F104="",(G104/$F$143)*$AL$28,(F104/$F$143)*$AL$28)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2">
        <v>0</v>
      </c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>
        <v>0</v>
      </c>
      <c r="Y109" s="25">
        <f>IF(B109="FRANCISCO CAMACHO",((F109*42)+(G109*42)),IF(B109="JOSE INACIO",((F109*60)+(G109*60)),0))</f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IF(F109="",(G109/$F$143)*$AL$28,(F109/$F$143)*$AL$28)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22">
        <v>0</v>
      </c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>
        <v>0</v>
      </c>
      <c r="X114" s="25">
        <v>0</v>
      </c>
      <c r="Y114" s="25">
        <f>IF(B114="FRANCISCO CAMACHO",((F114*42)+(G114*42)),IF(B114="JOSE INACIO",((F114*60)+(G114*60)),0))</f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f>IF(F114="",G114*4.11,F114*4.11)</f>
        <v>0</v>
      </c>
      <c r="AE114" s="25">
        <v>0</v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25">
        <f>IF(F114="",(G114/$F$143)*$AL$28,(F114/$F$143)*$AL$28)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47"/>
      <c r="AJ117" s="47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B119" s="21"/>
      <c r="C119" s="21"/>
      <c r="D119" s="44"/>
      <c r="E119" s="44"/>
      <c r="F119" s="21"/>
      <c r="G119" s="21"/>
      <c r="H119" s="22">
        <v>0</v>
      </c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>
        <v>0</v>
      </c>
      <c r="X119" s="25">
        <v>0</v>
      </c>
      <c r="Y119" s="25">
        <f>IF(B119="FRANCISCO CAMACHO",((F119*42)+(G119*42)),IF(B119="JOSE INACIO",((F119*60)+(G119*60)),0))</f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f>IF(F119="",G119*4.11,F119*4.11)</f>
        <v>0</v>
      </c>
      <c r="AE119" s="25">
        <v>0</v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25">
        <f>IF(F119="",(G119/$F$143)*$AL$28,(F119/$F$143)*$AL$28)</f>
        <v>0</v>
      </c>
      <c r="AJ119" s="25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x14ac:dyDescent="0.35">
      <c r="A124" s="20"/>
      <c r="B124" s="21"/>
      <c r="C124" s="21"/>
      <c r="D124" s="44"/>
      <c r="E124" s="44"/>
      <c r="F124" s="21"/>
      <c r="G124" s="21"/>
      <c r="H124" s="22">
        <v>0</v>
      </c>
      <c r="I124" s="33">
        <v>0</v>
      </c>
      <c r="J124" s="24" t="str">
        <f>IFERROR(K124/H124,"")</f>
        <v/>
      </c>
      <c r="K124" s="22">
        <v>0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>
        <v>0</v>
      </c>
      <c r="X124" s="25">
        <v>0</v>
      </c>
      <c r="Y124" s="25">
        <f>IF(B124="FRANCISCO CAMACHO",((F124*42)+(G124*42)),IF(B124="JOSE INACIO",((F124*60)+(G124*60)),0))</f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f>IF(F124="",G124*4.11,F124*4.11)</f>
        <v>0</v>
      </c>
      <c r="AE124" s="25">
        <v>0</v>
      </c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25">
        <f>IF(F124="",(G124/$F$143)*$AL$28,(F124/$F$143)*$AL$28)</f>
        <v>0</v>
      </c>
      <c r="AJ124" s="25">
        <f>(AH124-AI124)*70%</f>
        <v>0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</row>
    <row r="128" spans="1:36" x14ac:dyDescent="0.35">
      <c r="A128" s="14" t="s">
        <v>1</v>
      </c>
      <c r="B128" s="14" t="s">
        <v>2</v>
      </c>
      <c r="C128" s="14" t="s">
        <v>110</v>
      </c>
      <c r="D128" s="14" t="s">
        <v>66</v>
      </c>
      <c r="E128" s="14" t="s">
        <v>638</v>
      </c>
      <c r="F128" s="14" t="s">
        <v>137</v>
      </c>
      <c r="G128" s="14" t="s">
        <v>138</v>
      </c>
      <c r="H128" s="14" t="s">
        <v>4</v>
      </c>
      <c r="I128" s="14" t="s">
        <v>5</v>
      </c>
      <c r="J128" s="14" t="s">
        <v>6</v>
      </c>
      <c r="K128" s="14" t="s">
        <v>7</v>
      </c>
      <c r="L128" s="14" t="s">
        <v>279</v>
      </c>
      <c r="M128" s="14" t="s">
        <v>280</v>
      </c>
      <c r="N128" s="14" t="s">
        <v>281</v>
      </c>
      <c r="O128" s="14" t="s">
        <v>282</v>
      </c>
      <c r="P128" s="14" t="s">
        <v>283</v>
      </c>
      <c r="Q128" s="14" t="s">
        <v>284</v>
      </c>
      <c r="R128" s="14" t="s">
        <v>904</v>
      </c>
      <c r="S128" s="14" t="s">
        <v>285</v>
      </c>
      <c r="T128" s="14" t="s">
        <v>289</v>
      </c>
      <c r="U128" s="14" t="s">
        <v>8</v>
      </c>
      <c r="V128" s="14" t="s">
        <v>9</v>
      </c>
      <c r="W128" s="14" t="s">
        <v>10</v>
      </c>
      <c r="X128" s="14" t="s">
        <v>100</v>
      </c>
      <c r="Y128" s="14" t="s">
        <v>106</v>
      </c>
      <c r="Z128" s="14" t="s">
        <v>12</v>
      </c>
      <c r="AA128" s="14" t="s">
        <v>258</v>
      </c>
      <c r="AB128" s="14" t="s">
        <v>13</v>
      </c>
      <c r="AC128" s="14" t="s">
        <v>74</v>
      </c>
      <c r="AD128" s="14" t="s">
        <v>21</v>
      </c>
      <c r="AE128" s="14" t="s">
        <v>14</v>
      </c>
      <c r="AF128" s="14" t="s">
        <v>15</v>
      </c>
      <c r="AG128" s="14" t="s">
        <v>16</v>
      </c>
      <c r="AH128" s="15" t="s">
        <v>17</v>
      </c>
      <c r="AI128" s="14" t="s">
        <v>679</v>
      </c>
      <c r="AJ128" s="14" t="s">
        <v>678</v>
      </c>
    </row>
    <row r="129" spans="1:36" x14ac:dyDescent="0.35">
      <c r="A129" s="20"/>
      <c r="B129" s="21"/>
      <c r="C129" s="21"/>
      <c r="D129" s="44"/>
      <c r="E129" s="44"/>
      <c r="F129" s="21"/>
      <c r="G129" s="21"/>
      <c r="H129" s="22">
        <v>0</v>
      </c>
      <c r="I129" s="33">
        <v>0</v>
      </c>
      <c r="J129" s="24" t="str">
        <f>IFERROR(K129/H129,"")</f>
        <v/>
      </c>
      <c r="K129" s="22">
        <v>0</v>
      </c>
      <c r="L129" s="21"/>
      <c r="M129" s="21"/>
      <c r="N129" s="21"/>
      <c r="O129" s="21"/>
      <c r="P129" s="21"/>
      <c r="Q129" s="21"/>
      <c r="R129" s="21"/>
      <c r="S129" s="21"/>
      <c r="T129" s="21"/>
      <c r="U129" s="25">
        <v>0</v>
      </c>
      <c r="V129" s="25">
        <f>H129*U129*I129/15</f>
        <v>0</v>
      </c>
      <c r="W129" s="25">
        <v>0</v>
      </c>
      <c r="X129" s="25">
        <v>0</v>
      </c>
      <c r="Y129" s="25">
        <f>IF(B129="FRANCISCO CAMACHO",((F129*42)+(G129*42)),IF(B129="JOSE INACIO",((F129*60)+(G129*60)),0))</f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f>IF(F129="",G129*4.11,F129*4.11)</f>
        <v>0</v>
      </c>
      <c r="AE129" s="25">
        <v>0</v>
      </c>
      <c r="AF129" s="25">
        <f>V129+Y129+Z129+AA129+AB129+AC129+AD129</f>
        <v>0</v>
      </c>
      <c r="AG129" s="25" t="str">
        <f>IFERROR(IFERROR((H129*W129*J129/15)-AE129,""),"")</f>
        <v/>
      </c>
      <c r="AH129" s="26">
        <f>IFERROR(AG129-AF129,0)</f>
        <v>0</v>
      </c>
      <c r="AI129" s="25">
        <f>IF(F129="",(G129/$F$143)*$AL$28,(F129/$F$143)*$AL$28)</f>
        <v>0</v>
      </c>
      <c r="AJ129" s="25">
        <f>(AH129-AI129)*70%</f>
        <v>0</v>
      </c>
    </row>
    <row r="130" spans="1:36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3"/>
      <c r="AA130" s="21"/>
      <c r="AB130" s="21"/>
      <c r="AC130" s="21"/>
      <c r="AD130" s="21"/>
      <c r="AE130" s="21"/>
      <c r="AF130" s="21"/>
      <c r="AG130" s="21"/>
      <c r="AH130" s="26">
        <f>IFERROR(AH129/F129,0)+IFERROR(AH129/G129,0)</f>
        <v>0</v>
      </c>
    </row>
    <row r="131" spans="1:36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7" t="str">
        <f>IFERROR(AH129/AG129,"")</f>
        <v/>
      </c>
    </row>
    <row r="132" spans="1:36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</row>
    <row r="133" spans="1:36" x14ac:dyDescent="0.35">
      <c r="A133" s="14" t="s">
        <v>1</v>
      </c>
      <c r="B133" s="14" t="s">
        <v>2</v>
      </c>
      <c r="C133" s="14" t="s">
        <v>110</v>
      </c>
      <c r="D133" s="14" t="s">
        <v>66</v>
      </c>
      <c r="E133" s="14" t="s">
        <v>638</v>
      </c>
      <c r="F133" s="14" t="s">
        <v>137</v>
      </c>
      <c r="G133" s="14" t="s">
        <v>138</v>
      </c>
      <c r="H133" s="14" t="s">
        <v>4</v>
      </c>
      <c r="I133" s="14" t="s">
        <v>5</v>
      </c>
      <c r="J133" s="14" t="s">
        <v>6</v>
      </c>
      <c r="K133" s="14" t="s">
        <v>7</v>
      </c>
      <c r="L133" s="14" t="s">
        <v>279</v>
      </c>
      <c r="M133" s="14" t="s">
        <v>280</v>
      </c>
      <c r="N133" s="14" t="s">
        <v>281</v>
      </c>
      <c r="O133" s="14" t="s">
        <v>282</v>
      </c>
      <c r="P133" s="14" t="s">
        <v>283</v>
      </c>
      <c r="Q133" s="14" t="s">
        <v>284</v>
      </c>
      <c r="R133" s="14" t="s">
        <v>904</v>
      </c>
      <c r="S133" s="14" t="s">
        <v>285</v>
      </c>
      <c r="T133" s="14" t="s">
        <v>289</v>
      </c>
      <c r="U133" s="14" t="s">
        <v>8</v>
      </c>
      <c r="V133" s="14" t="s">
        <v>9</v>
      </c>
      <c r="W133" s="14" t="s">
        <v>10</v>
      </c>
      <c r="X133" s="14" t="s">
        <v>100</v>
      </c>
      <c r="Y133" s="14" t="s">
        <v>106</v>
      </c>
      <c r="Z133" s="14" t="s">
        <v>12</v>
      </c>
      <c r="AA133" s="14" t="s">
        <v>258</v>
      </c>
      <c r="AB133" s="14" t="s">
        <v>13</v>
      </c>
      <c r="AC133" s="14" t="s">
        <v>74</v>
      </c>
      <c r="AD133" s="14" t="s">
        <v>21</v>
      </c>
      <c r="AE133" s="14" t="s">
        <v>14</v>
      </c>
      <c r="AF133" s="14" t="s">
        <v>15</v>
      </c>
      <c r="AG133" s="14" t="s">
        <v>16</v>
      </c>
      <c r="AH133" s="15" t="s">
        <v>17</v>
      </c>
      <c r="AI133" s="14" t="s">
        <v>679</v>
      </c>
      <c r="AJ133" s="14" t="s">
        <v>678</v>
      </c>
    </row>
    <row r="134" spans="1:36" x14ac:dyDescent="0.35">
      <c r="A134" s="20"/>
      <c r="B134" s="21"/>
      <c r="C134" s="21"/>
      <c r="D134" s="44"/>
      <c r="E134" s="44"/>
      <c r="F134" s="21"/>
      <c r="G134" s="21"/>
      <c r="H134" s="22">
        <v>0</v>
      </c>
      <c r="I134" s="33">
        <v>0</v>
      </c>
      <c r="J134" s="24" t="str">
        <f>IFERROR(K134/H134,"")</f>
        <v/>
      </c>
      <c r="K134" s="22">
        <v>0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5">
        <v>0</v>
      </c>
      <c r="V134" s="25">
        <f>H134*U134*I134/15</f>
        <v>0</v>
      </c>
      <c r="W134" s="25">
        <v>0</v>
      </c>
      <c r="X134" s="25">
        <v>0</v>
      </c>
      <c r="Y134" s="25">
        <f>IF(B134="FRANCISCO CAMACHO",((F134*42)+(G134*42)),IF(B134="JOSE INACIO",((F134*60)+(G134*60)),0))</f>
        <v>0</v>
      </c>
      <c r="Z134" s="25">
        <v>0</v>
      </c>
      <c r="AA134" s="25">
        <v>0</v>
      </c>
      <c r="AB134" s="25">
        <v>0</v>
      </c>
      <c r="AC134" s="25">
        <v>0</v>
      </c>
      <c r="AD134" s="25">
        <f>IF(F134="",G134*4.11,F134*4.11)</f>
        <v>0</v>
      </c>
      <c r="AE134" s="25">
        <v>0</v>
      </c>
      <c r="AF134" s="25">
        <f>V134+Y134+Z134+AA134+AB134+AC134+AD134</f>
        <v>0</v>
      </c>
      <c r="AG134" s="25" t="str">
        <f>IFERROR(IFERROR((H134*W134*J134/15)-AE134,""),"")</f>
        <v/>
      </c>
      <c r="AH134" s="26">
        <f>IFERROR(AG134-AF134,0)</f>
        <v>0</v>
      </c>
      <c r="AI134" s="25">
        <f>IF(F134="",(G134/$F$143)*$AL$28,(F134/$F$143)*$AL$28)</f>
        <v>0</v>
      </c>
      <c r="AJ134" s="25">
        <f>(AH134-AI134)*70%</f>
        <v>0</v>
      </c>
    </row>
    <row r="135" spans="1:36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3"/>
      <c r="AA135" s="21"/>
      <c r="AB135" s="21"/>
      <c r="AC135" s="21"/>
      <c r="AD135" s="21"/>
      <c r="AE135" s="21"/>
      <c r="AF135" s="21"/>
      <c r="AG135" s="21"/>
      <c r="AH135" s="26">
        <f>IFERROR(AH134/F134,0)+IFERROR(AH134/G134,0)</f>
        <v>0</v>
      </c>
    </row>
    <row r="136" spans="1:36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7" t="str">
        <f>IFERROR(AH134/AG134,"")</f>
        <v/>
      </c>
    </row>
    <row r="137" spans="1:36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47"/>
    </row>
    <row r="138" spans="1:36" x14ac:dyDescent="0.35">
      <c r="A138" s="14" t="s">
        <v>1</v>
      </c>
      <c r="B138" s="14" t="s">
        <v>2</v>
      </c>
      <c r="C138" s="14" t="s">
        <v>110</v>
      </c>
      <c r="D138" s="14" t="s">
        <v>66</v>
      </c>
      <c r="E138" s="14" t="s">
        <v>638</v>
      </c>
      <c r="F138" s="14" t="s">
        <v>137</v>
      </c>
      <c r="G138" s="14" t="s">
        <v>138</v>
      </c>
      <c r="H138" s="14" t="s">
        <v>4</v>
      </c>
      <c r="I138" s="14" t="s">
        <v>5</v>
      </c>
      <c r="J138" s="14" t="s">
        <v>6</v>
      </c>
      <c r="K138" s="14" t="s">
        <v>7</v>
      </c>
      <c r="L138" s="14" t="s">
        <v>279</v>
      </c>
      <c r="M138" s="14" t="s">
        <v>280</v>
      </c>
      <c r="N138" s="14" t="s">
        <v>281</v>
      </c>
      <c r="O138" s="14" t="s">
        <v>282</v>
      </c>
      <c r="P138" s="14" t="s">
        <v>283</v>
      </c>
      <c r="Q138" s="14" t="s">
        <v>284</v>
      </c>
      <c r="R138" s="14" t="s">
        <v>904</v>
      </c>
      <c r="S138" s="14" t="s">
        <v>285</v>
      </c>
      <c r="T138" s="14" t="s">
        <v>289</v>
      </c>
      <c r="U138" s="14" t="s">
        <v>8</v>
      </c>
      <c r="V138" s="14" t="s">
        <v>9</v>
      </c>
      <c r="W138" s="14" t="s">
        <v>10</v>
      </c>
      <c r="X138" s="14" t="s">
        <v>100</v>
      </c>
      <c r="Y138" s="14" t="s">
        <v>106</v>
      </c>
      <c r="Z138" s="14" t="s">
        <v>12</v>
      </c>
      <c r="AA138" s="14" t="s">
        <v>258</v>
      </c>
      <c r="AB138" s="14" t="s">
        <v>13</v>
      </c>
      <c r="AC138" s="14" t="s">
        <v>74</v>
      </c>
      <c r="AD138" s="14" t="s">
        <v>21</v>
      </c>
      <c r="AE138" s="14" t="s">
        <v>14</v>
      </c>
      <c r="AF138" s="14" t="s">
        <v>15</v>
      </c>
      <c r="AG138" s="14" t="s">
        <v>16</v>
      </c>
      <c r="AH138" s="15" t="s">
        <v>17</v>
      </c>
      <c r="AI138" s="14" t="s">
        <v>679</v>
      </c>
      <c r="AJ138" s="14" t="s">
        <v>678</v>
      </c>
    </row>
    <row r="139" spans="1:36" x14ac:dyDescent="0.35">
      <c r="A139" s="20"/>
      <c r="B139" s="21"/>
      <c r="C139" s="21"/>
      <c r="D139" s="44"/>
      <c r="E139" s="44"/>
      <c r="F139" s="21"/>
      <c r="G139" s="21"/>
      <c r="H139" s="22">
        <v>0</v>
      </c>
      <c r="I139" s="33">
        <v>0</v>
      </c>
      <c r="J139" s="24" t="str">
        <f>IFERROR(K139/H139,"")</f>
        <v/>
      </c>
      <c r="K139" s="22">
        <v>0</v>
      </c>
      <c r="L139" s="21"/>
      <c r="M139" s="21"/>
      <c r="N139" s="21"/>
      <c r="O139" s="21"/>
      <c r="P139" s="21"/>
      <c r="Q139" s="21"/>
      <c r="R139" s="21"/>
      <c r="S139" s="21"/>
      <c r="T139" s="21"/>
      <c r="U139" s="25">
        <v>0</v>
      </c>
      <c r="V139" s="25">
        <f>H139*U139*I139/15</f>
        <v>0</v>
      </c>
      <c r="W139" s="25">
        <v>0</v>
      </c>
      <c r="X139" s="25">
        <v>0</v>
      </c>
      <c r="Y139" s="25">
        <f>IF(B139="FRANCISCO CAMACHO",((F139*42)+(G139*42)),IF(B139="JOSE INACIO",((F139*60)+(G139*60)),0))</f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f>IF(F139="",G139*4.11,F139*4.11)</f>
        <v>0</v>
      </c>
      <c r="AE139" s="25">
        <v>0</v>
      </c>
      <c r="AF139" s="25">
        <f>V139+Y139+Z139+AA139+AB139+AC139+AD139</f>
        <v>0</v>
      </c>
      <c r="AG139" s="25" t="str">
        <f>IFERROR(IFERROR((H139*W139*J139/15)-AE139,""),"")</f>
        <v/>
      </c>
      <c r="AH139" s="26">
        <f>IFERROR(AG139-AF139,0)</f>
        <v>0</v>
      </c>
      <c r="AI139" s="25">
        <f>IF(F139="",(G139/$F$143)*$AL$28,(F139/$F$143)*$AL$28)</f>
        <v>0</v>
      </c>
      <c r="AJ139" s="25">
        <f>(AH139-AI139)*70%</f>
        <v>0</v>
      </c>
    </row>
    <row r="140" spans="1:36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3"/>
      <c r="AA140" s="21"/>
      <c r="AB140" s="21"/>
      <c r="AC140" s="21"/>
      <c r="AD140" s="21"/>
      <c r="AE140" s="21"/>
      <c r="AF140" s="21"/>
      <c r="AG140" s="21"/>
      <c r="AH140" s="26">
        <f>IFERROR(AH139/F139,0)+IFERROR(AH139/G139,0)</f>
        <v>0</v>
      </c>
    </row>
    <row r="141" spans="1:36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7" t="str">
        <f>IFERROR(AH139/AG139,"")</f>
        <v/>
      </c>
    </row>
    <row r="142" spans="1:36" ht="15" thickBot="1" x14ac:dyDescent="0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47"/>
      <c r="AI142" s="47"/>
      <c r="AJ142" s="47"/>
    </row>
    <row r="143" spans="1:36" ht="16" thickBot="1" x14ac:dyDescent="0.4">
      <c r="A143" s="377" t="s">
        <v>739</v>
      </c>
      <c r="B143" s="378"/>
      <c r="C143" s="378"/>
      <c r="D143" s="378"/>
      <c r="E143" s="378"/>
      <c r="F143" s="163">
        <f>SUM(F4:G139)</f>
        <v>604</v>
      </c>
      <c r="G143" s="163"/>
      <c r="H143" s="30"/>
      <c r="I143" s="30"/>
      <c r="J143" s="30"/>
      <c r="K143" s="30"/>
      <c r="L143" s="46"/>
      <c r="M143" s="46"/>
      <c r="N143" s="46"/>
      <c r="O143" s="46"/>
      <c r="P143" s="46"/>
      <c r="Q143" s="46"/>
      <c r="R143" s="46"/>
      <c r="S143" s="46"/>
      <c r="T143" s="46"/>
      <c r="U143" s="30"/>
      <c r="V143" s="31">
        <f>SUM(V4:V142)</f>
        <v>2607780.3666666672</v>
      </c>
      <c r="W143" s="31"/>
      <c r="X143" s="31"/>
      <c r="Y143" s="31">
        <f t="shared" ref="Y143:AG143" si="0">SUM(Y4:Y142)</f>
        <v>13500</v>
      </c>
      <c r="Z143" s="31">
        <f t="shared" si="0"/>
        <v>124426.32</v>
      </c>
      <c r="AA143" s="31">
        <f t="shared" si="0"/>
        <v>0</v>
      </c>
      <c r="AB143" s="31">
        <f t="shared" si="0"/>
        <v>15990.25</v>
      </c>
      <c r="AC143" s="31">
        <f t="shared" si="0"/>
        <v>1900</v>
      </c>
      <c r="AD143" s="31">
        <f t="shared" si="0"/>
        <v>2482.44</v>
      </c>
      <c r="AE143" s="31">
        <f t="shared" si="0"/>
        <v>5382.0748869346735</v>
      </c>
      <c r="AF143" s="31">
        <f t="shared" si="0"/>
        <v>2766079.3766666674</v>
      </c>
      <c r="AG143" s="31">
        <f t="shared" si="0"/>
        <v>2719525.1164463991</v>
      </c>
      <c r="AH143" s="161">
        <f>AH4+AH9+AH14+AH19+AH24+AH29+AH34+AH39+AH44+AH49+AH54+AH59+AH64+AH69+AH74+AH79+AH84+AH89+AH94+AH99+AH104+AH109+AH114+AH119+AH124+AH129+AH134+AH139</f>
        <v>-46554.260220268276</v>
      </c>
      <c r="AI143" s="165">
        <f>SUM(AI4:AI141)</f>
        <v>16490.14</v>
      </c>
      <c r="AJ143" s="165">
        <f>SUM(AJ4:AJ141)</f>
        <v>-44131.080154187795</v>
      </c>
    </row>
    <row r="145" spans="22:35" x14ac:dyDescent="0.35">
      <c r="V145" s="162"/>
      <c r="AI145" s="25"/>
    </row>
  </sheetData>
  <mergeCells count="2">
    <mergeCell ref="U2:AC2"/>
    <mergeCell ref="A143:E14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45"/>
  <sheetViews>
    <sheetView zoomScale="85" zoomScaleNormal="85" workbookViewId="0">
      <pane xSplit="7" ySplit="3" topLeftCell="AE4" activePane="bottomRight" state="frozen"/>
      <selection pane="topRight"/>
      <selection pane="bottomLeft"/>
      <selection pane="bottomRight" activeCell="E3" sqref="E3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bestFit="1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19.179687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AF143</f>
        <v>5056801.7953290604</v>
      </c>
      <c r="AM3" s="164">
        <f>AH143-AI143</f>
        <v>110655.52517093965</v>
      </c>
    </row>
    <row r="4" spans="1:40" x14ac:dyDescent="0.35">
      <c r="A4" s="20">
        <v>45230</v>
      </c>
      <c r="B4" s="21" t="s">
        <v>789</v>
      </c>
      <c r="C4" s="21" t="s">
        <v>790</v>
      </c>
      <c r="D4" s="44">
        <v>1890058</v>
      </c>
      <c r="E4" s="44" t="s">
        <v>652</v>
      </c>
      <c r="F4" s="21">
        <v>100</v>
      </c>
      <c r="G4" s="21"/>
      <c r="H4" s="22">
        <f>91090/200*F4</f>
        <v>45545</v>
      </c>
      <c r="I4" s="33">
        <v>0.51</v>
      </c>
      <c r="J4" s="24">
        <f>IFERROR(K4/H4,"")</f>
        <v>0.5657152266988692</v>
      </c>
      <c r="K4" s="22">
        <v>25765.5</v>
      </c>
      <c r="L4" s="21">
        <v>1</v>
      </c>
      <c r="M4" s="21">
        <v>2</v>
      </c>
      <c r="N4" s="21">
        <v>16</v>
      </c>
      <c r="O4" s="21">
        <v>57</v>
      </c>
      <c r="P4" s="21">
        <v>24</v>
      </c>
      <c r="Q4" s="21"/>
      <c r="R4" s="21"/>
      <c r="S4" s="21"/>
      <c r="T4" s="21"/>
      <c r="U4" s="25">
        <v>230</v>
      </c>
      <c r="V4" s="25">
        <f>H4*U4*I4/15</f>
        <v>356161.9</v>
      </c>
      <c r="W4" s="25">
        <v>236.07</v>
      </c>
      <c r="X4" s="25">
        <f>1753707.87/400*F4</f>
        <v>438426.96750000003</v>
      </c>
      <c r="Y4" s="25">
        <f>IF(B4="FRANCISCO CAMACHO",((F4*42)+(G4*42)),IF(B4="JOSE INACIO",((F4*60)+(G4*60)),0))</f>
        <v>0</v>
      </c>
      <c r="Z4" s="264">
        <f>(12480+8520)/250*F4</f>
        <v>8400</v>
      </c>
      <c r="AA4" s="25">
        <v>0</v>
      </c>
      <c r="AB4" s="264">
        <f>5650/250*F4</f>
        <v>2260</v>
      </c>
      <c r="AC4" s="25">
        <v>0</v>
      </c>
      <c r="AD4" s="25">
        <f>IF(F4="",G4*4.11,F4*4.11)</f>
        <v>411.00000000000006</v>
      </c>
      <c r="AE4" s="25">
        <f>3507.41/400*F4</f>
        <v>876.85250000000008</v>
      </c>
      <c r="AF4" s="25">
        <f>V4+Y4+Z4+AA4+AB4+AC4+AD4</f>
        <v>367232.9</v>
      </c>
      <c r="AG4" s="25">
        <f>IFERROR(IFERROR((H4*W4*J4/15)-AE4,""),"")</f>
        <v>404620.58650000003</v>
      </c>
      <c r="AH4" s="26">
        <f>IFERROR(AG4-AF4,0)</f>
        <v>37387.686500000011</v>
      </c>
      <c r="AI4" s="25">
        <f>(AH4/$AH$143)*$AL$28</f>
        <v>805.12980230527319</v>
      </c>
      <c r="AJ4" s="25">
        <f>(AH4-AI4)*70%</f>
        <v>25607.789688386314</v>
      </c>
      <c r="AL4" s="166" t="s">
        <v>749</v>
      </c>
      <c r="AM4" s="167">
        <f>AM3/AL3</f>
        <v>2.1882511842396424E-2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5"/>
      <c r="W5" s="21"/>
      <c r="X5" s="25"/>
      <c r="Y5" s="21"/>
      <c r="Z5" s="3"/>
      <c r="AA5" s="21"/>
      <c r="AB5" s="21"/>
      <c r="AC5" s="21"/>
      <c r="AD5" s="21"/>
      <c r="AE5" s="21"/>
      <c r="AF5" s="25"/>
      <c r="AG5" s="21"/>
      <c r="AH5" s="26">
        <f>IFERROR(AH4/F4,0)+IFERROR(AH4/G4,0)</f>
        <v>373.87686500000012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2"/>
      <c r="I6" s="21"/>
      <c r="J6" s="21"/>
      <c r="K6" s="22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5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9.2401839519354281E-2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45230</v>
      </c>
      <c r="B9" s="21" t="s">
        <v>789</v>
      </c>
      <c r="C9" s="21" t="s">
        <v>790</v>
      </c>
      <c r="D9" s="44">
        <v>1890634</v>
      </c>
      <c r="E9" s="44" t="s">
        <v>652</v>
      </c>
      <c r="F9" s="21">
        <v>100</v>
      </c>
      <c r="G9" s="21"/>
      <c r="H9" s="22">
        <f>91090/200*F9</f>
        <v>45545</v>
      </c>
      <c r="I9" s="33">
        <v>0.51</v>
      </c>
      <c r="J9" s="24">
        <f>IFERROR(K9/H9,"")</f>
        <v>0.51809199692611707</v>
      </c>
      <c r="K9" s="22">
        <v>23596.5</v>
      </c>
      <c r="L9" s="21">
        <v>7</v>
      </c>
      <c r="M9" s="21">
        <v>36</v>
      </c>
      <c r="N9" s="21">
        <v>25</v>
      </c>
      <c r="O9" s="21">
        <v>23</v>
      </c>
      <c r="P9" s="21">
        <v>9</v>
      </c>
      <c r="Q9" s="21"/>
      <c r="R9" s="21"/>
      <c r="S9" s="21"/>
      <c r="T9" s="21"/>
      <c r="U9" s="25">
        <v>230</v>
      </c>
      <c r="V9" s="25">
        <f>H9*U9*I9/15</f>
        <v>356161.9</v>
      </c>
      <c r="W9" s="25">
        <v>227.86</v>
      </c>
      <c r="X9" s="25">
        <v>358442.22</v>
      </c>
      <c r="Y9" s="25">
        <f>IF(B9="FRANCISCO CAMACHO",((F9*42)+(G9*42)),IF(B9="JOSE INACIO",((F9*60)+(G9*60)),0))</f>
        <v>0</v>
      </c>
      <c r="Z9" s="264">
        <f>(12480+8520)/250*F9</f>
        <v>8400</v>
      </c>
      <c r="AA9" s="25">
        <v>0</v>
      </c>
      <c r="AB9" s="264">
        <f>5650/250*F9</f>
        <v>2260</v>
      </c>
      <c r="AC9" s="25">
        <v>0</v>
      </c>
      <c r="AD9" s="25">
        <f>IF(F9="",G9*4.11,F9*4.11)</f>
        <v>411.00000000000006</v>
      </c>
      <c r="AE9" s="25">
        <v>716.88</v>
      </c>
      <c r="AF9" s="25">
        <f>V9+Y9+Z9+AA9+AB9+AC9+AD9</f>
        <v>367232.9</v>
      </c>
      <c r="AG9" s="25">
        <f>IFERROR(IFERROR((H9*W9*J9/15)-AE9,""),"")</f>
        <v>357729.68600000005</v>
      </c>
      <c r="AH9" s="26">
        <f>IFERROR(AG9-AF9,0)</f>
        <v>-9503.2139999999781</v>
      </c>
      <c r="AI9" s="25">
        <f>(AH9/$AH$143)*$AL$28</f>
        <v>-204.64814823684492</v>
      </c>
      <c r="AJ9" s="25">
        <f>(AH9-AI9)*70%</f>
        <v>-6508.9960962341929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-95.032139999999785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-2.6565349122297827E-2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45230</v>
      </c>
      <c r="B14" s="21" t="s">
        <v>789</v>
      </c>
      <c r="C14" s="21" t="s">
        <v>790</v>
      </c>
      <c r="D14" s="44">
        <v>1891506</v>
      </c>
      <c r="E14" s="44" t="s">
        <v>652</v>
      </c>
      <c r="F14" s="21">
        <v>50</v>
      </c>
      <c r="G14" s="21"/>
      <c r="H14" s="22">
        <v>25210</v>
      </c>
      <c r="I14" s="33">
        <v>0.51</v>
      </c>
      <c r="J14" s="24">
        <f>IFERROR(K14/H14,"")</f>
        <v>0.50170567235224117</v>
      </c>
      <c r="K14" s="22">
        <v>12648</v>
      </c>
      <c r="L14" s="21">
        <v>4</v>
      </c>
      <c r="M14" s="21">
        <v>13</v>
      </c>
      <c r="N14" s="21">
        <v>17</v>
      </c>
      <c r="O14" s="21">
        <v>9</v>
      </c>
      <c r="P14" s="21">
        <v>7</v>
      </c>
      <c r="Q14" s="21"/>
      <c r="R14" s="21"/>
      <c r="S14" s="21"/>
      <c r="T14" s="21"/>
      <c r="U14" s="25">
        <v>210</v>
      </c>
      <c r="V14" s="25">
        <f>H14*U14*I14/15</f>
        <v>179999.4</v>
      </c>
      <c r="W14" s="25">
        <v>228.66</v>
      </c>
      <c r="X14" s="25">
        <v>192804.66</v>
      </c>
      <c r="Y14" s="25">
        <f>IF(B14="FRANCISCO CAMACHO",((F14*42)+(G14*42)),IF(B14="JOSE INACIO",((F14*60)+(G14*60)),0))</f>
        <v>0</v>
      </c>
      <c r="Z14" s="264">
        <f>(12480+8520)/250*F14</f>
        <v>4200</v>
      </c>
      <c r="AA14" s="25">
        <v>0</v>
      </c>
      <c r="AB14" s="264">
        <f>5650/250*F14</f>
        <v>1130</v>
      </c>
      <c r="AC14" s="25">
        <v>0</v>
      </c>
      <c r="AD14" s="25">
        <f>IF(F14="",G14*4.11,F14*4.11)</f>
        <v>205.50000000000003</v>
      </c>
      <c r="AE14" s="25">
        <v>385.61</v>
      </c>
      <c r="AF14" s="25">
        <f>V14+Y14+Z14+AA14+AB14+AC14+AD14</f>
        <v>185534.9</v>
      </c>
      <c r="AG14" s="25">
        <f>IFERROR(IFERROR((H14*W14*J14/15)-AE14,""),"")</f>
        <v>192420.50200000001</v>
      </c>
      <c r="AH14" s="26">
        <f>IFERROR(AG14-AF14,0)</f>
        <v>6885.6020000000135</v>
      </c>
      <c r="AI14" s="25">
        <f>(AH14/$AH$143)*$AL$28</f>
        <v>148.27885584770812</v>
      </c>
      <c r="AJ14" s="25">
        <f>(AH14-AI14)*70%</f>
        <v>4716.126200906614</v>
      </c>
      <c r="AL14" s="14">
        <f>F4+G4+F9+G9+F14+G14+F19+G19+F24+G24+F29+G29+F34+G34+F39+G39+F44+G44+F49+G49+F54+G54+F59+G59+F64+G64+F74+G74+F79+G79+F69+G69+F84+G84+F89+G89+F94+G94+F99+G99+F104+G104+F109+G109+F114+G114+F119+G119+F124+G124+F129+G129+F134+G134+F139+G139</f>
        <v>1149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137.71204000000026</v>
      </c>
      <c r="AL15" s="11">
        <f>AH143</f>
        <v>113090.89517093965</v>
      </c>
      <c r="AM15" s="11">
        <f>AL15*30%</f>
        <v>33927.268551281893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3.578413905187719E-2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45231</v>
      </c>
      <c r="B19" s="21" t="s">
        <v>789</v>
      </c>
      <c r="C19" s="21" t="s">
        <v>790</v>
      </c>
      <c r="D19" s="44">
        <v>1891215</v>
      </c>
      <c r="E19" s="44" t="s">
        <v>652</v>
      </c>
      <c r="F19" s="21">
        <v>100</v>
      </c>
      <c r="G19" s="21"/>
      <c r="H19" s="22">
        <f>79490/156*F19</f>
        <v>50955.128205128203</v>
      </c>
      <c r="I19" s="33">
        <v>0.52</v>
      </c>
      <c r="J19" s="24">
        <f>IFERROR(K19/H19,"")</f>
        <v>0.48598641338533149</v>
      </c>
      <c r="K19" s="22">
        <v>24763.5</v>
      </c>
      <c r="L19" s="21">
        <v>6</v>
      </c>
      <c r="M19" s="21">
        <v>35</v>
      </c>
      <c r="N19" s="21">
        <v>40</v>
      </c>
      <c r="O19" s="21">
        <v>17</v>
      </c>
      <c r="P19" s="21">
        <v>2</v>
      </c>
      <c r="Q19" s="21"/>
      <c r="R19" s="21"/>
      <c r="S19" s="21"/>
      <c r="T19" s="21"/>
      <c r="U19" s="25">
        <v>210</v>
      </c>
      <c r="V19" s="25">
        <f>H19*U19*I19/15</f>
        <v>370953.33333333331</v>
      </c>
      <c r="W19" s="25">
        <v>232.77</v>
      </c>
      <c r="X19" s="25">
        <v>384276.2</v>
      </c>
      <c r="Y19" s="25">
        <f>IF(B19="FRANCISCO CAMACHO",((F19*42)+(G19*42)),IF(B19="JOSE INACIO",((F19*60)+(G19*60)),0))</f>
        <v>0</v>
      </c>
      <c r="Z19" s="264">
        <f>(4160+9702.4+8520)/260*F19</f>
        <v>8608.6153846153848</v>
      </c>
      <c r="AA19" s="25">
        <v>0</v>
      </c>
      <c r="AB19" s="264">
        <f>7085/260*F19</f>
        <v>2725</v>
      </c>
      <c r="AC19" s="25">
        <v>0</v>
      </c>
      <c r="AD19" s="25">
        <f>IF(F19="",G19*4.11,F19*4.11)</f>
        <v>411.00000000000006</v>
      </c>
      <c r="AE19" s="25">
        <v>768.55</v>
      </c>
      <c r="AF19" s="25">
        <f>V19+Y19+Z19+AA19+AB19+AC19+AD19</f>
        <v>382697.94871794869</v>
      </c>
      <c r="AG19" s="25">
        <f>IFERROR(IFERROR((H19*W19*J19/15)-AE19,""),"")</f>
        <v>383511.44299999997</v>
      </c>
      <c r="AH19" s="26">
        <f>IFERROR(AG19-AF19,0)</f>
        <v>813.49428205128061</v>
      </c>
      <c r="AI19" s="25">
        <f>(AH19/$AH$143)*$AL$28</f>
        <v>17.518294171114803</v>
      </c>
      <c r="AJ19" s="25">
        <f>(AH19-AI19)*70%</f>
        <v>557.18319151611604</v>
      </c>
      <c r="AL19" s="178">
        <v>788.92</v>
      </c>
      <c r="AM19" s="6" t="s">
        <v>796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5"/>
      <c r="W20" s="21"/>
      <c r="X20" s="25"/>
      <c r="Y20" s="21"/>
      <c r="Z20" s="3"/>
      <c r="AA20" s="21"/>
      <c r="AB20" s="21"/>
      <c r="AC20" s="21"/>
      <c r="AD20" s="21"/>
      <c r="AE20" s="21"/>
      <c r="AF20" s="25"/>
      <c r="AG20" s="21"/>
      <c r="AH20" s="26">
        <f>IFERROR(AH19/F19,0)+IFERROR(AH19/G19,0)</f>
        <v>8.1349428205128067</v>
      </c>
      <c r="AL20" s="178">
        <v>1430.3</v>
      </c>
      <c r="AM20" s="6" t="s">
        <v>797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2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5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2.1211734275456305E-3</v>
      </c>
      <c r="AL21" s="178">
        <v>124</v>
      </c>
      <c r="AM21" s="6" t="s">
        <v>798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92.15</v>
      </c>
      <c r="AM22" s="6" t="s">
        <v>800</v>
      </c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/>
      <c r="AM23" s="6"/>
      <c r="AN23" s="174"/>
    </row>
    <row r="24" spans="1:40" x14ac:dyDescent="0.35">
      <c r="A24" s="20">
        <v>45236</v>
      </c>
      <c r="B24" s="21" t="s">
        <v>632</v>
      </c>
      <c r="C24" s="21" t="s">
        <v>697</v>
      </c>
      <c r="D24" s="44">
        <v>1888784</v>
      </c>
      <c r="E24" s="44" t="s">
        <v>652</v>
      </c>
      <c r="F24" s="21">
        <v>100</v>
      </c>
      <c r="G24" s="21"/>
      <c r="H24" s="22">
        <v>53798</v>
      </c>
      <c r="I24" s="33">
        <v>0.55000000000000004</v>
      </c>
      <c r="J24" s="24">
        <f>IFERROR(K24/H24,"")</f>
        <v>0.56036469757240048</v>
      </c>
      <c r="K24" s="22">
        <v>30146.5</v>
      </c>
      <c r="L24" s="21">
        <v>17</v>
      </c>
      <c r="M24" s="21">
        <v>53</v>
      </c>
      <c r="N24" s="21">
        <v>28</v>
      </c>
      <c r="O24" s="21">
        <v>2</v>
      </c>
      <c r="P24" s="21"/>
      <c r="Q24" s="21"/>
      <c r="R24" s="21"/>
      <c r="S24" s="21"/>
      <c r="T24" s="21"/>
      <c r="U24" s="25">
        <v>215</v>
      </c>
      <c r="V24" s="25">
        <f>H24*U24*I24/15</f>
        <v>424107.56666666671</v>
      </c>
      <c r="W24" s="25">
        <v>241.9</v>
      </c>
      <c r="X24" s="25">
        <v>486153.63</v>
      </c>
      <c r="Y24" s="25">
        <f>IF(B24="FRANCISCO CAMACHO",((F24*42)+(G24*42)),IF(B24="JOSE INACIO",((F24*60)+(G24*60)),0))</f>
        <v>4200</v>
      </c>
      <c r="Z24" s="264">
        <f>19483.46+19704.45</f>
        <v>39187.910000000003</v>
      </c>
      <c r="AA24" s="25">
        <v>0</v>
      </c>
      <c r="AB24" s="264">
        <v>2687.5</v>
      </c>
      <c r="AC24" s="25">
        <v>0</v>
      </c>
      <c r="AD24" s="25">
        <f>IF(F24="",G24*4.11,F24*4.11)</f>
        <v>411.00000000000006</v>
      </c>
      <c r="AE24" s="25">
        <v>972.31</v>
      </c>
      <c r="AF24" s="25">
        <f>V24+Y24+Z24+AA24+AB24+AC24+AD24</f>
        <v>470593.97666666668</v>
      </c>
      <c r="AG24" s="25">
        <f>IFERROR(IFERROR((H24*W24*J24/15)-AE24,""),"")</f>
        <v>485190.2466666667</v>
      </c>
      <c r="AH24" s="26">
        <f>IFERROR(AG24-AF24,0)</f>
        <v>14596.270000000019</v>
      </c>
      <c r="AI24" s="25">
        <f>(AH24/$AH$143)*$AL$28</f>
        <v>314.32519847127747</v>
      </c>
      <c r="AJ24" s="25">
        <f>(AH24-AI24)*70%</f>
        <v>9997.3613610701177</v>
      </c>
      <c r="AL24" s="178"/>
      <c r="AM24" s="6"/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5"/>
      <c r="W25" s="21"/>
      <c r="X25" s="25"/>
      <c r="Y25" s="21"/>
      <c r="Z25" s="3"/>
      <c r="AA25" s="21"/>
      <c r="AB25" s="21"/>
      <c r="AC25" s="21"/>
      <c r="AD25" s="21"/>
      <c r="AE25" s="21"/>
      <c r="AF25" s="25"/>
      <c r="AG25" s="21"/>
      <c r="AH25" s="26">
        <f>IFERROR(AH24/F24,0)+IFERROR(AH24/G24,0)</f>
        <v>145.96270000000018</v>
      </c>
      <c r="AL25" s="178"/>
      <c r="AM25" s="6"/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2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5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3.008360143320829E-2</v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4">
        <f>SUM(AL19:AL27)</f>
        <v>2435.37</v>
      </c>
      <c r="AM28" s="189" t="s">
        <v>673</v>
      </c>
      <c r="AN28" s="191"/>
    </row>
    <row r="29" spans="1:40" x14ac:dyDescent="0.35">
      <c r="A29" s="20">
        <v>45236</v>
      </c>
      <c r="B29" s="21" t="s">
        <v>793</v>
      </c>
      <c r="C29" s="21" t="s">
        <v>794</v>
      </c>
      <c r="D29" s="44">
        <v>1888742</v>
      </c>
      <c r="E29" s="44" t="s">
        <v>652</v>
      </c>
      <c r="F29" s="21">
        <v>11</v>
      </c>
      <c r="G29" s="21"/>
      <c r="H29" s="22">
        <v>5940</v>
      </c>
      <c r="I29" s="33">
        <v>0.54</v>
      </c>
      <c r="J29" s="24">
        <f>IFERROR(K29/H29,"")</f>
        <v>0.54813888888888895</v>
      </c>
      <c r="K29" s="22">
        <f>29599.5/100*F29</f>
        <v>3255.9450000000002</v>
      </c>
      <c r="L29" s="21">
        <v>6</v>
      </c>
      <c r="M29" s="21">
        <v>5</v>
      </c>
      <c r="N29" s="21"/>
      <c r="O29" s="21"/>
      <c r="P29" s="21"/>
      <c r="Q29" s="21"/>
      <c r="R29" s="21"/>
      <c r="S29" s="21"/>
      <c r="T29" s="21"/>
      <c r="U29" s="25">
        <v>230</v>
      </c>
      <c r="V29" s="25">
        <f>H29*U29*I29/15</f>
        <v>49183.199999999997</v>
      </c>
      <c r="W29" s="25">
        <v>240.6</v>
      </c>
      <c r="X29" s="25">
        <f>474778.01/100*F29</f>
        <v>52225.581099999996</v>
      </c>
      <c r="Y29" s="25">
        <f>IF(B29="FRANCISCO CAMACHO",((F29*42)+(G29*42)),IF(B29="JOSE INACIO",((F29*60)+(G29*60)),0))</f>
        <v>0</v>
      </c>
      <c r="Z29" s="264">
        <f>18231.3/100*F29</f>
        <v>2005.4429999999998</v>
      </c>
      <c r="AA29" s="25">
        <v>0</v>
      </c>
      <c r="AB29" s="264">
        <v>316.25</v>
      </c>
      <c r="AC29" s="25">
        <v>0</v>
      </c>
      <c r="AD29" s="25">
        <f>IF(F29="",G29*4.11,F29*4.11)</f>
        <v>45.21</v>
      </c>
      <c r="AE29" s="25">
        <f>949.55/100*F29</f>
        <v>104.45050000000001</v>
      </c>
      <c r="AF29" s="25">
        <f>V29+Y29+Z29+AA29+AB29+AC29+AD29</f>
        <v>51550.102999999996</v>
      </c>
      <c r="AG29" s="25">
        <f>IFERROR(IFERROR((H29*W29*J29/15)-AE29,""),"")</f>
        <v>52120.907300000006</v>
      </c>
      <c r="AH29" s="26">
        <f>IFERROR(AG29-AF29,0)</f>
        <v>570.8043000000107</v>
      </c>
      <c r="AI29" s="25">
        <f>(AH29/$AH$143)*$AL$28</f>
        <v>12.292056455913857</v>
      </c>
      <c r="AJ29" s="25">
        <f>(AH29-AI29)*70%</f>
        <v>390.95857048086776</v>
      </c>
      <c r="AL29" s="57"/>
      <c r="AM29" s="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5"/>
      <c r="AC30" s="21"/>
      <c r="AD30" s="21"/>
      <c r="AE30" s="21"/>
      <c r="AF30" s="21"/>
      <c r="AG30" s="21"/>
      <c r="AH30" s="26">
        <f>IFERROR(AH29/F29,0)+IFERROR(AH29/G29,0)</f>
        <v>51.891300000000975</v>
      </c>
      <c r="AL30" s="57"/>
      <c r="AM30" s="118" t="s">
        <v>22</v>
      </c>
      <c r="AN30" s="12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1.0951541896892701E-2</v>
      </c>
      <c r="AL31" s="247">
        <f>AL15-AL28</f>
        <v>110655.52517093965</v>
      </c>
      <c r="AM31" s="248">
        <f>AL31*30%</f>
        <v>33196.657551281896</v>
      </c>
      <c r="AN31" s="12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249"/>
      <c r="AN32" s="246"/>
    </row>
    <row r="33" spans="1:4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7"/>
      <c r="AM33" s="265">
        <f>'04.11.23'!AM31</f>
        <v>-18913.320066080483</v>
      </c>
      <c r="AN33" s="1" t="s">
        <v>807</v>
      </c>
    </row>
    <row r="34" spans="1:41" x14ac:dyDescent="0.35">
      <c r="A34" s="20">
        <v>45236</v>
      </c>
      <c r="B34" s="21" t="s">
        <v>795</v>
      </c>
      <c r="C34" s="21" t="s">
        <v>794</v>
      </c>
      <c r="D34" s="44">
        <v>1888742</v>
      </c>
      <c r="E34" s="44" t="s">
        <v>652</v>
      </c>
      <c r="F34" s="21">
        <v>89</v>
      </c>
      <c r="G34" s="21"/>
      <c r="H34" s="22">
        <v>46350</v>
      </c>
      <c r="I34" s="33">
        <v>0.55000000000000004</v>
      </c>
      <c r="J34" s="24">
        <f>IFERROR(K34/H34,"")</f>
        <v>0.56836148867313918</v>
      </c>
      <c r="K34" s="22">
        <f>29599.5/100*F34</f>
        <v>26343.555</v>
      </c>
      <c r="L34" s="21">
        <v>12</v>
      </c>
      <c r="M34" s="21">
        <v>51</v>
      </c>
      <c r="N34" s="21">
        <v>22</v>
      </c>
      <c r="O34" s="21">
        <v>4</v>
      </c>
      <c r="P34" s="21"/>
      <c r="Q34" s="21"/>
      <c r="R34" s="21"/>
      <c r="S34" s="21"/>
      <c r="T34" s="21"/>
      <c r="U34" s="25">
        <v>230</v>
      </c>
      <c r="V34" s="25">
        <f>H34*U34*I34/15</f>
        <v>390885.00000000006</v>
      </c>
      <c r="W34" s="25">
        <v>240.6</v>
      </c>
      <c r="X34" s="25">
        <f>474778.01/100*F34</f>
        <v>422552.4289</v>
      </c>
      <c r="Y34" s="25">
        <f>IF(B34="FRANCISCO CAMACHO",((F34*42)+(G34*42)),IF(B34="JOSE INACIO",((F34*60)+(G34*60)),0))</f>
        <v>0</v>
      </c>
      <c r="Z34" s="264">
        <f>18231.3/100*F34</f>
        <v>16225.856999999998</v>
      </c>
      <c r="AA34" s="25">
        <v>0</v>
      </c>
      <c r="AB34" s="264">
        <v>2558.75</v>
      </c>
      <c r="AC34" s="25">
        <v>0</v>
      </c>
      <c r="AD34" s="25">
        <f>IF(F34="",G34*4.11,F34*4.11)</f>
        <v>365.79</v>
      </c>
      <c r="AE34" s="25">
        <f>949.55/100*F34</f>
        <v>845.09950000000003</v>
      </c>
      <c r="AF34" s="25">
        <f>V34+Y34+Z34+AA34+AB34+AC34+AD34</f>
        <v>410035.39700000006</v>
      </c>
      <c r="AG34" s="25">
        <f>IFERROR(IFERROR((H34*W34*J34/15)-AE34,""),"")</f>
        <v>421705.52270000003</v>
      </c>
      <c r="AH34" s="26">
        <f>IFERROR(AG34-AF34,0)</f>
        <v>11670.125699999975</v>
      </c>
      <c r="AI34" s="25">
        <f>(AH34/$AH$143)*$AL$28</f>
        <v>251.31177875150595</v>
      </c>
      <c r="AJ34" s="25">
        <f>(AH34-AI34)*70%</f>
        <v>7993.1697448739278</v>
      </c>
      <c r="AM34" s="57">
        <f>AM31+AM33</f>
        <v>14283.337485201413</v>
      </c>
      <c r="AN34" t="s">
        <v>809</v>
      </c>
      <c r="AO34" t="s">
        <v>820</v>
      </c>
    </row>
    <row r="35" spans="1:4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5"/>
      <c r="AC35" s="21"/>
      <c r="AD35" s="21"/>
      <c r="AE35" s="21"/>
      <c r="AF35" s="21"/>
      <c r="AG35" s="21"/>
      <c r="AH35" s="26">
        <f>IFERROR(AH34/F34,0)+IFERROR(AH34/G34,0)</f>
        <v>131.12500786516827</v>
      </c>
    </row>
    <row r="36" spans="1:4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2.767363734124503E-2</v>
      </c>
    </row>
    <row r="37" spans="1:4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</row>
    <row r="38" spans="1:41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1" x14ac:dyDescent="0.35">
      <c r="A39" s="20">
        <v>45237</v>
      </c>
      <c r="B39" s="21" t="s">
        <v>632</v>
      </c>
      <c r="C39" s="21" t="s">
        <v>802</v>
      </c>
      <c r="D39" s="44">
        <v>1889098</v>
      </c>
      <c r="E39" s="44" t="s">
        <v>652</v>
      </c>
      <c r="F39" s="21">
        <v>100</v>
      </c>
      <c r="G39" s="21"/>
      <c r="H39" s="22">
        <v>52050</v>
      </c>
      <c r="I39" s="33">
        <v>0.54</v>
      </c>
      <c r="J39" s="24">
        <f>IFERROR(K39/H39,"")</f>
        <v>0.55350624399615755</v>
      </c>
      <c r="K39" s="22">
        <v>28810</v>
      </c>
      <c r="L39" s="21">
        <v>25</v>
      </c>
      <c r="M39" s="21">
        <v>59</v>
      </c>
      <c r="N39" s="21">
        <v>15</v>
      </c>
      <c r="O39" s="21">
        <v>1</v>
      </c>
      <c r="P39" s="21"/>
      <c r="Q39" s="21"/>
      <c r="R39" s="21"/>
      <c r="S39" s="21"/>
      <c r="T39" s="21"/>
      <c r="U39" s="25">
        <v>210</v>
      </c>
      <c r="V39" s="25">
        <f>H39*U39*I39/15</f>
        <v>393498</v>
      </c>
      <c r="W39" s="25">
        <v>241.34</v>
      </c>
      <c r="X39" s="25">
        <v>463538.22</v>
      </c>
      <c r="Y39" s="25">
        <f>IF(B39="FRANCISCO CAMACHO",((F39*42)+(G39*42)),IF(B39="JOSE INACIO",((F39*60)+(G39*60)),0))</f>
        <v>4200</v>
      </c>
      <c r="Z39" s="264">
        <v>50102</v>
      </c>
      <c r="AA39" s="25">
        <v>0</v>
      </c>
      <c r="AB39" s="264">
        <v>2625</v>
      </c>
      <c r="AC39" s="25">
        <v>0</v>
      </c>
      <c r="AD39" s="25">
        <f>IF(F39="",G39*4.11,F39*4.11)</f>
        <v>411.00000000000006</v>
      </c>
      <c r="AE39" s="25">
        <v>927.08</v>
      </c>
      <c r="AF39" s="25">
        <f>V39+Y39+Z39+AA39+AB39+AC39+AD39</f>
        <v>450836</v>
      </c>
      <c r="AG39" s="25">
        <f>IFERROR(IFERROR((H39*W39*J39/15)-AE39,""),"")</f>
        <v>462606.61333333334</v>
      </c>
      <c r="AH39" s="26">
        <f>IFERROR(AG39-AF39,0)</f>
        <v>11770.613333333342</v>
      </c>
      <c r="AI39" s="25">
        <f>(AH39/$AH$143)*$AL$28</f>
        <v>253.47574223610985</v>
      </c>
      <c r="AJ39" s="25">
        <f>(AH39-AI39)*70%</f>
        <v>8061.9963137680625</v>
      </c>
    </row>
    <row r="40" spans="1:41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2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117.70613333333341</v>
      </c>
    </row>
    <row r="41" spans="1:4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2.5444109517846369E-2</v>
      </c>
    </row>
    <row r="42" spans="1:4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3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1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1" x14ac:dyDescent="0.35">
      <c r="A44" s="20">
        <v>45240</v>
      </c>
      <c r="B44" s="21" t="s">
        <v>632</v>
      </c>
      <c r="C44" s="21" t="s">
        <v>633</v>
      </c>
      <c r="D44" s="44">
        <v>1889021</v>
      </c>
      <c r="E44" s="44" t="s">
        <v>652</v>
      </c>
      <c r="F44" s="21">
        <v>200</v>
      </c>
      <c r="G44" s="21"/>
      <c r="H44" s="22">
        <v>108000</v>
      </c>
      <c r="I44" s="33">
        <v>0.55000000000000004</v>
      </c>
      <c r="J44" s="24">
        <f>IFERROR(K44/H44,"")</f>
        <v>0.55349999999999999</v>
      </c>
      <c r="K44" s="22">
        <v>59778</v>
      </c>
      <c r="L44" s="21">
        <v>93</v>
      </c>
      <c r="M44" s="21">
        <v>74</v>
      </c>
      <c r="N44" s="21">
        <v>31</v>
      </c>
      <c r="O44" s="21">
        <v>2</v>
      </c>
      <c r="P44" s="21"/>
      <c r="Q44" s="21"/>
      <c r="R44" s="21"/>
      <c r="S44" s="21"/>
      <c r="T44" s="21"/>
      <c r="U44" s="25">
        <v>215</v>
      </c>
      <c r="V44" s="25">
        <f>H44*U44*I44/15</f>
        <v>851400.00000000012</v>
      </c>
      <c r="W44" s="25">
        <v>241.23</v>
      </c>
      <c r="X44" s="25">
        <f>2414822.81/499*F44</f>
        <v>967864.85370741482</v>
      </c>
      <c r="Y44" s="25">
        <f>IF(B44="FRANCISCO CAMACHO",((F44*42)+(G44*42)),IF(B44="JOSE INACIO",((F44*60)+(G44*60)),0))</f>
        <v>8400</v>
      </c>
      <c r="Z44" s="264">
        <f>23004.2+69525.52</f>
        <v>92529.72</v>
      </c>
      <c r="AA44" s="25">
        <v>0</v>
      </c>
      <c r="AB44" s="264">
        <v>5375</v>
      </c>
      <c r="AC44" s="25">
        <v>0</v>
      </c>
      <c r="AD44" s="25">
        <f>IF(F44="",G44*4.11,F44*4.11)</f>
        <v>822.00000000000011</v>
      </c>
      <c r="AE44" s="25">
        <f>4829.65/499*F44</f>
        <v>1935.7314629258515</v>
      </c>
      <c r="AF44" s="25">
        <f>V44+Y44+Z44+AA44+AB44+AC44+AD44</f>
        <v>958526.72000000009</v>
      </c>
      <c r="AG44" s="25">
        <f>IFERROR(IFERROR((H44*W44*J44/15)-AE44,""),"")</f>
        <v>959414.06453707407</v>
      </c>
      <c r="AH44" s="26">
        <f>IFERROR(AG44-AF44,0)</f>
        <v>887.34453707397915</v>
      </c>
      <c r="AI44" s="25">
        <f>(AH44/$AH$143)*$AL$28</f>
        <v>19.108631707154089</v>
      </c>
      <c r="AJ44" s="25">
        <f>(AH44-AI44)*70%</f>
        <v>607.76513375677746</v>
      </c>
    </row>
    <row r="45" spans="1:41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2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4.4367226853698956</v>
      </c>
    </row>
    <row r="46" spans="1:41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9.2488172716347539E-4</v>
      </c>
    </row>
    <row r="47" spans="1:4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47"/>
    </row>
    <row r="48" spans="1:41" x14ac:dyDescent="0.35">
      <c r="A48" s="37" t="s">
        <v>1</v>
      </c>
      <c r="B48" s="37" t="s">
        <v>2</v>
      </c>
      <c r="C48" s="37" t="s">
        <v>110</v>
      </c>
      <c r="D48" s="37" t="s">
        <v>66</v>
      </c>
      <c r="E48" s="37" t="s">
        <v>638</v>
      </c>
      <c r="F48" s="37" t="s">
        <v>137</v>
      </c>
      <c r="G48" s="37" t="s">
        <v>138</v>
      </c>
      <c r="H48" s="37" t="s">
        <v>4</v>
      </c>
      <c r="I48" s="37" t="s">
        <v>5</v>
      </c>
      <c r="J48" s="37" t="s">
        <v>6</v>
      </c>
      <c r="K48" s="37" t="s">
        <v>7</v>
      </c>
      <c r="L48" s="37" t="s">
        <v>279</v>
      </c>
      <c r="M48" s="37" t="s">
        <v>280</v>
      </c>
      <c r="N48" s="37" t="s">
        <v>281</v>
      </c>
      <c r="O48" s="37" t="s">
        <v>282</v>
      </c>
      <c r="P48" s="37" t="s">
        <v>283</v>
      </c>
      <c r="Q48" s="37" t="s">
        <v>284</v>
      </c>
      <c r="R48" s="37" t="s">
        <v>904</v>
      </c>
      <c r="S48" s="37" t="s">
        <v>285</v>
      </c>
      <c r="T48" s="37" t="s">
        <v>289</v>
      </c>
      <c r="U48" s="37" t="s">
        <v>8</v>
      </c>
      <c r="V48" s="37" t="s">
        <v>9</v>
      </c>
      <c r="W48" s="37" t="s">
        <v>10</v>
      </c>
      <c r="X48" s="37" t="s">
        <v>100</v>
      </c>
      <c r="Y48" s="37" t="s">
        <v>106</v>
      </c>
      <c r="Z48" s="37" t="s">
        <v>12</v>
      </c>
      <c r="AA48" s="37" t="s">
        <v>258</v>
      </c>
      <c r="AB48" s="37" t="s">
        <v>13</v>
      </c>
      <c r="AC48" s="37" t="s">
        <v>74</v>
      </c>
      <c r="AD48" s="37" t="s">
        <v>21</v>
      </c>
      <c r="AE48" s="37" t="s">
        <v>14</v>
      </c>
      <c r="AF48" s="37" t="s">
        <v>15</v>
      </c>
      <c r="AG48" s="37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38">
        <v>45240</v>
      </c>
      <c r="B49" s="39" t="s">
        <v>632</v>
      </c>
      <c r="C49" s="39" t="s">
        <v>611</v>
      </c>
      <c r="D49" s="45">
        <v>1889021</v>
      </c>
      <c r="E49" s="45" t="s">
        <v>652</v>
      </c>
      <c r="F49" s="39">
        <v>100</v>
      </c>
      <c r="G49" s="39"/>
      <c r="H49" s="40">
        <v>58392</v>
      </c>
      <c r="I49" s="53">
        <v>0.55000000000000004</v>
      </c>
      <c r="J49" s="42">
        <f>IFERROR(K49/H49,"")</f>
        <v>0.54489484860939852</v>
      </c>
      <c r="K49" s="40">
        <v>31817.5</v>
      </c>
      <c r="L49" s="39">
        <v>15</v>
      </c>
      <c r="M49" s="39">
        <v>58</v>
      </c>
      <c r="N49" s="39">
        <v>27</v>
      </c>
      <c r="O49" s="39"/>
      <c r="P49" s="39"/>
      <c r="Q49" s="39"/>
      <c r="R49" s="39"/>
      <c r="S49" s="39"/>
      <c r="T49" s="39"/>
      <c r="U49" s="43">
        <v>210</v>
      </c>
      <c r="V49" s="43">
        <f>H49*U49*I49/15</f>
        <v>449618.40000000008</v>
      </c>
      <c r="W49" s="43">
        <v>241.23</v>
      </c>
      <c r="X49" s="43">
        <f>2414822.81/499*F49</f>
        <v>483932.42685370741</v>
      </c>
      <c r="Y49" s="43">
        <f>IF(B49="FRANCISCO CAMACHO",((F49*42)+(G49*42)),IF(B49="JOSE INACIO",((F49*60)+(G49*60)),0))</f>
        <v>4200</v>
      </c>
      <c r="Z49" s="264">
        <v>39300.400000000001</v>
      </c>
      <c r="AA49" s="43">
        <v>0</v>
      </c>
      <c r="AB49" s="264">
        <v>3150</v>
      </c>
      <c r="AC49" s="43">
        <v>0</v>
      </c>
      <c r="AD49" s="43">
        <f>IF(F49="",G49*4.11,F49*4.11)</f>
        <v>411.00000000000006</v>
      </c>
      <c r="AE49" s="43">
        <f>4829.65/499*F49</f>
        <v>967.86573146292574</v>
      </c>
      <c r="AF49" s="43">
        <f>V49+Y49+Z49+AA49+AB49+AC49+AD49</f>
        <v>496679.8000000001</v>
      </c>
      <c r="AG49" s="43">
        <f>IFERROR(IFERROR((H49*W49*J49/15)-AE49,""),"")</f>
        <v>510721.16926853702</v>
      </c>
      <c r="AH49" s="26">
        <f>IFERROR(AG49-AF49,0)</f>
        <v>14041.369268536917</v>
      </c>
      <c r="AI49" s="25">
        <f>(AH49/$AH$143)*$AL$28</f>
        <v>302.37561939737736</v>
      </c>
      <c r="AJ49" s="25">
        <f>(AH49-AI49)*70%</f>
        <v>9617.2955543976768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140.41369268536917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2.7493219614622963E-2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L52" s="6"/>
      <c r="AM52" s="6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45240</v>
      </c>
      <c r="B54" s="21" t="s">
        <v>793</v>
      </c>
      <c r="C54" s="21" t="s">
        <v>801</v>
      </c>
      <c r="D54" s="44">
        <v>1889021</v>
      </c>
      <c r="E54" s="44" t="s">
        <v>652</v>
      </c>
      <c r="F54" s="21">
        <v>50</v>
      </c>
      <c r="G54" s="21"/>
      <c r="H54" s="22">
        <v>25880</v>
      </c>
      <c r="I54" s="33">
        <v>0.53</v>
      </c>
      <c r="J54" s="24">
        <f>IFERROR(K54/H54,"")</f>
        <v>0.55019319938176203</v>
      </c>
      <c r="K54" s="22">
        <v>14239</v>
      </c>
      <c r="L54" s="21">
        <v>6</v>
      </c>
      <c r="M54" s="21">
        <v>33</v>
      </c>
      <c r="N54" s="21">
        <v>11</v>
      </c>
      <c r="O54" s="21"/>
      <c r="P54" s="21"/>
      <c r="Q54" s="21"/>
      <c r="R54" s="21"/>
      <c r="S54" s="21"/>
      <c r="T54" s="21"/>
      <c r="U54" s="25">
        <v>225</v>
      </c>
      <c r="V54" s="25">
        <f>H54*U54*I54/15</f>
        <v>205746</v>
      </c>
      <c r="W54" s="25">
        <v>241.23</v>
      </c>
      <c r="X54" s="25">
        <f>2414822.81/499*F54</f>
        <v>241966.2134268537</v>
      </c>
      <c r="Y54" s="25">
        <f>IF(B54="FRANCISCO CAMACHO",((F54*42)+(G54*42)),IF(B54="JOSE INACIO",((F54*60)+(G54*60)),0))</f>
        <v>0</v>
      </c>
      <c r="Z54" s="264">
        <v>7608.8</v>
      </c>
      <c r="AA54" s="25">
        <v>0</v>
      </c>
      <c r="AB54" s="264">
        <v>1406.25</v>
      </c>
      <c r="AC54" s="25">
        <v>0</v>
      </c>
      <c r="AD54" s="25">
        <f>IF(F54="",G54*4.11,F54*4.11)</f>
        <v>205.50000000000003</v>
      </c>
      <c r="AE54" s="25">
        <f>4829.65/499*F54</f>
        <v>483.93286573146287</v>
      </c>
      <c r="AF54" s="25">
        <f>V54+Y54+Z54+AA54+AB54+AC54+AD54</f>
        <v>214966.55</v>
      </c>
      <c r="AG54" s="25">
        <f>IFERROR(IFERROR((H54*W54*J54/15)-AE54,""),"")</f>
        <v>228507.66513426855</v>
      </c>
      <c r="AH54" s="26">
        <f>IFERROR(AG54-AF54,0)</f>
        <v>13541.115134268563</v>
      </c>
      <c r="AI54" s="25">
        <f>(AH54/$AH$143)*$AL$28</f>
        <v>291.60283429269123</v>
      </c>
      <c r="AJ54" s="25">
        <f>(AH54-AI54)*70%</f>
        <v>9274.6586099831093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270.82230268537126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5.9258909876445304E-2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45240</v>
      </c>
      <c r="B59" s="21" t="s">
        <v>632</v>
      </c>
      <c r="C59" s="21" t="s">
        <v>697</v>
      </c>
      <c r="D59" s="44">
        <v>1889021</v>
      </c>
      <c r="E59" s="44" t="s">
        <v>652</v>
      </c>
      <c r="F59" s="21">
        <v>149</v>
      </c>
      <c r="G59" s="21"/>
      <c r="H59" s="22">
        <f>80093.5/150*F59</f>
        <v>79559.543333333335</v>
      </c>
      <c r="I59" s="33">
        <v>0.55000000000000004</v>
      </c>
      <c r="J59" s="24">
        <f>IFERROR(K59/H59,"")</f>
        <v>0.55709218709693442</v>
      </c>
      <c r="K59" s="22">
        <v>44322</v>
      </c>
      <c r="L59" s="21">
        <v>39</v>
      </c>
      <c r="M59" s="21">
        <v>81</v>
      </c>
      <c r="N59" s="21">
        <v>26</v>
      </c>
      <c r="O59" s="21">
        <v>3</v>
      </c>
      <c r="P59" s="21"/>
      <c r="Q59" s="21"/>
      <c r="R59" s="21"/>
      <c r="S59" s="21"/>
      <c r="T59" s="21"/>
      <c r="U59" s="25">
        <v>215</v>
      </c>
      <c r="V59" s="25">
        <f>H59*U59*I59/15</f>
        <v>627194.39994444454</v>
      </c>
      <c r="W59" s="25">
        <v>241.23</v>
      </c>
      <c r="X59" s="25">
        <f>2414822.81/499*F59</f>
        <v>721059.31601202406</v>
      </c>
      <c r="Y59" s="25">
        <f>IF(B59="FRANCISCO CAMACHO",((F59*42)+(G59*42)),IF(B59="JOSE INACIO",((F59*60)+(G59*60)),0))</f>
        <v>6258</v>
      </c>
      <c r="Z59" s="264">
        <f>41224+21594.56</f>
        <v>62818.559999999998</v>
      </c>
      <c r="AA59" s="25">
        <v>0</v>
      </c>
      <c r="AB59" s="264">
        <v>4031.25</v>
      </c>
      <c r="AC59" s="25">
        <v>0</v>
      </c>
      <c r="AD59" s="25">
        <f>IF(F59="",G59*4.11,F59*4.11)</f>
        <v>612.3900000000001</v>
      </c>
      <c r="AE59" s="25">
        <f>4829.65/499*F59</f>
        <v>1442.1199398797594</v>
      </c>
      <c r="AF59" s="25">
        <f>V59+Y59+Z59+AA59+AB59+AC59+AD59</f>
        <v>700914.59994444449</v>
      </c>
      <c r="AG59" s="25">
        <f>IFERROR(IFERROR((H59*W59*J59/15)-AE59,""),"")</f>
        <v>711344.28406012</v>
      </c>
      <c r="AH59" s="26">
        <f>IFERROR(AG59-AF59,0)</f>
        <v>10429.684115675511</v>
      </c>
      <c r="AI59" s="25">
        <f>(AH59/$AH$143)*$AL$28</f>
        <v>224.59933460071861</v>
      </c>
      <c r="AJ59" s="25">
        <f>(AH59-AI59)*70%</f>
        <v>7143.5593467523549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69.997879970976584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1.4661935646894206E-2</v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/>
      <c r="B64" s="21"/>
      <c r="C64" s="21"/>
      <c r="D64" s="44"/>
      <c r="E64" s="44"/>
      <c r="F64" s="21"/>
      <c r="G64" s="21"/>
      <c r="H64" s="22">
        <v>0</v>
      </c>
      <c r="I64" s="33">
        <v>0</v>
      </c>
      <c r="J64" s="24" t="str">
        <f>IFERROR(K64/H64,"")</f>
        <v/>
      </c>
      <c r="K64" s="22">
        <v>0</v>
      </c>
      <c r="L64" s="21"/>
      <c r="M64" s="21"/>
      <c r="N64" s="21"/>
      <c r="O64" s="21"/>
      <c r="P64" s="21"/>
      <c r="Q64" s="21"/>
      <c r="R64" s="21"/>
      <c r="S64" s="21"/>
      <c r="T64" s="21"/>
      <c r="U64" s="25">
        <v>0</v>
      </c>
      <c r="V64" s="25">
        <f>H64*U64*I64/15</f>
        <v>0</v>
      </c>
      <c r="W64" s="25">
        <v>0</v>
      </c>
      <c r="X64" s="25">
        <v>0</v>
      </c>
      <c r="Y64" s="25">
        <f>IF(B64="FRANCISCO CAMACHO",((F64*42)+(G64*42)),IF(B64="JOSE INACIO",((F64*60)+(G64*60)),0))</f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f>IF(F64="",G64*4.11,F64*4.11)</f>
        <v>0</v>
      </c>
      <c r="AE64" s="25">
        <v>0</v>
      </c>
      <c r="AF64" s="25">
        <f>V64+Y64+Z64+AA64+AB64+AC64+AD64</f>
        <v>0</v>
      </c>
      <c r="AG64" s="25" t="str">
        <f>IFERROR(IFERROR((H64*W64*J64/15)-AE64,""),"")</f>
        <v/>
      </c>
      <c r="AH64" s="26">
        <f>IFERROR(AG64-AF64,0)</f>
        <v>0</v>
      </c>
      <c r="AI64" s="25">
        <f>(AH64/$AH$143)*$AL$28</f>
        <v>0</v>
      </c>
      <c r="AJ64" s="25">
        <f>(AH64-AI64)*70%</f>
        <v>0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0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 t="str">
        <f>IFERROR(AH64/AG64,"")</f>
        <v/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/>
      <c r="B69" s="21"/>
      <c r="C69" s="21"/>
      <c r="D69" s="44"/>
      <c r="E69" s="44"/>
      <c r="F69" s="21"/>
      <c r="G69" s="21"/>
      <c r="H69" s="22">
        <v>0</v>
      </c>
      <c r="I69" s="33">
        <v>0</v>
      </c>
      <c r="J69" s="24" t="str">
        <f>IFERROR(K69/H69,"")</f>
        <v/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>
        <v>0</v>
      </c>
      <c r="V69" s="25">
        <f>H69*U69*I69/15</f>
        <v>0</v>
      </c>
      <c r="W69" s="25">
        <v>0</v>
      </c>
      <c r="X69" s="25">
        <v>0</v>
      </c>
      <c r="Y69" s="25">
        <f>IF(B69="FRANCISCO CAMACHO",((F69*42)+(G69*42)),IF(B69="JOSE INACIO",((F69*60)+(G69*60)),0))</f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f>IF(F69="",G69*4.11,F69*4.11)</f>
        <v>0</v>
      </c>
      <c r="AE69" s="25">
        <v>0</v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25">
        <f>(AH69/$AH$143)*$AL$28</f>
        <v>0</v>
      </c>
      <c r="AJ69" s="25">
        <f>(AH69-AI69)*70%</f>
        <v>0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/>
      <c r="B74" s="21"/>
      <c r="C74" s="21"/>
      <c r="D74" s="44"/>
      <c r="E74" s="44"/>
      <c r="F74" s="21"/>
      <c r="G74" s="21"/>
      <c r="H74" s="22">
        <v>0</v>
      </c>
      <c r="I74" s="33">
        <v>0</v>
      </c>
      <c r="J74" s="24" t="str">
        <f>IFERROR(K74/H74,"")</f>
        <v/>
      </c>
      <c r="K74" s="22"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>
        <v>0</v>
      </c>
      <c r="Y74" s="25">
        <f>IF(B74="FRANCISCO CAMACHO",((F74*42)+(G74*42)),IF(B74="JOSE INACIO",((F74*60)+(G74*60)),0))</f>
        <v>0</v>
      </c>
      <c r="Z74" s="25">
        <v>0</v>
      </c>
      <c r="AA74" s="25">
        <v>0</v>
      </c>
      <c r="AB74" s="25">
        <v>0</v>
      </c>
      <c r="AC74" s="25">
        <v>0</v>
      </c>
      <c r="AD74" s="25">
        <f>IF(F74="",G74*4.11,F74*4.11)</f>
        <v>0</v>
      </c>
      <c r="AE74" s="25">
        <v>0</v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25">
        <f>(AH74/$AH$143)*$AL$28</f>
        <v>0</v>
      </c>
      <c r="AJ74" s="25">
        <f>(AH74-AI74)*70%</f>
        <v>0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22">
        <v>0</v>
      </c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>
        <v>0</v>
      </c>
      <c r="Y79" s="25">
        <f>IF(B79="FRANCISCO CAMACHO",((F79*42)+(G79*42)),IF(B79="JOSE INACIO",((F79*60)+(G79*60)),0))</f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v>0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25">
        <f>(AH79/$AH$143)*$AL$28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22">
        <v>0</v>
      </c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f>IF(B84="FRANCISCO CAMACHO",((F84*42)+(G84*42)),IF(B84="JOSE INACIO",((F84*60)+(G84*60)),0))</f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25">
        <f>(AH84/$AH$143)*$AL$28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2">
        <v>0</v>
      </c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>
        <v>0</v>
      </c>
      <c r="Y89" s="25">
        <f>IF(B89="FRANCISCO CAMACHO",((F89*42)+(G89*42)),IF(B89="JOSE INACIO",((F89*60)+(G89*60)),0))</f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25">
        <f>(AH89/$AH$143)*$AL$28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2">
        <v>0</v>
      </c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f>IF(B94="FRANCISCO CAMACHO",((F94*42)+(G94*42)),IF(B94="JOSE INACIO",((F94*60)+(G94*60)),0))</f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25">
        <f>(AH94/$AH$143)*$AL$28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2">
        <v>0</v>
      </c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IF(B99="FRANCISCO CAMACHO",((F99*42)+(G99*42)),IF(B99="JOSE INACIO",((F99*60)+(G99*60)),0))</f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(AH99/$AH$143)*$AL$28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IF(B104="FRANCISCO CAMACHO",((F104*42)+(G104*42)),IF(B104="JOSE INACIO",((F104*60)+(G104*60)),0))</f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(AH104/$AH$143)*$AL$28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2">
        <v>0</v>
      </c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>
        <v>0</v>
      </c>
      <c r="Y109" s="25">
        <f>IF(B109="FRANCISCO CAMACHO",((F109*42)+(G109*42)),IF(B109="JOSE INACIO",((F109*60)+(G109*60)),0))</f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(AH109/$AH$143)*$AL$28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22">
        <v>0</v>
      </c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>
        <v>0</v>
      </c>
      <c r="X114" s="25">
        <v>0</v>
      </c>
      <c r="Y114" s="25">
        <f>IF(B114="FRANCISCO CAMACHO",((F114*42)+(G114*42)),IF(B114="JOSE INACIO",((F114*60)+(G114*60)),0))</f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f>IF(F114="",G114*4.11,F114*4.11)</f>
        <v>0</v>
      </c>
      <c r="AE114" s="25">
        <v>0</v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25">
        <f>(AH114/$AH$143)*$AL$28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47"/>
      <c r="AJ117" s="47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B119" s="21"/>
      <c r="C119" s="21"/>
      <c r="D119" s="44"/>
      <c r="E119" s="44"/>
      <c r="F119" s="21"/>
      <c r="G119" s="21"/>
      <c r="H119" s="22">
        <v>0</v>
      </c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>
        <v>0</v>
      </c>
      <c r="X119" s="25">
        <v>0</v>
      </c>
      <c r="Y119" s="25">
        <f>IF(B119="FRANCISCO CAMACHO",((F119*42)+(G119*42)),IF(B119="JOSE INACIO",((F119*60)+(G119*60)),0))</f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f>IF(F119="",G119*4.11,F119*4.11)</f>
        <v>0</v>
      </c>
      <c r="AE119" s="25">
        <v>0</v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25">
        <f>(AH119/$AH$143)*$AL$28</f>
        <v>0</v>
      </c>
      <c r="AJ119" s="25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x14ac:dyDescent="0.35">
      <c r="A124" s="20"/>
      <c r="B124" s="21"/>
      <c r="C124" s="21"/>
      <c r="D124" s="44"/>
      <c r="E124" s="44"/>
      <c r="F124" s="21"/>
      <c r="G124" s="21"/>
      <c r="H124" s="22">
        <v>0</v>
      </c>
      <c r="I124" s="33">
        <v>0</v>
      </c>
      <c r="J124" s="24" t="str">
        <f>IFERROR(K124/H124,"")</f>
        <v/>
      </c>
      <c r="K124" s="22">
        <v>0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>
        <v>0</v>
      </c>
      <c r="X124" s="25">
        <v>0</v>
      </c>
      <c r="Y124" s="25">
        <f>IF(B124="FRANCISCO CAMACHO",((F124*42)+(G124*42)),IF(B124="JOSE INACIO",((F124*60)+(G124*60)),0))</f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f>IF(F124="",G124*4.11,F124*4.11)</f>
        <v>0</v>
      </c>
      <c r="AE124" s="25">
        <v>0</v>
      </c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25">
        <f>(AH124/$AH$143)*$AL$28</f>
        <v>0</v>
      </c>
      <c r="AJ124" s="25">
        <f>(AH124-AI124)*70%</f>
        <v>0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</row>
    <row r="128" spans="1:36" x14ac:dyDescent="0.35">
      <c r="A128" s="14" t="s">
        <v>1</v>
      </c>
      <c r="B128" s="14" t="s">
        <v>2</v>
      </c>
      <c r="C128" s="14" t="s">
        <v>110</v>
      </c>
      <c r="D128" s="14" t="s">
        <v>66</v>
      </c>
      <c r="E128" s="14" t="s">
        <v>638</v>
      </c>
      <c r="F128" s="14" t="s">
        <v>137</v>
      </c>
      <c r="G128" s="14" t="s">
        <v>138</v>
      </c>
      <c r="H128" s="14" t="s">
        <v>4</v>
      </c>
      <c r="I128" s="14" t="s">
        <v>5</v>
      </c>
      <c r="J128" s="14" t="s">
        <v>6</v>
      </c>
      <c r="K128" s="14" t="s">
        <v>7</v>
      </c>
      <c r="L128" s="14" t="s">
        <v>279</v>
      </c>
      <c r="M128" s="14" t="s">
        <v>280</v>
      </c>
      <c r="N128" s="14" t="s">
        <v>281</v>
      </c>
      <c r="O128" s="14" t="s">
        <v>282</v>
      </c>
      <c r="P128" s="14" t="s">
        <v>283</v>
      </c>
      <c r="Q128" s="14" t="s">
        <v>284</v>
      </c>
      <c r="R128" s="14" t="s">
        <v>904</v>
      </c>
      <c r="S128" s="14" t="s">
        <v>285</v>
      </c>
      <c r="T128" s="14" t="s">
        <v>289</v>
      </c>
      <c r="U128" s="14" t="s">
        <v>8</v>
      </c>
      <c r="V128" s="14" t="s">
        <v>9</v>
      </c>
      <c r="W128" s="14" t="s">
        <v>10</v>
      </c>
      <c r="X128" s="14" t="s">
        <v>100</v>
      </c>
      <c r="Y128" s="14" t="s">
        <v>106</v>
      </c>
      <c r="Z128" s="14" t="s">
        <v>12</v>
      </c>
      <c r="AA128" s="14" t="s">
        <v>258</v>
      </c>
      <c r="AB128" s="14" t="s">
        <v>13</v>
      </c>
      <c r="AC128" s="14" t="s">
        <v>74</v>
      </c>
      <c r="AD128" s="14" t="s">
        <v>21</v>
      </c>
      <c r="AE128" s="14" t="s">
        <v>14</v>
      </c>
      <c r="AF128" s="14" t="s">
        <v>15</v>
      </c>
      <c r="AG128" s="14" t="s">
        <v>16</v>
      </c>
      <c r="AH128" s="15" t="s">
        <v>17</v>
      </c>
      <c r="AI128" s="14" t="s">
        <v>679</v>
      </c>
      <c r="AJ128" s="14" t="s">
        <v>678</v>
      </c>
    </row>
    <row r="129" spans="1:36" x14ac:dyDescent="0.35">
      <c r="A129" s="20"/>
      <c r="B129" s="21"/>
      <c r="C129" s="21"/>
      <c r="D129" s="44"/>
      <c r="E129" s="44"/>
      <c r="F129" s="21"/>
      <c r="G129" s="21"/>
      <c r="H129" s="22">
        <v>0</v>
      </c>
      <c r="I129" s="33">
        <v>0</v>
      </c>
      <c r="J129" s="24" t="str">
        <f>IFERROR(K129/H129,"")</f>
        <v/>
      </c>
      <c r="K129" s="22">
        <v>0</v>
      </c>
      <c r="L129" s="21"/>
      <c r="M129" s="21"/>
      <c r="N129" s="21"/>
      <c r="O129" s="21"/>
      <c r="P129" s="21"/>
      <c r="Q129" s="21"/>
      <c r="R129" s="21"/>
      <c r="S129" s="21"/>
      <c r="T129" s="21"/>
      <c r="U129" s="25">
        <v>0</v>
      </c>
      <c r="V129" s="25">
        <f>H129*U129*I129/15</f>
        <v>0</v>
      </c>
      <c r="W129" s="25">
        <v>0</v>
      </c>
      <c r="X129" s="25">
        <v>0</v>
      </c>
      <c r="Y129" s="25">
        <f>IF(B129="FRANCISCO CAMACHO",((F129*42)+(G129*42)),IF(B129="JOSE INACIO",((F129*60)+(G129*60)),0))</f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f>IF(F129="",G129*4.11,F129*4.11)</f>
        <v>0</v>
      </c>
      <c r="AE129" s="25">
        <v>0</v>
      </c>
      <c r="AF129" s="25">
        <f>V129+Y129+Z129+AA129+AB129+AC129+AD129</f>
        <v>0</v>
      </c>
      <c r="AG129" s="25" t="str">
        <f>IFERROR(IFERROR((H129*W129*J129/15)-AE129,""),"")</f>
        <v/>
      </c>
      <c r="AH129" s="26">
        <f>IFERROR(AG129-AF129,0)</f>
        <v>0</v>
      </c>
      <c r="AI129" s="25">
        <f>(AH129/$AH$143)*$AL$28</f>
        <v>0</v>
      </c>
      <c r="AJ129" s="25">
        <f>(AH129-AI129)*70%</f>
        <v>0</v>
      </c>
    </row>
    <row r="130" spans="1:36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3"/>
      <c r="AA130" s="21"/>
      <c r="AB130" s="21"/>
      <c r="AC130" s="21"/>
      <c r="AD130" s="21"/>
      <c r="AE130" s="21"/>
      <c r="AF130" s="21"/>
      <c r="AG130" s="21"/>
      <c r="AH130" s="26">
        <f>IFERROR(AH129/F129,0)+IFERROR(AH129/G129,0)</f>
        <v>0</v>
      </c>
    </row>
    <row r="131" spans="1:36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7" t="str">
        <f>IFERROR(AH129/AG129,"")</f>
        <v/>
      </c>
    </row>
    <row r="132" spans="1:36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</row>
    <row r="133" spans="1:36" x14ac:dyDescent="0.35">
      <c r="A133" s="14" t="s">
        <v>1</v>
      </c>
      <c r="B133" s="14" t="s">
        <v>2</v>
      </c>
      <c r="C133" s="14" t="s">
        <v>110</v>
      </c>
      <c r="D133" s="14" t="s">
        <v>66</v>
      </c>
      <c r="E133" s="14" t="s">
        <v>638</v>
      </c>
      <c r="F133" s="14" t="s">
        <v>137</v>
      </c>
      <c r="G133" s="14" t="s">
        <v>138</v>
      </c>
      <c r="H133" s="14" t="s">
        <v>4</v>
      </c>
      <c r="I133" s="14" t="s">
        <v>5</v>
      </c>
      <c r="J133" s="14" t="s">
        <v>6</v>
      </c>
      <c r="K133" s="14" t="s">
        <v>7</v>
      </c>
      <c r="L133" s="14" t="s">
        <v>279</v>
      </c>
      <c r="M133" s="14" t="s">
        <v>280</v>
      </c>
      <c r="N133" s="14" t="s">
        <v>281</v>
      </c>
      <c r="O133" s="14" t="s">
        <v>282</v>
      </c>
      <c r="P133" s="14" t="s">
        <v>283</v>
      </c>
      <c r="Q133" s="14" t="s">
        <v>284</v>
      </c>
      <c r="R133" s="14" t="s">
        <v>904</v>
      </c>
      <c r="S133" s="14" t="s">
        <v>285</v>
      </c>
      <c r="T133" s="14" t="s">
        <v>289</v>
      </c>
      <c r="U133" s="14" t="s">
        <v>8</v>
      </c>
      <c r="V133" s="14" t="s">
        <v>9</v>
      </c>
      <c r="W133" s="14" t="s">
        <v>10</v>
      </c>
      <c r="X133" s="14" t="s">
        <v>100</v>
      </c>
      <c r="Y133" s="14" t="s">
        <v>106</v>
      </c>
      <c r="Z133" s="14" t="s">
        <v>12</v>
      </c>
      <c r="AA133" s="14" t="s">
        <v>258</v>
      </c>
      <c r="AB133" s="14" t="s">
        <v>13</v>
      </c>
      <c r="AC133" s="14" t="s">
        <v>74</v>
      </c>
      <c r="AD133" s="14" t="s">
        <v>21</v>
      </c>
      <c r="AE133" s="14" t="s">
        <v>14</v>
      </c>
      <c r="AF133" s="14" t="s">
        <v>15</v>
      </c>
      <c r="AG133" s="14" t="s">
        <v>16</v>
      </c>
      <c r="AH133" s="15" t="s">
        <v>17</v>
      </c>
      <c r="AI133" s="14" t="s">
        <v>679</v>
      </c>
      <c r="AJ133" s="14" t="s">
        <v>678</v>
      </c>
    </row>
    <row r="134" spans="1:36" x14ac:dyDescent="0.35">
      <c r="A134" s="20"/>
      <c r="B134" s="21"/>
      <c r="C134" s="21"/>
      <c r="D134" s="44"/>
      <c r="E134" s="44"/>
      <c r="F134" s="21"/>
      <c r="G134" s="21"/>
      <c r="H134" s="22">
        <v>0</v>
      </c>
      <c r="I134" s="33">
        <v>0</v>
      </c>
      <c r="J134" s="24" t="str">
        <f>IFERROR(K134/H134,"")</f>
        <v/>
      </c>
      <c r="K134" s="22">
        <v>0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5">
        <v>0</v>
      </c>
      <c r="V134" s="25">
        <f>H134*U134*I134/15</f>
        <v>0</v>
      </c>
      <c r="W134" s="25">
        <v>0</v>
      </c>
      <c r="X134" s="25">
        <v>0</v>
      </c>
      <c r="Y134" s="25">
        <f>IF(B134="FRANCISCO CAMACHO",((F134*42)+(G134*42)),IF(B134="JOSE INACIO",((F134*60)+(G134*60)),0))</f>
        <v>0</v>
      </c>
      <c r="Z134" s="25">
        <v>0</v>
      </c>
      <c r="AA134" s="25">
        <v>0</v>
      </c>
      <c r="AB134" s="25">
        <v>0</v>
      </c>
      <c r="AC134" s="25">
        <v>0</v>
      </c>
      <c r="AD134" s="25">
        <f>IF(F134="",G134*4.11,F134*4.11)</f>
        <v>0</v>
      </c>
      <c r="AE134" s="25">
        <v>0</v>
      </c>
      <c r="AF134" s="25">
        <f>V134+Y134+Z134+AA134+AB134+AC134+AD134</f>
        <v>0</v>
      </c>
      <c r="AG134" s="25" t="str">
        <f>IFERROR(IFERROR((H134*W134*J134/15)-AE134,""),"")</f>
        <v/>
      </c>
      <c r="AH134" s="26">
        <f>IFERROR(AG134-AF134,0)</f>
        <v>0</v>
      </c>
      <c r="AI134" s="25">
        <f>(AH134/$AH$143)*$AL$28</f>
        <v>0</v>
      </c>
      <c r="AJ134" s="25">
        <f>(AH134-AI134)*70%</f>
        <v>0</v>
      </c>
    </row>
    <row r="135" spans="1:36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3"/>
      <c r="AA135" s="21"/>
      <c r="AB135" s="21"/>
      <c r="AC135" s="21"/>
      <c r="AD135" s="21"/>
      <c r="AE135" s="21"/>
      <c r="AF135" s="21"/>
      <c r="AG135" s="21"/>
      <c r="AH135" s="26">
        <f>IFERROR(AH134/F134,0)+IFERROR(AH134/G134,0)</f>
        <v>0</v>
      </c>
    </row>
    <row r="136" spans="1:36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7" t="str">
        <f>IFERROR(AH134/AG134,"")</f>
        <v/>
      </c>
    </row>
    <row r="137" spans="1:36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47"/>
    </row>
    <row r="138" spans="1:36" x14ac:dyDescent="0.35">
      <c r="A138" s="14" t="s">
        <v>1</v>
      </c>
      <c r="B138" s="14" t="s">
        <v>2</v>
      </c>
      <c r="C138" s="14" t="s">
        <v>110</v>
      </c>
      <c r="D138" s="14" t="s">
        <v>66</v>
      </c>
      <c r="E138" s="14" t="s">
        <v>638</v>
      </c>
      <c r="F138" s="14" t="s">
        <v>137</v>
      </c>
      <c r="G138" s="14" t="s">
        <v>138</v>
      </c>
      <c r="H138" s="14" t="s">
        <v>4</v>
      </c>
      <c r="I138" s="14" t="s">
        <v>5</v>
      </c>
      <c r="J138" s="14" t="s">
        <v>6</v>
      </c>
      <c r="K138" s="14" t="s">
        <v>7</v>
      </c>
      <c r="L138" s="14" t="s">
        <v>279</v>
      </c>
      <c r="M138" s="14" t="s">
        <v>280</v>
      </c>
      <c r="N138" s="14" t="s">
        <v>281</v>
      </c>
      <c r="O138" s="14" t="s">
        <v>282</v>
      </c>
      <c r="P138" s="14" t="s">
        <v>283</v>
      </c>
      <c r="Q138" s="14" t="s">
        <v>284</v>
      </c>
      <c r="R138" s="14" t="s">
        <v>904</v>
      </c>
      <c r="S138" s="14" t="s">
        <v>285</v>
      </c>
      <c r="T138" s="14" t="s">
        <v>289</v>
      </c>
      <c r="U138" s="14" t="s">
        <v>8</v>
      </c>
      <c r="V138" s="14" t="s">
        <v>9</v>
      </c>
      <c r="W138" s="14" t="s">
        <v>10</v>
      </c>
      <c r="X138" s="14" t="s">
        <v>100</v>
      </c>
      <c r="Y138" s="14" t="s">
        <v>106</v>
      </c>
      <c r="Z138" s="14" t="s">
        <v>12</v>
      </c>
      <c r="AA138" s="14" t="s">
        <v>258</v>
      </c>
      <c r="AB138" s="14" t="s">
        <v>13</v>
      </c>
      <c r="AC138" s="14" t="s">
        <v>74</v>
      </c>
      <c r="AD138" s="14" t="s">
        <v>21</v>
      </c>
      <c r="AE138" s="14" t="s">
        <v>14</v>
      </c>
      <c r="AF138" s="14" t="s">
        <v>15</v>
      </c>
      <c r="AG138" s="14" t="s">
        <v>16</v>
      </c>
      <c r="AH138" s="15" t="s">
        <v>17</v>
      </c>
      <c r="AI138" s="14" t="s">
        <v>679</v>
      </c>
      <c r="AJ138" s="14" t="s">
        <v>678</v>
      </c>
    </row>
    <row r="139" spans="1:36" x14ac:dyDescent="0.35">
      <c r="A139" s="20"/>
      <c r="B139" s="21"/>
      <c r="C139" s="21"/>
      <c r="D139" s="44"/>
      <c r="E139" s="44"/>
      <c r="F139" s="21"/>
      <c r="G139" s="21"/>
      <c r="H139" s="22">
        <v>0</v>
      </c>
      <c r="I139" s="33">
        <v>0</v>
      </c>
      <c r="J139" s="24" t="str">
        <f>IFERROR(K139/H139,"")</f>
        <v/>
      </c>
      <c r="K139" s="22">
        <v>0</v>
      </c>
      <c r="L139" s="21"/>
      <c r="M139" s="21"/>
      <c r="N139" s="21"/>
      <c r="O139" s="21"/>
      <c r="P139" s="21"/>
      <c r="Q139" s="21"/>
      <c r="R139" s="21"/>
      <c r="S139" s="21"/>
      <c r="T139" s="21"/>
      <c r="U139" s="25">
        <v>0</v>
      </c>
      <c r="V139" s="25">
        <f>H139*U139*I139/15</f>
        <v>0</v>
      </c>
      <c r="W139" s="25">
        <v>0</v>
      </c>
      <c r="X139" s="25">
        <v>0</v>
      </c>
      <c r="Y139" s="25">
        <f>IF(B139="FRANCISCO CAMACHO",((F139*42)+(G139*42)),IF(B139="JOSE INACIO",((F139*60)+(G139*60)),0))</f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f>IF(F139="",G139*4.11,F139*4.11)</f>
        <v>0</v>
      </c>
      <c r="AE139" s="25">
        <v>0</v>
      </c>
      <c r="AF139" s="25">
        <f>V139+Y139+Z139+AA139+AB139+AC139+AD139</f>
        <v>0</v>
      </c>
      <c r="AG139" s="25" t="str">
        <f>IFERROR(IFERROR((H139*W139*J139/15)-AE139,""),"")</f>
        <v/>
      </c>
      <c r="AH139" s="26">
        <f>IFERROR(AG139-AF139,0)</f>
        <v>0</v>
      </c>
      <c r="AI139" s="25">
        <f>(AH139/$AH$143)*$AL$28</f>
        <v>0</v>
      </c>
      <c r="AJ139" s="25">
        <f>(AH139-AI139)*70%</f>
        <v>0</v>
      </c>
    </row>
    <row r="140" spans="1:36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3"/>
      <c r="AA140" s="21"/>
      <c r="AB140" s="21"/>
      <c r="AC140" s="21"/>
      <c r="AD140" s="21"/>
      <c r="AE140" s="21"/>
      <c r="AF140" s="21"/>
      <c r="AG140" s="21"/>
      <c r="AH140" s="26">
        <f>IFERROR(AH139/F139,0)+IFERROR(AH139/G139,0)</f>
        <v>0</v>
      </c>
    </row>
    <row r="141" spans="1:36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7" t="str">
        <f>IFERROR(AH139/AG139,"")</f>
        <v/>
      </c>
    </row>
    <row r="142" spans="1:36" ht="15" thickBot="1" x14ac:dyDescent="0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47"/>
      <c r="AI142" s="47"/>
      <c r="AJ142" s="47"/>
    </row>
    <row r="143" spans="1:36" ht="16" thickBot="1" x14ac:dyDescent="0.4">
      <c r="A143" s="377" t="s">
        <v>739</v>
      </c>
      <c r="B143" s="378"/>
      <c r="C143" s="378"/>
      <c r="D143" s="378"/>
      <c r="E143" s="378"/>
      <c r="F143" s="163">
        <f>SUM(F4:F142)</f>
        <v>1149</v>
      </c>
      <c r="G143" s="163">
        <f>SUM(G4:G142)</f>
        <v>0</v>
      </c>
      <c r="H143" s="30"/>
      <c r="I143" s="30"/>
      <c r="J143" s="30"/>
      <c r="K143" s="30"/>
      <c r="L143" s="46"/>
      <c r="M143" s="46"/>
      <c r="N143" s="46"/>
      <c r="O143" s="46"/>
      <c r="P143" s="46"/>
      <c r="Q143" s="46"/>
      <c r="R143" s="46"/>
      <c r="S143" s="46"/>
      <c r="T143" s="46"/>
      <c r="U143" s="30"/>
      <c r="V143" s="31">
        <f>SUM(V4:V142)</f>
        <v>4654909.0999444444</v>
      </c>
      <c r="W143" s="31"/>
      <c r="X143" s="31"/>
      <c r="Y143" s="31">
        <f t="shared" ref="Y143:AG143" si="0">SUM(Y4:Y142)</f>
        <v>27258</v>
      </c>
      <c r="Z143" s="31">
        <f t="shared" si="0"/>
        <v>339387.30538461538</v>
      </c>
      <c r="AA143" s="31">
        <f t="shared" si="0"/>
        <v>0</v>
      </c>
      <c r="AB143" s="31">
        <f t="shared" si="0"/>
        <v>30525</v>
      </c>
      <c r="AC143" s="31">
        <f t="shared" si="0"/>
        <v>0</v>
      </c>
      <c r="AD143" s="31">
        <f t="shared" si="0"/>
        <v>4722.3900000000012</v>
      </c>
      <c r="AE143" s="31">
        <f t="shared" si="0"/>
        <v>10426.4825</v>
      </c>
      <c r="AF143" s="31">
        <f t="shared" si="0"/>
        <v>5056801.7953290604</v>
      </c>
      <c r="AG143" s="31">
        <f t="shared" si="0"/>
        <v>5169892.6904999996</v>
      </c>
      <c r="AH143" s="161">
        <f>AH4+AH9+AH14+AH19+AH24+AH29+AH34+AH39+AH44+AH49+AH54+AH59+AH64+AH69+AH74+AH79+AH84+AH89+AH94+AH99+AH104+AH109+AH114+AH119+AH124+AH129+AH134+AH139</f>
        <v>113090.89517093965</v>
      </c>
      <c r="AI143" s="165">
        <f>SUM(AI4:AI141)</f>
        <v>2435.3699999999994</v>
      </c>
      <c r="AJ143" s="165">
        <f>SUM(AJ4:AJ141)</f>
        <v>77458.867619657758</v>
      </c>
    </row>
    <row r="145" spans="22:35" x14ac:dyDescent="0.35">
      <c r="V145" s="162"/>
      <c r="AI145" s="25"/>
    </row>
  </sheetData>
  <mergeCells count="2">
    <mergeCell ref="U2:AC2"/>
    <mergeCell ref="A143:E14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45"/>
  <sheetViews>
    <sheetView zoomScale="85" zoomScaleNormal="85" workbookViewId="0">
      <selection activeCell="C13" sqref="C13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19.179687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AF143</f>
        <v>1235948.3599999999</v>
      </c>
      <c r="AM3" s="164">
        <f>AH143-AI143</f>
        <v>19174.271000000121</v>
      </c>
    </row>
    <row r="4" spans="1:40" x14ac:dyDescent="0.35">
      <c r="A4" s="20">
        <v>45244</v>
      </c>
      <c r="B4" s="21" t="s">
        <v>783</v>
      </c>
      <c r="C4" s="21" t="s">
        <v>784</v>
      </c>
      <c r="D4" s="44">
        <v>1889345</v>
      </c>
      <c r="E4" s="44" t="s">
        <v>652</v>
      </c>
      <c r="F4" s="21">
        <v>200</v>
      </c>
      <c r="G4" s="21"/>
      <c r="H4" s="22">
        <v>94980</v>
      </c>
      <c r="I4" s="33">
        <v>0.53</v>
      </c>
      <c r="J4" s="24">
        <f>IFERROR(K4/H4,"")</f>
        <v>0.54344598862918514</v>
      </c>
      <c r="K4" s="22">
        <v>51616.5</v>
      </c>
      <c r="L4" s="21">
        <v>43</v>
      </c>
      <c r="M4" s="21">
        <v>103</v>
      </c>
      <c r="N4" s="21">
        <v>40</v>
      </c>
      <c r="O4" s="21">
        <v>12</v>
      </c>
      <c r="P4" s="21">
        <v>2</v>
      </c>
      <c r="Q4" s="21"/>
      <c r="R4" s="21"/>
      <c r="S4" s="21"/>
      <c r="T4" s="21"/>
      <c r="U4" s="25">
        <v>235</v>
      </c>
      <c r="V4" s="25">
        <f>H4*U4*I4/15</f>
        <v>788650.6</v>
      </c>
      <c r="W4" s="25">
        <v>236.67</v>
      </c>
      <c r="X4" s="25">
        <v>814408.67</v>
      </c>
      <c r="Y4" s="25">
        <f>IF(B4="FRANCISCO CAMACHO",((F4*42)+(G4*42)),IF(B4="DANILO VIANA",((F4*60)+(G4*60)),0))</f>
        <v>0</v>
      </c>
      <c r="Z4" s="264">
        <v>7721.6</v>
      </c>
      <c r="AA4" s="25">
        <v>0</v>
      </c>
      <c r="AB4" s="264">
        <v>5875</v>
      </c>
      <c r="AC4" s="25">
        <v>0</v>
      </c>
      <c r="AD4" s="25">
        <f>IF(F4="",G4*4.11,F4*4.11)</f>
        <v>822.00000000000011</v>
      </c>
      <c r="AE4" s="25">
        <v>1628.82</v>
      </c>
      <c r="AF4" s="25">
        <f>V4+Y4+Z4+AA4+AB4+AC4+AD4</f>
        <v>803069.2</v>
      </c>
      <c r="AG4" s="25">
        <f>IFERROR(IFERROR((H4*W4*J4/15)-AE4,""),"")</f>
        <v>812776.31700000004</v>
      </c>
      <c r="AH4" s="26">
        <f>IFERROR(AG4-AF4,0)</f>
        <v>9707.1170000000857</v>
      </c>
      <c r="AI4" s="25">
        <f>(AH4/$AH$143)*$AL$28</f>
        <v>704.28966999610498</v>
      </c>
      <c r="AJ4" s="25">
        <f>(AH4-AI4)*70%</f>
        <v>6301.9791310027858</v>
      </c>
      <c r="AL4" s="166" t="s">
        <v>749</v>
      </c>
      <c r="AM4" s="167">
        <f>AM3/AL3</f>
        <v>1.5513812405560474E-2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5"/>
      <c r="W5" s="21"/>
      <c r="X5" s="25"/>
      <c r="Y5" s="21"/>
      <c r="Z5" s="3"/>
      <c r="AA5" s="21"/>
      <c r="AB5" s="21"/>
      <c r="AC5" s="21"/>
      <c r="AD5" s="21"/>
      <c r="AE5" s="21"/>
      <c r="AF5" s="25"/>
      <c r="AG5" s="21"/>
      <c r="AH5" s="26">
        <f>IFERROR(AH4/F4,0)+IFERROR(AH4/G4,0)</f>
        <v>48.535585000000431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2"/>
      <c r="I6" s="21"/>
      <c r="J6" s="21"/>
      <c r="K6" s="22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5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1.1943159264075956E-2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45245</v>
      </c>
      <c r="B9" s="21" t="s">
        <v>632</v>
      </c>
      <c r="C9" s="21" t="s">
        <v>738</v>
      </c>
      <c r="D9" s="44">
        <v>1890969</v>
      </c>
      <c r="E9" s="44" t="s">
        <v>652</v>
      </c>
      <c r="F9" s="21">
        <v>99</v>
      </c>
      <c r="G9" s="21"/>
      <c r="H9" s="22">
        <f>49520/100*F9</f>
        <v>49024.799999999996</v>
      </c>
      <c r="I9" s="33">
        <v>0.54</v>
      </c>
      <c r="J9" s="24">
        <f>IFERROR(K9/H9,"")</f>
        <v>0.56652959318548979</v>
      </c>
      <c r="K9" s="22">
        <v>27774</v>
      </c>
      <c r="L9" s="21">
        <v>41</v>
      </c>
      <c r="M9" s="21">
        <v>38</v>
      </c>
      <c r="N9" s="21">
        <v>16</v>
      </c>
      <c r="O9" s="21">
        <v>3</v>
      </c>
      <c r="P9" s="21">
        <v>1</v>
      </c>
      <c r="Q9" s="21"/>
      <c r="R9" s="21"/>
      <c r="S9" s="21"/>
      <c r="T9" s="21"/>
      <c r="U9" s="25">
        <v>215</v>
      </c>
      <c r="V9" s="25">
        <f>H9*U9*I9/15</f>
        <v>379451.95199999993</v>
      </c>
      <c r="W9" s="25">
        <v>240.19</v>
      </c>
      <c r="X9" s="25">
        <v>444741.54</v>
      </c>
      <c r="Y9" s="25">
        <f>IF(B9="FRANCISCO CAMACHO",((F9*42)+(G9*42)),IF(B9="DANILO VIANA",((F9*60)+(G9*60)),0))</f>
        <v>4158</v>
      </c>
      <c r="Z9" s="264">
        <f>42295.86/100*F9</f>
        <v>41872.901400000002</v>
      </c>
      <c r="AA9" s="25">
        <v>0</v>
      </c>
      <c r="AB9" s="264">
        <f>2687.5/100*F9</f>
        <v>2660.625</v>
      </c>
      <c r="AC9" s="25">
        <v>0</v>
      </c>
      <c r="AD9" s="25">
        <f>IF(F9="",G9*4.11,F9*4.11)</f>
        <v>406.89000000000004</v>
      </c>
      <c r="AE9" s="25">
        <v>889.49</v>
      </c>
      <c r="AF9" s="25">
        <f>V9+Y9+Z9+AA9+AB9+AC9+AD9</f>
        <v>428550.36839999992</v>
      </c>
      <c r="AG9" s="25">
        <f>IFERROR(IFERROR((H9*W9*J9/15)-AE9,""),"")</f>
        <v>443846.31399999995</v>
      </c>
      <c r="AH9" s="26">
        <f>IFERROR(AG9-AF9,0)</f>
        <v>15295.945600000035</v>
      </c>
      <c r="AI9" s="25">
        <f>(AH9/$AH$143)*$AL$28</f>
        <v>1109.7812541975443</v>
      </c>
      <c r="AJ9" s="25">
        <f>(AH9-AI9)*70%</f>
        <v>9930.315042061744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154.50450101010136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3.4462256681036751E-2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45245</v>
      </c>
      <c r="B14" s="21" t="s">
        <v>632</v>
      </c>
      <c r="C14" s="21" t="s">
        <v>738</v>
      </c>
      <c r="D14" s="44"/>
      <c r="E14" s="44" t="s">
        <v>652</v>
      </c>
      <c r="F14" s="21">
        <v>1</v>
      </c>
      <c r="G14" s="21"/>
      <c r="H14" s="22">
        <f>49520/100*F14</f>
        <v>495.2</v>
      </c>
      <c r="I14" s="33">
        <v>0.54</v>
      </c>
      <c r="J14" s="24">
        <f>IFERROR(K14/H14,"")</f>
        <v>0</v>
      </c>
      <c r="K14" s="22">
        <v>0</v>
      </c>
      <c r="L14" s="21"/>
      <c r="M14" s="21"/>
      <c r="N14" s="21"/>
      <c r="O14" s="21"/>
      <c r="P14" s="21"/>
      <c r="Q14" s="21"/>
      <c r="R14" s="21"/>
      <c r="S14" s="21"/>
      <c r="T14" s="21"/>
      <c r="U14" s="25">
        <v>215</v>
      </c>
      <c r="V14" s="25">
        <f>H14*U14*I14/15</f>
        <v>3832.848</v>
      </c>
      <c r="W14" s="25">
        <v>0</v>
      </c>
      <c r="X14" s="25">
        <v>0</v>
      </c>
      <c r="Y14" s="25">
        <f>IF(B14="FRANCISCO CAMACHO",((F14*42)+(G14*42)),IF(B14="DANILO VIANA",((F14*60)+(G14*60)),0))</f>
        <v>42</v>
      </c>
      <c r="Z14" s="264">
        <f>42295.86/100*F14</f>
        <v>422.95859999999999</v>
      </c>
      <c r="AA14" s="25">
        <v>0</v>
      </c>
      <c r="AB14" s="264">
        <f>2687.5/100*F14</f>
        <v>26.875</v>
      </c>
      <c r="AC14" s="25">
        <v>0</v>
      </c>
      <c r="AD14" s="25">
        <f>IF(F14="",G14*4.11,F14*4.11)</f>
        <v>4.1100000000000003</v>
      </c>
      <c r="AE14" s="25">
        <v>0</v>
      </c>
      <c r="AF14" s="25">
        <f>V14+Y14+Z14+AA14+AB14+AC14+AD14</f>
        <v>4328.7915999999996</v>
      </c>
      <c r="AG14" s="25">
        <f>IFERROR(IFERROR((H14*W14*J14/15)-AE14,""),"")</f>
        <v>0</v>
      </c>
      <c r="AH14" s="26">
        <f>IFERROR(AG14-AF14,0)</f>
        <v>-4328.7915999999996</v>
      </c>
      <c r="AI14" s="25">
        <f>(AH14/$AH$143)*$AL$28</f>
        <v>-314.07092419364926</v>
      </c>
      <c r="AJ14" s="25">
        <f>(AH14-AI14)*70%</f>
        <v>-2810.3044730644451</v>
      </c>
      <c r="AL14" s="14">
        <f>F4+G4+F9+G9+F14+G14+F19+G19+F24+G24+F29+G29+F34+G34+F39+G39+F44+G44+F49+G49+F54+G54+F59+G59+F64+G64+F74+G74+F79+G79+F69+G69+F84+G84+F89+G89+F94+G94+F99+G99+F104+G104+F109+G109+F114+G114+F119+G119+F124+G124+F129+G129+F134+G134+F139+G139</f>
        <v>300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-4328.7915999999996</v>
      </c>
      <c r="AL15" s="11">
        <f>AH143</f>
        <v>20674.271000000121</v>
      </c>
      <c r="AM15" s="11">
        <f>AL15*30%</f>
        <v>6202.281300000036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 t="str">
        <f>IFERROR(AH14/AG14,"")</f>
        <v/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/>
      <c r="B19" s="21"/>
      <c r="C19" s="21"/>
      <c r="D19" s="44"/>
      <c r="E19" s="44"/>
      <c r="F19" s="21"/>
      <c r="G19" s="21"/>
      <c r="H19" s="22">
        <v>0</v>
      </c>
      <c r="I19" s="33">
        <v>0</v>
      </c>
      <c r="J19" s="24" t="str">
        <f>IFERROR(K19/H19,"")</f>
        <v/>
      </c>
      <c r="K19" s="22">
        <v>0</v>
      </c>
      <c r="L19" s="21"/>
      <c r="M19" s="21"/>
      <c r="N19" s="21"/>
      <c r="O19" s="21"/>
      <c r="P19" s="21"/>
      <c r="Q19" s="21"/>
      <c r="R19" s="21"/>
      <c r="S19" s="21"/>
      <c r="T19" s="21"/>
      <c r="U19" s="25">
        <v>0</v>
      </c>
      <c r="V19" s="25">
        <f>H19*U19*I19/15</f>
        <v>0</v>
      </c>
      <c r="W19" s="25">
        <v>0</v>
      </c>
      <c r="X19" s="25">
        <v>0</v>
      </c>
      <c r="Y19" s="25">
        <f>IF(B19="FRANCISCO CAMACHO",((F19*42)+(G19*42)),IF(B19="DANILO VIANA",((F19*60)+(G19*60)),0))</f>
        <v>0</v>
      </c>
      <c r="Z19" s="25"/>
      <c r="AA19" s="25">
        <v>0</v>
      </c>
      <c r="AB19" s="25">
        <v>0</v>
      </c>
      <c r="AC19" s="25">
        <v>0</v>
      </c>
      <c r="AD19" s="25">
        <f>IF(F19="",G19*4.11,F19*4.11)</f>
        <v>0</v>
      </c>
      <c r="AE19" s="25">
        <v>0</v>
      </c>
      <c r="AF19" s="25">
        <f>V19+Y19+Z19+AA19+AB19+AC19+AD19</f>
        <v>0</v>
      </c>
      <c r="AG19" s="25" t="str">
        <f>IFERROR(IFERROR((H19*W19*J19/15)-AE19,""),"")</f>
        <v/>
      </c>
      <c r="AH19" s="26">
        <f>IFERROR(AG19-AF19,0)</f>
        <v>0</v>
      </c>
      <c r="AI19" s="25">
        <f>(AH19/$AH$143)*$AL$28</f>
        <v>0</v>
      </c>
      <c r="AJ19" s="25">
        <f>(AH19-AI19)*70%</f>
        <v>0</v>
      </c>
      <c r="AL19" s="178">
        <v>1500</v>
      </c>
      <c r="AM19" s="6" t="s">
        <v>806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5"/>
      <c r="W20" s="21"/>
      <c r="X20" s="25"/>
      <c r="Y20" s="21"/>
      <c r="Z20" s="3"/>
      <c r="AA20" s="21"/>
      <c r="AB20" s="21"/>
      <c r="AC20" s="21"/>
      <c r="AD20" s="21"/>
      <c r="AE20" s="21"/>
      <c r="AF20" s="25"/>
      <c r="AG20" s="21"/>
      <c r="AH20" s="26">
        <f>IFERROR(AH19/F19,0)+IFERROR(AH19/G19,0)</f>
        <v>0</v>
      </c>
      <c r="AL20" s="178"/>
      <c r="AM20" s="6"/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2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5"/>
      <c r="Y21" s="21"/>
      <c r="Z21" s="21"/>
      <c r="AA21" s="21"/>
      <c r="AB21" s="21"/>
      <c r="AC21" s="21"/>
      <c r="AD21" s="21"/>
      <c r="AE21" s="21"/>
      <c r="AF21" s="21"/>
      <c r="AG21" s="21"/>
      <c r="AH21" s="27" t="str">
        <f>IFERROR(AH19/AG19,"")</f>
        <v/>
      </c>
      <c r="AL21" s="178"/>
      <c r="AM21" s="6"/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/>
      <c r="AM22" s="6"/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/>
      <c r="AM23" s="6"/>
      <c r="AN23" s="174"/>
    </row>
    <row r="24" spans="1:40" x14ac:dyDescent="0.35">
      <c r="A24" s="20"/>
      <c r="B24" s="21"/>
      <c r="C24" s="21"/>
      <c r="D24" s="44"/>
      <c r="E24" s="44"/>
      <c r="F24" s="21"/>
      <c r="G24" s="21"/>
      <c r="H24" s="22">
        <v>0</v>
      </c>
      <c r="I24" s="33">
        <v>0</v>
      </c>
      <c r="J24" s="24" t="str">
        <f>IFERROR(K24/H24,"")</f>
        <v/>
      </c>
      <c r="K24" s="22">
        <v>0</v>
      </c>
      <c r="L24" s="21"/>
      <c r="M24" s="21"/>
      <c r="N24" s="21"/>
      <c r="O24" s="21"/>
      <c r="P24" s="21"/>
      <c r="Q24" s="21"/>
      <c r="R24" s="21"/>
      <c r="S24" s="21"/>
      <c r="T24" s="21"/>
      <c r="U24" s="25">
        <v>0</v>
      </c>
      <c r="V24" s="25">
        <f>H24*U24*I24/15</f>
        <v>0</v>
      </c>
      <c r="W24" s="25">
        <v>0</v>
      </c>
      <c r="X24" s="25">
        <v>0</v>
      </c>
      <c r="Y24" s="25">
        <f>IF(B24="FRANCISCO CAMACHO",((F24*42)+(G24*42)),IF(B24="DANILO VIANA",((F24*60)+(G24*60)),0))</f>
        <v>0</v>
      </c>
      <c r="Z24" s="25"/>
      <c r="AA24" s="25">
        <v>0</v>
      </c>
      <c r="AB24" s="25">
        <v>0</v>
      </c>
      <c r="AC24" s="25">
        <v>0</v>
      </c>
      <c r="AD24" s="25">
        <f>IF(F24="",G24*4.11,F24*4.11)</f>
        <v>0</v>
      </c>
      <c r="AE24" s="25">
        <v>0</v>
      </c>
      <c r="AF24" s="25">
        <f>V24+Y24+Z24+AA24+AB24+AC24+AD24</f>
        <v>0</v>
      </c>
      <c r="AG24" s="25" t="str">
        <f>IFERROR(IFERROR((H24*W24*J24/15)-AE24,""),"")</f>
        <v/>
      </c>
      <c r="AH24" s="26">
        <f>IFERROR(AG24-AF24,0)</f>
        <v>0</v>
      </c>
      <c r="AI24" s="25">
        <f>(AH24/$AH$143)*$AL$28</f>
        <v>0</v>
      </c>
      <c r="AJ24" s="25">
        <f>(AH24-AI24)*70%</f>
        <v>0</v>
      </c>
      <c r="AL24" s="178"/>
      <c r="AM24" s="6"/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5"/>
      <c r="W25" s="21"/>
      <c r="X25" s="25"/>
      <c r="Y25" s="21"/>
      <c r="Z25" s="3"/>
      <c r="AA25" s="21"/>
      <c r="AB25" s="21"/>
      <c r="AC25" s="21"/>
      <c r="AD25" s="21"/>
      <c r="AE25" s="21"/>
      <c r="AF25" s="25"/>
      <c r="AG25" s="21"/>
      <c r="AH25" s="26">
        <f>IFERROR(AH24/F24,0)+IFERROR(AH24/G24,0)</f>
        <v>0</v>
      </c>
      <c r="AL25" s="178"/>
      <c r="AM25" s="6"/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2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5"/>
      <c r="Y26" s="21"/>
      <c r="Z26" s="21"/>
      <c r="AA26" s="21"/>
      <c r="AB26" s="21"/>
      <c r="AC26" s="21"/>
      <c r="AD26" s="21"/>
      <c r="AE26" s="21"/>
      <c r="AF26" s="21"/>
      <c r="AG26" s="21"/>
      <c r="AH26" s="27" t="str">
        <f>IFERROR(AH24/AG24,"")</f>
        <v/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4">
        <f>SUM(AL19:AL27)</f>
        <v>1500</v>
      </c>
      <c r="AM28" s="189" t="s">
        <v>673</v>
      </c>
      <c r="AN28" s="191"/>
    </row>
    <row r="29" spans="1:40" x14ac:dyDescent="0.35">
      <c r="A29" s="20"/>
      <c r="B29" s="21"/>
      <c r="C29" s="21"/>
      <c r="D29" s="44"/>
      <c r="E29" s="44"/>
      <c r="F29" s="21"/>
      <c r="G29" s="21"/>
      <c r="H29" s="22">
        <v>0</v>
      </c>
      <c r="I29" s="33">
        <v>0</v>
      </c>
      <c r="J29" s="24" t="str">
        <f>IFERROR(K29/H29,"")</f>
        <v/>
      </c>
      <c r="K29" s="22">
        <v>0</v>
      </c>
      <c r="L29" s="21"/>
      <c r="M29" s="21"/>
      <c r="N29" s="21"/>
      <c r="O29" s="21"/>
      <c r="P29" s="21"/>
      <c r="Q29" s="21"/>
      <c r="R29" s="21"/>
      <c r="S29" s="21"/>
      <c r="T29" s="21"/>
      <c r="U29" s="25">
        <v>0</v>
      </c>
      <c r="V29" s="25">
        <f>H29*U29*I29/15</f>
        <v>0</v>
      </c>
      <c r="W29" s="25">
        <v>0</v>
      </c>
      <c r="X29" s="25">
        <v>0</v>
      </c>
      <c r="Y29" s="25">
        <f>IF(B29="FRANCISCO CAMACHO",((F29*42)+(G29*42)),IF(B29="DANILO VIANA",((F29*60)+(G29*60)),0))</f>
        <v>0</v>
      </c>
      <c r="Z29" s="25"/>
      <c r="AA29" s="25">
        <v>0</v>
      </c>
      <c r="AB29" s="25">
        <v>0</v>
      </c>
      <c r="AC29" s="25">
        <v>0</v>
      </c>
      <c r="AD29" s="25">
        <f>IF(F29="",G29*4.11,F29*4.11)</f>
        <v>0</v>
      </c>
      <c r="AE29" s="25">
        <v>0</v>
      </c>
      <c r="AF29" s="25">
        <f>V29+Y29+Z29+AA29+AB29+AC29+AD29</f>
        <v>0</v>
      </c>
      <c r="AG29" s="25" t="str">
        <f>IFERROR(IFERROR((H29*W29*J29/15)-AE29,""),"")</f>
        <v/>
      </c>
      <c r="AH29" s="26">
        <f>IFERROR(AG29-AF29,0)</f>
        <v>0</v>
      </c>
      <c r="AI29" s="25">
        <f>(AH29/$AH$143)*$AL$28</f>
        <v>0</v>
      </c>
      <c r="AJ29" s="25">
        <f>(AH29-AI29)*70%</f>
        <v>0</v>
      </c>
      <c r="AL29" s="57"/>
      <c r="AM29" s="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5"/>
      <c r="AC30" s="21"/>
      <c r="AD30" s="21"/>
      <c r="AE30" s="21"/>
      <c r="AF30" s="21"/>
      <c r="AG30" s="21"/>
      <c r="AH30" s="26">
        <f>IFERROR(AH29/F29,0)+IFERROR(AH29/G29,0)</f>
        <v>0</v>
      </c>
      <c r="AL30" s="57"/>
      <c r="AM30" s="118" t="s">
        <v>22</v>
      </c>
      <c r="AN30" s="12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 t="str">
        <f>IFERROR(AH29/AG29,"")</f>
        <v/>
      </c>
      <c r="AL31" s="247">
        <f>AL15-AL28</f>
        <v>19174.271000000121</v>
      </c>
      <c r="AM31" s="248">
        <f>AL31*30%</f>
        <v>5752.281300000036</v>
      </c>
      <c r="AN31" s="12" t="s">
        <v>821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249"/>
      <c r="AN32" s="246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7"/>
      <c r="AM33" s="248"/>
      <c r="AN33" s="1"/>
    </row>
    <row r="34" spans="1:40" x14ac:dyDescent="0.35">
      <c r="A34" s="20"/>
      <c r="B34" s="21"/>
      <c r="C34" s="21"/>
      <c r="D34" s="44"/>
      <c r="E34" s="44"/>
      <c r="F34" s="21"/>
      <c r="G34" s="21"/>
      <c r="H34" s="22">
        <v>0</v>
      </c>
      <c r="I34" s="33">
        <v>0</v>
      </c>
      <c r="J34" s="24" t="str">
        <f>IFERROR(K34/H34,"")</f>
        <v/>
      </c>
      <c r="K34" s="22">
        <v>0</v>
      </c>
      <c r="L34" s="21"/>
      <c r="M34" s="21"/>
      <c r="N34" s="21"/>
      <c r="O34" s="21"/>
      <c r="P34" s="21"/>
      <c r="Q34" s="21"/>
      <c r="R34" s="21"/>
      <c r="S34" s="21"/>
      <c r="T34" s="21"/>
      <c r="U34" s="25">
        <v>0</v>
      </c>
      <c r="V34" s="25">
        <f>H34*U34*I34/15</f>
        <v>0</v>
      </c>
      <c r="W34" s="25">
        <v>0</v>
      </c>
      <c r="X34" s="25">
        <v>0</v>
      </c>
      <c r="Y34" s="25">
        <f>IF(B34="FRANCISCO CAMACHO",((F34*42)+(G34*42)),IF(B34="DANILO VIANA",((F34*60)+(G34*60)),0))</f>
        <v>0</v>
      </c>
      <c r="Z34" s="25"/>
      <c r="AA34" s="25">
        <v>0</v>
      </c>
      <c r="AB34" s="25">
        <v>0</v>
      </c>
      <c r="AC34" s="25">
        <v>0</v>
      </c>
      <c r="AD34" s="25">
        <f>IF(F34="",G34*4.11,F34*4.11)</f>
        <v>0</v>
      </c>
      <c r="AE34" s="25">
        <v>0</v>
      </c>
      <c r="AF34" s="25">
        <f>V34+Y34+Z34+AA34+AB34+AC34+AD34</f>
        <v>0</v>
      </c>
      <c r="AG34" s="25" t="str">
        <f>IFERROR(IFERROR((H34*W34*J34/15)-AE34,""),"")</f>
        <v/>
      </c>
      <c r="AH34" s="26">
        <f>IFERROR(AG34-AF34,0)</f>
        <v>0</v>
      </c>
      <c r="AI34" s="25">
        <f>(AH34/$AH$143)*$AL$28</f>
        <v>0</v>
      </c>
      <c r="AJ34" s="25">
        <f>(AH34-AI34)*70%</f>
        <v>0</v>
      </c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5"/>
      <c r="AC35" s="21"/>
      <c r="AD35" s="21"/>
      <c r="AE35" s="21"/>
      <c r="AF35" s="21"/>
      <c r="AG35" s="21"/>
      <c r="AH35" s="26">
        <f>IFERROR(AH34/F34,0)+IFERROR(AH34/G34,0)</f>
        <v>0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 t="str">
        <f>IFERROR(AH34/AG34,"")</f>
        <v/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/>
      <c r="B39" s="21"/>
      <c r="C39" s="21"/>
      <c r="D39" s="44"/>
      <c r="E39" s="44"/>
      <c r="F39" s="21"/>
      <c r="G39" s="21"/>
      <c r="H39" s="22">
        <v>0</v>
      </c>
      <c r="I39" s="33">
        <v>0</v>
      </c>
      <c r="J39" s="24" t="str">
        <f>IFERROR(K39/H39,"")</f>
        <v/>
      </c>
      <c r="K39" s="22">
        <v>0</v>
      </c>
      <c r="L39" s="21"/>
      <c r="M39" s="21"/>
      <c r="N39" s="21"/>
      <c r="O39" s="21"/>
      <c r="P39" s="21"/>
      <c r="Q39" s="21"/>
      <c r="R39" s="21"/>
      <c r="S39" s="21"/>
      <c r="T39" s="21"/>
      <c r="U39" s="25">
        <v>0</v>
      </c>
      <c r="V39" s="25">
        <f>H39*U39*I39/15</f>
        <v>0</v>
      </c>
      <c r="W39" s="25">
        <v>0</v>
      </c>
      <c r="X39" s="25">
        <v>0</v>
      </c>
      <c r="Y39" s="25">
        <f>IF(B39="FRANCISCO CAMACHO",((F39*42)+(G39*42)),IF(B39="DANILO VIANA",((F39*60)+(G39*60)),0))</f>
        <v>0</v>
      </c>
      <c r="Z39" s="25"/>
      <c r="AA39" s="25">
        <v>0</v>
      </c>
      <c r="AB39" s="25">
        <v>0</v>
      </c>
      <c r="AC39" s="25">
        <v>0</v>
      </c>
      <c r="AD39" s="25">
        <f>IF(F39="",G39*4.11,F39*4.11)</f>
        <v>0</v>
      </c>
      <c r="AE39" s="25">
        <v>0</v>
      </c>
      <c r="AF39" s="25">
        <f>V39+Y39+Z39+AA39+AB39+AC39+AD39</f>
        <v>0</v>
      </c>
      <c r="AG39" s="25" t="str">
        <f>IFERROR(IFERROR((H39*W39*J39/15)-AE39,""),"")</f>
        <v/>
      </c>
      <c r="AH39" s="26">
        <f>IFERROR(AG39-AF39,0)</f>
        <v>0</v>
      </c>
      <c r="AI39" s="25">
        <f>(AH39/$AH$143)*$AL$28</f>
        <v>0</v>
      </c>
      <c r="AJ39" s="25">
        <f>(AH39-AI39)*70%</f>
        <v>0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2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0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 t="str">
        <f>IFERROR(AH39/AG39,"")</f>
        <v/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3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/>
      <c r="B44" s="21"/>
      <c r="C44" s="21"/>
      <c r="D44" s="44"/>
      <c r="E44" s="44"/>
      <c r="F44" s="21"/>
      <c r="G44" s="21"/>
      <c r="H44" s="22">
        <v>0</v>
      </c>
      <c r="I44" s="33">
        <v>0</v>
      </c>
      <c r="J44" s="24" t="str">
        <f>IFERROR(K44/H44,"")</f>
        <v/>
      </c>
      <c r="K44" s="22">
        <v>0</v>
      </c>
      <c r="L44" s="21"/>
      <c r="M44" s="21"/>
      <c r="N44" s="21"/>
      <c r="O44" s="21"/>
      <c r="P44" s="21"/>
      <c r="Q44" s="21"/>
      <c r="R44" s="21"/>
      <c r="S44" s="21"/>
      <c r="T44" s="21"/>
      <c r="U44" s="25">
        <v>0</v>
      </c>
      <c r="V44" s="25">
        <f>H44*U44*I44/15</f>
        <v>0</v>
      </c>
      <c r="W44" s="25">
        <v>0</v>
      </c>
      <c r="X44" s="25">
        <v>0</v>
      </c>
      <c r="Y44" s="25">
        <f>IF(B44="FRANCISCO CAMACHO",((F44*42)+(G44*42)),IF(B44="DANILO VIANA",((F44*60)+(G44*60)),0))</f>
        <v>0</v>
      </c>
      <c r="Z44" s="25"/>
      <c r="AA44" s="25">
        <v>0</v>
      </c>
      <c r="AB44" s="25">
        <v>0</v>
      </c>
      <c r="AC44" s="25">
        <v>0</v>
      </c>
      <c r="AD44" s="25">
        <f>IF(F44="",G44*4.11,F44*4.11)</f>
        <v>0</v>
      </c>
      <c r="AE44" s="25">
        <v>0</v>
      </c>
      <c r="AF44" s="25">
        <f>V44+Y44+Z44+AA44+AB44+AC44+AD44</f>
        <v>0</v>
      </c>
      <c r="AG44" s="25" t="str">
        <f>IFERROR(IFERROR((H44*W44*J44/15)-AE44,""),"")</f>
        <v/>
      </c>
      <c r="AH44" s="26">
        <f>IFERROR(AG44-AF44,0)</f>
        <v>0</v>
      </c>
      <c r="AI44" s="25">
        <f>(AH44/$AH$143)*$AL$28</f>
        <v>0</v>
      </c>
      <c r="AJ44" s="25">
        <f>(AH44-AI44)*70%</f>
        <v>0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2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0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 t="str">
        <f>IFERROR(AH44/AG44,"")</f>
        <v/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3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/>
      <c r="B49" s="21"/>
      <c r="C49" s="21"/>
      <c r="D49" s="44"/>
      <c r="E49" s="44"/>
      <c r="F49" s="21"/>
      <c r="G49" s="21"/>
      <c r="H49" s="22">
        <v>0</v>
      </c>
      <c r="I49" s="33">
        <v>0</v>
      </c>
      <c r="J49" s="24" t="str">
        <f>IFERROR(K49/H49,"")</f>
        <v/>
      </c>
      <c r="K49" s="22">
        <v>0</v>
      </c>
      <c r="L49" s="21"/>
      <c r="M49" s="21"/>
      <c r="N49" s="21"/>
      <c r="O49" s="21"/>
      <c r="P49" s="21"/>
      <c r="Q49" s="21"/>
      <c r="R49" s="21"/>
      <c r="S49" s="21"/>
      <c r="T49" s="21"/>
      <c r="U49" s="25">
        <v>0</v>
      </c>
      <c r="V49" s="25">
        <f>H49*U49*I49/15</f>
        <v>0</v>
      </c>
      <c r="W49" s="25">
        <v>0</v>
      </c>
      <c r="X49" s="25">
        <v>0</v>
      </c>
      <c r="Y49" s="25">
        <f>IF(B49="FRANCISCO CAMACHO",((F49*42)+(G49*42)),IF(B49="DANILO VIANA",((F49*60)+(G49*60)),0))</f>
        <v>0</v>
      </c>
      <c r="Z49" s="25"/>
      <c r="AA49" s="25">
        <v>0</v>
      </c>
      <c r="AB49" s="25">
        <v>0</v>
      </c>
      <c r="AC49" s="25">
        <v>0</v>
      </c>
      <c r="AD49" s="25">
        <f>IF(F49="",G49*4.11,F49*4.11)</f>
        <v>0</v>
      </c>
      <c r="AE49" s="25">
        <v>0</v>
      </c>
      <c r="AF49" s="25">
        <f>V49+Y49+Z49+AA49+AB49+AC49+AD49</f>
        <v>0</v>
      </c>
      <c r="AG49" s="25" t="str">
        <f>IFERROR(IFERROR((H49*W49*J49/15)-AE49,""),"")</f>
        <v/>
      </c>
      <c r="AH49" s="26">
        <f>IFERROR(AG49-AF49,0)</f>
        <v>0</v>
      </c>
      <c r="AI49" s="25">
        <f>(AH49/$AH$143)*$AL$28</f>
        <v>0</v>
      </c>
      <c r="AJ49" s="25">
        <f>(AH49-AI49)*70%</f>
        <v>0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0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 t="str">
        <f>IFERROR(AH49/AG49,"")</f>
        <v/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L52" s="6"/>
      <c r="AM52" s="6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/>
      <c r="B54" s="21"/>
      <c r="C54" s="21"/>
      <c r="D54" s="44"/>
      <c r="E54" s="44"/>
      <c r="F54" s="21"/>
      <c r="G54" s="21"/>
      <c r="H54" s="22">
        <v>0</v>
      </c>
      <c r="I54" s="33">
        <v>0</v>
      </c>
      <c r="J54" s="24" t="str">
        <f>IFERROR(K54/H54,"")</f>
        <v/>
      </c>
      <c r="K54" s="22">
        <v>0</v>
      </c>
      <c r="L54" s="21"/>
      <c r="M54" s="21"/>
      <c r="N54" s="21"/>
      <c r="O54" s="21"/>
      <c r="P54" s="21"/>
      <c r="Q54" s="21"/>
      <c r="R54" s="21"/>
      <c r="S54" s="21"/>
      <c r="T54" s="21"/>
      <c r="U54" s="25">
        <v>0</v>
      </c>
      <c r="V54" s="25">
        <f>H54*U54*I54/15</f>
        <v>0</v>
      </c>
      <c r="W54" s="25">
        <v>0</v>
      </c>
      <c r="X54" s="25">
        <v>0</v>
      </c>
      <c r="Y54" s="25">
        <f>IF(B54="FRANCISCO CAMACHO",((F54*42)+(G54*42)),IF(B54="DANILO VIANA",((F54*60)+(G54*60)),0))</f>
        <v>0</v>
      </c>
      <c r="Z54" s="25"/>
      <c r="AA54" s="25">
        <v>0</v>
      </c>
      <c r="AB54" s="25">
        <v>0</v>
      </c>
      <c r="AC54" s="25">
        <v>0</v>
      </c>
      <c r="AD54" s="25">
        <f>IF(F54="",G54*4.11,F54*4.11)</f>
        <v>0</v>
      </c>
      <c r="AE54" s="25">
        <v>0</v>
      </c>
      <c r="AF54" s="25">
        <f>V54+Y54+Z54+AA54+AB54+AC54+AD54</f>
        <v>0</v>
      </c>
      <c r="AG54" s="25" t="str">
        <f>IFERROR(IFERROR((H54*W54*J54/15)-AE54,""),"")</f>
        <v/>
      </c>
      <c r="AH54" s="26">
        <f>IFERROR(AG54-AF54,0)</f>
        <v>0</v>
      </c>
      <c r="AI54" s="25">
        <f>(AH54/$AH$143)*$AL$28</f>
        <v>0</v>
      </c>
      <c r="AJ54" s="25">
        <f>(AH54-AI54)*70%</f>
        <v>0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0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 t="str">
        <f>IFERROR(AH54/AG54,"")</f>
        <v/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/>
      <c r="B59" s="21"/>
      <c r="C59" s="21"/>
      <c r="D59" s="44"/>
      <c r="E59" s="44"/>
      <c r="F59" s="21"/>
      <c r="G59" s="21"/>
      <c r="H59" s="22">
        <v>0</v>
      </c>
      <c r="I59" s="33">
        <v>0</v>
      </c>
      <c r="J59" s="24" t="str">
        <f>IFERROR(K59/H59,"")</f>
        <v/>
      </c>
      <c r="K59" s="22">
        <v>0</v>
      </c>
      <c r="L59" s="21"/>
      <c r="M59" s="21"/>
      <c r="N59" s="21"/>
      <c r="O59" s="21"/>
      <c r="P59" s="21"/>
      <c r="Q59" s="21"/>
      <c r="R59" s="21"/>
      <c r="S59" s="21"/>
      <c r="T59" s="21"/>
      <c r="U59" s="25">
        <v>0</v>
      </c>
      <c r="V59" s="25">
        <f>H59*U59*I59/15</f>
        <v>0</v>
      </c>
      <c r="W59" s="25">
        <v>0</v>
      </c>
      <c r="X59" s="25">
        <v>0</v>
      </c>
      <c r="Y59" s="25">
        <f>IF(B59="FRANCISCO CAMACHO",((F59*42)+(G59*42)),IF(B59="DANILO VIANA",((F59*60)+(G59*60)),0))</f>
        <v>0</v>
      </c>
      <c r="Z59" s="25"/>
      <c r="AA59" s="25">
        <v>0</v>
      </c>
      <c r="AB59" s="25">
        <v>0</v>
      </c>
      <c r="AC59" s="25">
        <v>0</v>
      </c>
      <c r="AD59" s="25">
        <f>IF(F59="",G59*4.11,F59*4.11)</f>
        <v>0</v>
      </c>
      <c r="AE59" s="25">
        <v>0</v>
      </c>
      <c r="AF59" s="25">
        <f>V59+Y59+Z59+AA59+AB59+AC59+AD59</f>
        <v>0</v>
      </c>
      <c r="AG59" s="25" t="str">
        <f>IFERROR(IFERROR((H59*W59*J59/15)-AE59,""),"")</f>
        <v/>
      </c>
      <c r="AH59" s="26">
        <f>IFERROR(AG59-AF59,0)</f>
        <v>0</v>
      </c>
      <c r="AI59" s="25">
        <f>(AH59/$AH$143)*$AL$28</f>
        <v>0</v>
      </c>
      <c r="AJ59" s="25">
        <f>(AH59-AI59)*70%</f>
        <v>0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0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 t="str">
        <f>IFERROR(AH59/AG59,"")</f>
        <v/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/>
      <c r="B64" s="21"/>
      <c r="C64" s="21"/>
      <c r="D64" s="44"/>
      <c r="E64" s="44"/>
      <c r="F64" s="21"/>
      <c r="G64" s="21"/>
      <c r="H64" s="22">
        <v>0</v>
      </c>
      <c r="I64" s="33">
        <v>0</v>
      </c>
      <c r="J64" s="24" t="str">
        <f>IFERROR(K64/H64,"")</f>
        <v/>
      </c>
      <c r="K64" s="22">
        <v>0</v>
      </c>
      <c r="L64" s="21"/>
      <c r="M64" s="21"/>
      <c r="N64" s="21"/>
      <c r="O64" s="21"/>
      <c r="P64" s="21"/>
      <c r="Q64" s="21"/>
      <c r="R64" s="21"/>
      <c r="S64" s="21"/>
      <c r="T64" s="21"/>
      <c r="U64" s="25">
        <v>0</v>
      </c>
      <c r="V64" s="25">
        <f>H64*U64*I64/15</f>
        <v>0</v>
      </c>
      <c r="W64" s="25">
        <v>0</v>
      </c>
      <c r="X64" s="25">
        <v>0</v>
      </c>
      <c r="Y64" s="25">
        <f>IF(B64="FRANCISCO CAMACHO",((F64*42)+(G64*42)),IF(B64="DANILO VIANA",((F64*60)+(G64*60)),0))</f>
        <v>0</v>
      </c>
      <c r="Z64" s="25"/>
      <c r="AA64" s="25">
        <v>0</v>
      </c>
      <c r="AB64" s="25">
        <v>0</v>
      </c>
      <c r="AC64" s="25">
        <v>0</v>
      </c>
      <c r="AD64" s="25">
        <f>IF(F64="",G64*4.11,F64*4.11)</f>
        <v>0</v>
      </c>
      <c r="AE64" s="25">
        <v>0</v>
      </c>
      <c r="AF64" s="25">
        <f>V64+Y64+Z64+AA64+AB64+AC64+AD64</f>
        <v>0</v>
      </c>
      <c r="AG64" s="25" t="str">
        <f>IFERROR(IFERROR((H64*W64*J64/15)-AE64,""),"")</f>
        <v/>
      </c>
      <c r="AH64" s="26">
        <f>IFERROR(AG64-AF64,0)</f>
        <v>0</v>
      </c>
      <c r="AI64" s="25">
        <f>(AH64/$AH$143)*$AL$28</f>
        <v>0</v>
      </c>
      <c r="AJ64" s="25">
        <f>(AH64-AI64)*70%</f>
        <v>0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0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 t="str">
        <f>IFERROR(AH64/AG64,"")</f>
        <v/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/>
      <c r="B69" s="21"/>
      <c r="C69" s="21"/>
      <c r="D69" s="44"/>
      <c r="E69" s="44"/>
      <c r="F69" s="21"/>
      <c r="G69" s="21"/>
      <c r="H69" s="22">
        <v>0</v>
      </c>
      <c r="I69" s="33">
        <v>0</v>
      </c>
      <c r="J69" s="24" t="str">
        <f>IFERROR(K69/H69,"")</f>
        <v/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>
        <v>0</v>
      </c>
      <c r="V69" s="25">
        <f>H69*U69*I69/15</f>
        <v>0</v>
      </c>
      <c r="W69" s="25">
        <v>0</v>
      </c>
      <c r="X69" s="25">
        <v>0</v>
      </c>
      <c r="Y69" s="25">
        <f>IF(B69="FRANCISCO CAMACHO",((F69*42)+(G69*42)),IF(B69="DANILO VIANA",((F69*60)+(G69*60)),0))</f>
        <v>0</v>
      </c>
      <c r="Z69" s="25"/>
      <c r="AA69" s="25">
        <v>0</v>
      </c>
      <c r="AB69" s="25">
        <v>0</v>
      </c>
      <c r="AC69" s="25">
        <v>0</v>
      </c>
      <c r="AD69" s="25">
        <f>IF(F69="",G69*4.11,F69*4.11)</f>
        <v>0</v>
      </c>
      <c r="AE69" s="25">
        <v>0</v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25">
        <f>(AH69/$AH$143)*$AL$28</f>
        <v>0</v>
      </c>
      <c r="AJ69" s="25">
        <f>(AH69-AI69)*70%</f>
        <v>0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/>
      <c r="B74" s="21"/>
      <c r="C74" s="21"/>
      <c r="D74" s="44"/>
      <c r="E74" s="44"/>
      <c r="F74" s="21"/>
      <c r="G74" s="21"/>
      <c r="H74" s="22">
        <v>0</v>
      </c>
      <c r="I74" s="33">
        <v>0</v>
      </c>
      <c r="J74" s="24" t="str">
        <f>IFERROR(K74/H74,"")</f>
        <v/>
      </c>
      <c r="K74" s="22"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>
        <v>0</v>
      </c>
      <c r="Y74" s="25">
        <f>IF(B74="FRANCISCO CAMACHO",((F74*42)+(G74*42)),IF(B74="DANILO VIANA",((F74*60)+(G74*60)),0))</f>
        <v>0</v>
      </c>
      <c r="Z74" s="25"/>
      <c r="AA74" s="25">
        <v>0</v>
      </c>
      <c r="AB74" s="25">
        <v>0</v>
      </c>
      <c r="AC74" s="25">
        <v>0</v>
      </c>
      <c r="AD74" s="25">
        <f>IF(F74="",G74*4.11,F74*4.11)</f>
        <v>0</v>
      </c>
      <c r="AE74" s="25">
        <v>0</v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25">
        <f>(AH74/$AH$143)*$AL$28</f>
        <v>0</v>
      </c>
      <c r="AJ74" s="25">
        <f>(AH74-AI74)*70%</f>
        <v>0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22">
        <v>0</v>
      </c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>
        <v>0</v>
      </c>
      <c r="Y79" s="25">
        <f>IF(B79="FRANCISCO CAMACHO",((F79*42)+(G79*42)),IF(B79="DANILO VIANA",((F79*60)+(G79*60)),0))</f>
        <v>0</v>
      </c>
      <c r="Z79" s="25"/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v>0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25">
        <f>(AH79/$AH$143)*$AL$28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22">
        <v>0</v>
      </c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f>IF(B84="FRANCISCO CAMACHO",((F84*42)+(G84*42)),IF(B84="DANILO VIANA",((F84*60)+(G84*60)),0))</f>
        <v>0</v>
      </c>
      <c r="Z84" s="25"/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25">
        <f>(AH84/$AH$143)*$AL$28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2">
        <v>0</v>
      </c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>
        <v>0</v>
      </c>
      <c r="Y89" s="25">
        <f>IF(B89="FRANCISCO CAMACHO",((F89*42)+(G89*42)),IF(B89="DANILO VIANA",((F89*60)+(G89*60)),0))</f>
        <v>0</v>
      </c>
      <c r="Z89" s="25"/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25">
        <f>(AH89/$AH$143)*$AL$28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2">
        <v>0</v>
      </c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f>IF(B94="FRANCISCO CAMACHO",((F94*42)+(G94*42)),IF(B94="DANILO VIANA",((F94*60)+(G94*60)),0))</f>
        <v>0</v>
      </c>
      <c r="Z94" s="25"/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25">
        <f>(AH94/$AH$143)*$AL$28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2">
        <v>0</v>
      </c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IF(B99="FRANCISCO CAMACHO",((F99*42)+(G99*42)),IF(B99="DANILO VIANA",((F99*60)+(G99*60)),0))</f>
        <v>0</v>
      </c>
      <c r="Z99" s="25"/>
      <c r="AA99" s="25">
        <v>0</v>
      </c>
      <c r="AB99" s="25">
        <v>0</v>
      </c>
      <c r="AC99" s="25"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(AH99/$AH$143)*$AL$28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IF(B104="FRANCISCO CAMACHO",((F104*42)+(G104*42)),IF(B104="DANILO VIANA",((F104*60)+(G104*60)),0))</f>
        <v>0</v>
      </c>
      <c r="Z104" s="25"/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(AH104/$AH$143)*$AL$28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2">
        <v>0</v>
      </c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>
        <v>0</v>
      </c>
      <c r="Y109" s="25">
        <f>IF(B109="FRANCISCO CAMACHO",((F109*42)+(G109*42)),IF(B109="DANILO VIANA",((F109*60)+(G109*60)),0))</f>
        <v>0</v>
      </c>
      <c r="Z109" s="25"/>
      <c r="AA109" s="25">
        <v>0</v>
      </c>
      <c r="AB109" s="25">
        <v>0</v>
      </c>
      <c r="AC109" s="25"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(AH109/$AH$143)*$AL$28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22">
        <v>0</v>
      </c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>
        <v>0</v>
      </c>
      <c r="X114" s="25">
        <v>0</v>
      </c>
      <c r="Y114" s="25">
        <f>IF(B114="FRANCISCO CAMACHO",((F114*42)+(G114*42)),IF(B114="DANILO VIANA",((F114*60)+(G114*60)),0))</f>
        <v>0</v>
      </c>
      <c r="Z114" s="25"/>
      <c r="AA114" s="25">
        <v>0</v>
      </c>
      <c r="AB114" s="25">
        <v>0</v>
      </c>
      <c r="AC114" s="25">
        <v>0</v>
      </c>
      <c r="AD114" s="25">
        <f>IF(F114="",G114*4.11,F114*4.11)</f>
        <v>0</v>
      </c>
      <c r="AE114" s="25">
        <v>0</v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25">
        <f>(AH114/$AH$143)*$AL$28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47"/>
      <c r="AJ117" s="47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B119" s="21"/>
      <c r="C119" s="21"/>
      <c r="D119" s="44"/>
      <c r="E119" s="44"/>
      <c r="F119" s="21"/>
      <c r="G119" s="21"/>
      <c r="H119" s="22">
        <v>0</v>
      </c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>
        <v>0</v>
      </c>
      <c r="X119" s="25">
        <v>0</v>
      </c>
      <c r="Y119" s="25">
        <f>IF(B119="FRANCISCO CAMACHO",((F119*42)+(G119*42)),IF(B119="DANILO VIANA",((F119*60)+(G119*60)),0))</f>
        <v>0</v>
      </c>
      <c r="Z119" s="25"/>
      <c r="AA119" s="25">
        <v>0</v>
      </c>
      <c r="AB119" s="25">
        <v>0</v>
      </c>
      <c r="AC119" s="25">
        <v>0</v>
      </c>
      <c r="AD119" s="25">
        <f>IF(F119="",G119*4.11,F119*4.11)</f>
        <v>0</v>
      </c>
      <c r="AE119" s="25">
        <v>0</v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25">
        <f>(AH119/$AH$143)*$AL$28</f>
        <v>0</v>
      </c>
      <c r="AJ119" s="25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x14ac:dyDescent="0.35">
      <c r="A124" s="20"/>
      <c r="B124" s="21"/>
      <c r="C124" s="21"/>
      <c r="D124" s="44"/>
      <c r="E124" s="44"/>
      <c r="F124" s="21"/>
      <c r="G124" s="21"/>
      <c r="H124" s="22">
        <v>0</v>
      </c>
      <c r="I124" s="33">
        <v>0</v>
      </c>
      <c r="J124" s="24" t="str">
        <f>IFERROR(K124/H124,"")</f>
        <v/>
      </c>
      <c r="K124" s="22">
        <v>0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>
        <v>0</v>
      </c>
      <c r="X124" s="25">
        <v>0</v>
      </c>
      <c r="Y124" s="25">
        <f>IF(B124="FRANCISCO CAMACHO",((F124*42)+(G124*42)),IF(B124="DANILO VIANA",((F124*60)+(G124*60)),0))</f>
        <v>0</v>
      </c>
      <c r="Z124" s="25"/>
      <c r="AA124" s="25">
        <v>0</v>
      </c>
      <c r="AB124" s="25">
        <v>0</v>
      </c>
      <c r="AC124" s="25">
        <v>0</v>
      </c>
      <c r="AD124" s="25">
        <f>IF(F124="",G124*4.11,F124*4.11)</f>
        <v>0</v>
      </c>
      <c r="AE124" s="25">
        <v>0</v>
      </c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25">
        <f>(AH124/$AH$143)*$AL$28</f>
        <v>0</v>
      </c>
      <c r="AJ124" s="25">
        <f>(AH124-AI124)*70%</f>
        <v>0</v>
      </c>
    </row>
    <row r="125" spans="1:36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</row>
    <row r="128" spans="1:36" x14ac:dyDescent="0.35">
      <c r="A128" s="14" t="s">
        <v>1</v>
      </c>
      <c r="B128" s="14" t="s">
        <v>2</v>
      </c>
      <c r="C128" s="14" t="s">
        <v>110</v>
      </c>
      <c r="D128" s="14" t="s">
        <v>66</v>
      </c>
      <c r="E128" s="14" t="s">
        <v>638</v>
      </c>
      <c r="F128" s="14" t="s">
        <v>137</v>
      </c>
      <c r="G128" s="14" t="s">
        <v>138</v>
      </c>
      <c r="H128" s="14" t="s">
        <v>4</v>
      </c>
      <c r="I128" s="14" t="s">
        <v>5</v>
      </c>
      <c r="J128" s="14" t="s">
        <v>6</v>
      </c>
      <c r="K128" s="14" t="s">
        <v>7</v>
      </c>
      <c r="L128" s="14" t="s">
        <v>279</v>
      </c>
      <c r="M128" s="14" t="s">
        <v>280</v>
      </c>
      <c r="N128" s="14" t="s">
        <v>281</v>
      </c>
      <c r="O128" s="14" t="s">
        <v>282</v>
      </c>
      <c r="P128" s="14" t="s">
        <v>283</v>
      </c>
      <c r="Q128" s="14" t="s">
        <v>284</v>
      </c>
      <c r="R128" s="14" t="s">
        <v>904</v>
      </c>
      <c r="S128" s="14" t="s">
        <v>285</v>
      </c>
      <c r="T128" s="14" t="s">
        <v>289</v>
      </c>
      <c r="U128" s="14" t="s">
        <v>8</v>
      </c>
      <c r="V128" s="14" t="s">
        <v>9</v>
      </c>
      <c r="W128" s="14" t="s">
        <v>10</v>
      </c>
      <c r="X128" s="14" t="s">
        <v>100</v>
      </c>
      <c r="Y128" s="14" t="s">
        <v>106</v>
      </c>
      <c r="Z128" s="14" t="s">
        <v>12</v>
      </c>
      <c r="AA128" s="14" t="s">
        <v>258</v>
      </c>
      <c r="AB128" s="14" t="s">
        <v>13</v>
      </c>
      <c r="AC128" s="14" t="s">
        <v>74</v>
      </c>
      <c r="AD128" s="14" t="s">
        <v>21</v>
      </c>
      <c r="AE128" s="14" t="s">
        <v>14</v>
      </c>
      <c r="AF128" s="14" t="s">
        <v>15</v>
      </c>
      <c r="AG128" s="14" t="s">
        <v>16</v>
      </c>
      <c r="AH128" s="15" t="s">
        <v>17</v>
      </c>
      <c r="AI128" s="14" t="s">
        <v>679</v>
      </c>
      <c r="AJ128" s="14" t="s">
        <v>678</v>
      </c>
    </row>
    <row r="129" spans="1:36" x14ac:dyDescent="0.35">
      <c r="A129" s="20"/>
      <c r="B129" s="21"/>
      <c r="C129" s="21"/>
      <c r="D129" s="44"/>
      <c r="E129" s="44"/>
      <c r="F129" s="21"/>
      <c r="G129" s="21"/>
      <c r="H129" s="22">
        <v>0</v>
      </c>
      <c r="I129" s="33">
        <v>0</v>
      </c>
      <c r="J129" s="24" t="str">
        <f>IFERROR(K129/H129,"")</f>
        <v/>
      </c>
      <c r="K129" s="22">
        <v>0</v>
      </c>
      <c r="L129" s="21"/>
      <c r="M129" s="21"/>
      <c r="N129" s="21"/>
      <c r="O129" s="21"/>
      <c r="P129" s="21"/>
      <c r="Q129" s="21"/>
      <c r="R129" s="21"/>
      <c r="S129" s="21"/>
      <c r="T129" s="21"/>
      <c r="U129" s="25">
        <v>0</v>
      </c>
      <c r="V129" s="25">
        <f>H129*U129*I129/15</f>
        <v>0</v>
      </c>
      <c r="W129" s="25">
        <v>0</v>
      </c>
      <c r="X129" s="25">
        <v>0</v>
      </c>
      <c r="Y129" s="25">
        <f>IF(B129="FRANCISCO CAMACHO",((F129*42)+(G129*42)),IF(B129="DANILO VIANA",((F129*60)+(G129*60)),0))</f>
        <v>0</v>
      </c>
      <c r="Z129" s="25"/>
      <c r="AA129" s="25">
        <v>0</v>
      </c>
      <c r="AB129" s="25">
        <v>0</v>
      </c>
      <c r="AC129" s="25">
        <v>0</v>
      </c>
      <c r="AD129" s="25">
        <f>IF(F129="",G129*4.11,F129*4.11)</f>
        <v>0</v>
      </c>
      <c r="AE129" s="25">
        <v>0</v>
      </c>
      <c r="AF129" s="25">
        <f>V129+Y129+Z129+AA129+AB129+AC129+AD129</f>
        <v>0</v>
      </c>
      <c r="AG129" s="25" t="str">
        <f>IFERROR(IFERROR((H129*W129*J129/15)-AE129,""),"")</f>
        <v/>
      </c>
      <c r="AH129" s="26">
        <f>IFERROR(AG129-AF129,0)</f>
        <v>0</v>
      </c>
      <c r="AI129" s="25">
        <f>(AH129/$AH$143)*$AL$28</f>
        <v>0</v>
      </c>
      <c r="AJ129" s="25">
        <f>(AH129-AI129)*70%</f>
        <v>0</v>
      </c>
    </row>
    <row r="130" spans="1:36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3"/>
      <c r="AA130" s="21"/>
      <c r="AB130" s="21"/>
      <c r="AC130" s="21"/>
      <c r="AD130" s="21"/>
      <c r="AE130" s="21"/>
      <c r="AF130" s="21"/>
      <c r="AG130" s="21"/>
      <c r="AH130" s="26">
        <f>IFERROR(AH129/F129,0)+IFERROR(AH129/G129,0)</f>
        <v>0</v>
      </c>
    </row>
    <row r="131" spans="1:36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7" t="str">
        <f>IFERROR(AH129/AG129,"")</f>
        <v/>
      </c>
    </row>
    <row r="132" spans="1:36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</row>
    <row r="133" spans="1:36" x14ac:dyDescent="0.35">
      <c r="A133" s="14" t="s">
        <v>1</v>
      </c>
      <c r="B133" s="14" t="s">
        <v>2</v>
      </c>
      <c r="C133" s="14" t="s">
        <v>110</v>
      </c>
      <c r="D133" s="14" t="s">
        <v>66</v>
      </c>
      <c r="E133" s="14" t="s">
        <v>638</v>
      </c>
      <c r="F133" s="14" t="s">
        <v>137</v>
      </c>
      <c r="G133" s="14" t="s">
        <v>138</v>
      </c>
      <c r="H133" s="14" t="s">
        <v>4</v>
      </c>
      <c r="I133" s="14" t="s">
        <v>5</v>
      </c>
      <c r="J133" s="14" t="s">
        <v>6</v>
      </c>
      <c r="K133" s="14" t="s">
        <v>7</v>
      </c>
      <c r="L133" s="14" t="s">
        <v>279</v>
      </c>
      <c r="M133" s="14" t="s">
        <v>280</v>
      </c>
      <c r="N133" s="14" t="s">
        <v>281</v>
      </c>
      <c r="O133" s="14" t="s">
        <v>282</v>
      </c>
      <c r="P133" s="14" t="s">
        <v>283</v>
      </c>
      <c r="Q133" s="14" t="s">
        <v>284</v>
      </c>
      <c r="R133" s="14" t="s">
        <v>904</v>
      </c>
      <c r="S133" s="14" t="s">
        <v>285</v>
      </c>
      <c r="T133" s="14" t="s">
        <v>289</v>
      </c>
      <c r="U133" s="14" t="s">
        <v>8</v>
      </c>
      <c r="V133" s="14" t="s">
        <v>9</v>
      </c>
      <c r="W133" s="14" t="s">
        <v>10</v>
      </c>
      <c r="X133" s="14" t="s">
        <v>100</v>
      </c>
      <c r="Y133" s="14" t="s">
        <v>106</v>
      </c>
      <c r="Z133" s="14" t="s">
        <v>12</v>
      </c>
      <c r="AA133" s="14" t="s">
        <v>258</v>
      </c>
      <c r="AB133" s="14" t="s">
        <v>13</v>
      </c>
      <c r="AC133" s="14" t="s">
        <v>74</v>
      </c>
      <c r="AD133" s="14" t="s">
        <v>21</v>
      </c>
      <c r="AE133" s="14" t="s">
        <v>14</v>
      </c>
      <c r="AF133" s="14" t="s">
        <v>15</v>
      </c>
      <c r="AG133" s="14" t="s">
        <v>16</v>
      </c>
      <c r="AH133" s="15" t="s">
        <v>17</v>
      </c>
      <c r="AI133" s="14" t="s">
        <v>679</v>
      </c>
      <c r="AJ133" s="14" t="s">
        <v>678</v>
      </c>
    </row>
    <row r="134" spans="1:36" x14ac:dyDescent="0.35">
      <c r="A134" s="20"/>
      <c r="B134" s="21"/>
      <c r="C134" s="21"/>
      <c r="D134" s="44"/>
      <c r="E134" s="44"/>
      <c r="F134" s="21"/>
      <c r="G134" s="21"/>
      <c r="H134" s="22">
        <v>0</v>
      </c>
      <c r="I134" s="33">
        <v>0</v>
      </c>
      <c r="J134" s="24" t="str">
        <f>IFERROR(K134/H134,"")</f>
        <v/>
      </c>
      <c r="K134" s="22">
        <v>0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5">
        <v>0</v>
      </c>
      <c r="V134" s="25">
        <f>H134*U134*I134/15</f>
        <v>0</v>
      </c>
      <c r="W134" s="25">
        <v>0</v>
      </c>
      <c r="X134" s="25">
        <v>0</v>
      </c>
      <c r="Y134" s="25">
        <f>IF(B134="FRANCISCO CAMACHO",((F134*42)+(G134*42)),IF(B134="DANILO VIANA",((F134*60)+(G134*60)),0))</f>
        <v>0</v>
      </c>
      <c r="Z134" s="25"/>
      <c r="AA134" s="25">
        <v>0</v>
      </c>
      <c r="AB134" s="25">
        <v>0</v>
      </c>
      <c r="AC134" s="25">
        <v>0</v>
      </c>
      <c r="AD134" s="25">
        <f>IF(F134="",G134*4.11,F134*4.11)</f>
        <v>0</v>
      </c>
      <c r="AE134" s="25">
        <v>0</v>
      </c>
      <c r="AF134" s="25">
        <f>V134+Y134+Z134+AA134+AB134+AC134+AD134</f>
        <v>0</v>
      </c>
      <c r="AG134" s="25" t="str">
        <f>IFERROR(IFERROR((H134*W134*J134/15)-AE134,""),"")</f>
        <v/>
      </c>
      <c r="AH134" s="26">
        <f>IFERROR(AG134-AF134,0)</f>
        <v>0</v>
      </c>
      <c r="AI134" s="25">
        <f>(AH134/$AH$143)*$AL$28</f>
        <v>0</v>
      </c>
      <c r="AJ134" s="25">
        <f>(AH134-AI134)*70%</f>
        <v>0</v>
      </c>
    </row>
    <row r="135" spans="1:36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3"/>
      <c r="AA135" s="21"/>
      <c r="AB135" s="21"/>
      <c r="AC135" s="21"/>
      <c r="AD135" s="21"/>
      <c r="AE135" s="21"/>
      <c r="AF135" s="21"/>
      <c r="AG135" s="21"/>
      <c r="AH135" s="26">
        <f>IFERROR(AH134/F134,0)+IFERROR(AH134/G134,0)</f>
        <v>0</v>
      </c>
    </row>
    <row r="136" spans="1:36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7" t="str">
        <f>IFERROR(AH134/AG134,"")</f>
        <v/>
      </c>
    </row>
    <row r="137" spans="1:36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47"/>
    </row>
    <row r="138" spans="1:36" x14ac:dyDescent="0.35">
      <c r="A138" s="14" t="s">
        <v>1</v>
      </c>
      <c r="B138" s="14" t="s">
        <v>2</v>
      </c>
      <c r="C138" s="14" t="s">
        <v>110</v>
      </c>
      <c r="D138" s="14" t="s">
        <v>66</v>
      </c>
      <c r="E138" s="14" t="s">
        <v>638</v>
      </c>
      <c r="F138" s="14" t="s">
        <v>137</v>
      </c>
      <c r="G138" s="14" t="s">
        <v>138</v>
      </c>
      <c r="H138" s="14" t="s">
        <v>4</v>
      </c>
      <c r="I138" s="14" t="s">
        <v>5</v>
      </c>
      <c r="J138" s="14" t="s">
        <v>6</v>
      </c>
      <c r="K138" s="14" t="s">
        <v>7</v>
      </c>
      <c r="L138" s="14" t="s">
        <v>279</v>
      </c>
      <c r="M138" s="14" t="s">
        <v>280</v>
      </c>
      <c r="N138" s="14" t="s">
        <v>281</v>
      </c>
      <c r="O138" s="14" t="s">
        <v>282</v>
      </c>
      <c r="P138" s="14" t="s">
        <v>283</v>
      </c>
      <c r="Q138" s="14" t="s">
        <v>284</v>
      </c>
      <c r="R138" s="14" t="s">
        <v>904</v>
      </c>
      <c r="S138" s="14" t="s">
        <v>285</v>
      </c>
      <c r="T138" s="14" t="s">
        <v>289</v>
      </c>
      <c r="U138" s="14" t="s">
        <v>8</v>
      </c>
      <c r="V138" s="14" t="s">
        <v>9</v>
      </c>
      <c r="W138" s="14" t="s">
        <v>10</v>
      </c>
      <c r="X138" s="14" t="s">
        <v>100</v>
      </c>
      <c r="Y138" s="14" t="s">
        <v>106</v>
      </c>
      <c r="Z138" s="14" t="s">
        <v>12</v>
      </c>
      <c r="AA138" s="14" t="s">
        <v>258</v>
      </c>
      <c r="AB138" s="14" t="s">
        <v>13</v>
      </c>
      <c r="AC138" s="14" t="s">
        <v>74</v>
      </c>
      <c r="AD138" s="14" t="s">
        <v>21</v>
      </c>
      <c r="AE138" s="14" t="s">
        <v>14</v>
      </c>
      <c r="AF138" s="14" t="s">
        <v>15</v>
      </c>
      <c r="AG138" s="14" t="s">
        <v>16</v>
      </c>
      <c r="AH138" s="15" t="s">
        <v>17</v>
      </c>
      <c r="AI138" s="14" t="s">
        <v>679</v>
      </c>
      <c r="AJ138" s="14" t="s">
        <v>678</v>
      </c>
    </row>
    <row r="139" spans="1:36" x14ac:dyDescent="0.35">
      <c r="A139" s="20"/>
      <c r="B139" s="21"/>
      <c r="C139" s="21"/>
      <c r="D139" s="44"/>
      <c r="E139" s="44"/>
      <c r="F139" s="21"/>
      <c r="G139" s="21"/>
      <c r="H139" s="22">
        <v>0</v>
      </c>
      <c r="I139" s="33">
        <v>0</v>
      </c>
      <c r="J139" s="24" t="str">
        <f>IFERROR(K139/H139,"")</f>
        <v/>
      </c>
      <c r="K139" s="22">
        <v>0</v>
      </c>
      <c r="L139" s="21"/>
      <c r="M139" s="21"/>
      <c r="N139" s="21"/>
      <c r="O139" s="21"/>
      <c r="P139" s="21"/>
      <c r="Q139" s="21"/>
      <c r="R139" s="21"/>
      <c r="S139" s="21"/>
      <c r="T139" s="21"/>
      <c r="U139" s="25">
        <v>0</v>
      </c>
      <c r="V139" s="25">
        <f>H139*U139*I139/15</f>
        <v>0</v>
      </c>
      <c r="W139" s="25">
        <v>0</v>
      </c>
      <c r="X139" s="25">
        <v>0</v>
      </c>
      <c r="Y139" s="25">
        <f>IF(B139="FRANCISCO CAMACHO",((F139*42)+(G139*42)),IF(B139="DANILO VIANA",((F139*60)+(G139*60)),0))</f>
        <v>0</v>
      </c>
      <c r="Z139" s="25"/>
      <c r="AA139" s="25">
        <v>0</v>
      </c>
      <c r="AB139" s="25">
        <v>0</v>
      </c>
      <c r="AC139" s="25">
        <v>0</v>
      </c>
      <c r="AD139" s="25">
        <f>IF(F139="",G139*4.11,F139*4.11)</f>
        <v>0</v>
      </c>
      <c r="AE139" s="25">
        <v>0</v>
      </c>
      <c r="AF139" s="25">
        <f>V139+Y139+Z139+AA139+AB139+AC139+AD139</f>
        <v>0</v>
      </c>
      <c r="AG139" s="25" t="str">
        <f>IFERROR(IFERROR((H139*W139*J139/15)-AE139,""),"")</f>
        <v/>
      </c>
      <c r="AH139" s="26">
        <f>IFERROR(AG139-AF139,0)</f>
        <v>0</v>
      </c>
      <c r="AI139" s="25">
        <f>(AH139/$AH$143)*$AL$28</f>
        <v>0</v>
      </c>
      <c r="AJ139" s="25">
        <f>(AH139-AI139)*70%</f>
        <v>0</v>
      </c>
    </row>
    <row r="140" spans="1:36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3"/>
      <c r="AA140" s="21"/>
      <c r="AB140" s="21"/>
      <c r="AC140" s="21"/>
      <c r="AD140" s="21"/>
      <c r="AE140" s="21"/>
      <c r="AF140" s="21"/>
      <c r="AG140" s="21"/>
      <c r="AH140" s="26">
        <f>IFERROR(AH139/F139,0)+IFERROR(AH139/G139,0)</f>
        <v>0</v>
      </c>
    </row>
    <row r="141" spans="1:36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7" t="str">
        <f>IFERROR(AH139/AG139,"")</f>
        <v/>
      </c>
    </row>
    <row r="142" spans="1:36" ht="15" thickBot="1" x14ac:dyDescent="0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47"/>
      <c r="AI142" s="47"/>
      <c r="AJ142" s="47"/>
    </row>
    <row r="143" spans="1:36" ht="16" thickBot="1" x14ac:dyDescent="0.4">
      <c r="A143" s="377" t="s">
        <v>803</v>
      </c>
      <c r="B143" s="378"/>
      <c r="C143" s="378"/>
      <c r="D143" s="378"/>
      <c r="E143" s="378"/>
      <c r="F143" s="163">
        <f>SUM(F4:F142)</f>
        <v>300</v>
      </c>
      <c r="G143" s="163">
        <f>SUM(G4:G142)</f>
        <v>0</v>
      </c>
      <c r="H143" s="30"/>
      <c r="I143" s="30"/>
      <c r="J143" s="30"/>
      <c r="K143" s="30"/>
      <c r="L143" s="46"/>
      <c r="M143" s="46"/>
      <c r="N143" s="46"/>
      <c r="O143" s="46"/>
      <c r="P143" s="46"/>
      <c r="Q143" s="46"/>
      <c r="R143" s="46"/>
      <c r="S143" s="46"/>
      <c r="T143" s="46"/>
      <c r="U143" s="30"/>
      <c r="V143" s="31">
        <f>SUM(V4:V142)</f>
        <v>1171935.3999999999</v>
      </c>
      <c r="W143" s="31"/>
      <c r="X143" s="31"/>
      <c r="Y143" s="31">
        <f t="shared" ref="Y143:AG143" si="0">SUM(Y4:Y142)</f>
        <v>4200</v>
      </c>
      <c r="Z143" s="31">
        <f t="shared" si="0"/>
        <v>50017.46</v>
      </c>
      <c r="AA143" s="31">
        <f t="shared" si="0"/>
        <v>0</v>
      </c>
      <c r="AB143" s="31">
        <f t="shared" si="0"/>
        <v>8562.5</v>
      </c>
      <c r="AC143" s="31">
        <f t="shared" si="0"/>
        <v>0</v>
      </c>
      <c r="AD143" s="31">
        <f t="shared" si="0"/>
        <v>1233</v>
      </c>
      <c r="AE143" s="31">
        <f t="shared" si="0"/>
        <v>2518.31</v>
      </c>
      <c r="AF143" s="31">
        <f t="shared" si="0"/>
        <v>1235948.3599999999</v>
      </c>
      <c r="AG143" s="31">
        <f t="shared" si="0"/>
        <v>1256622.6310000001</v>
      </c>
      <c r="AH143" s="161">
        <f>AH4+AH9+AH14+AH19+AH24+AH29+AH34+AH39+AH44+AH49+AH54+AH59+AH64+AH69+AH74+AH79+AH84+AH89+AH94+AH99+AH104+AH109+AH114+AH119+AH124+AH129+AH134+AH139</f>
        <v>20674.271000000121</v>
      </c>
      <c r="AI143" s="165">
        <f>SUM(AI4:AI141)</f>
        <v>1500</v>
      </c>
      <c r="AJ143" s="165">
        <f>SUM(AJ4:AJ141)</f>
        <v>13421.989700000084</v>
      </c>
    </row>
    <row r="145" spans="22:35" x14ac:dyDescent="0.35">
      <c r="V145" s="162"/>
      <c r="AI145" s="25"/>
    </row>
  </sheetData>
  <mergeCells count="2">
    <mergeCell ref="U2:AC2"/>
    <mergeCell ref="A143:E14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60"/>
  <sheetViews>
    <sheetView zoomScale="85" zoomScaleNormal="85" workbookViewId="0">
      <pane xSplit="7" ySplit="3" topLeftCell="H4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23.269531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AF58</f>
        <v>7026554.5550000006</v>
      </c>
      <c r="AM3" s="164">
        <f>AH58-AI58</f>
        <v>91874.128034837966</v>
      </c>
    </row>
    <row r="4" spans="1:40" x14ac:dyDescent="0.35">
      <c r="A4" s="20">
        <v>45249</v>
      </c>
      <c r="B4" s="21" t="s">
        <v>632</v>
      </c>
      <c r="C4" s="21" t="s">
        <v>676</v>
      </c>
      <c r="D4" s="44">
        <v>1893402</v>
      </c>
      <c r="E4" s="44" t="s">
        <v>652</v>
      </c>
      <c r="F4" s="21">
        <v>399</v>
      </c>
      <c r="G4" s="21"/>
      <c r="H4" s="22">
        <v>212440</v>
      </c>
      <c r="I4" s="33">
        <v>0.55000000000000004</v>
      </c>
      <c r="J4" s="24">
        <f>IFERROR(K4/H4,"")</f>
        <v>0.5519581999623423</v>
      </c>
      <c r="K4" s="22">
        <v>117258</v>
      </c>
      <c r="L4" s="21">
        <v>200</v>
      </c>
      <c r="M4" s="21">
        <v>185</v>
      </c>
      <c r="N4" s="21">
        <v>14</v>
      </c>
      <c r="O4" s="21"/>
      <c r="P4" s="21"/>
      <c r="Q4" s="21"/>
      <c r="R4" s="21"/>
      <c r="S4" s="21"/>
      <c r="T4" s="21"/>
      <c r="U4" s="25">
        <v>215</v>
      </c>
      <c r="V4" s="25">
        <f>H4*U4*I4/15</f>
        <v>1674735.3333333335</v>
      </c>
      <c r="W4" s="25">
        <v>242.54</v>
      </c>
      <c r="X4" s="25">
        <v>1895983.69</v>
      </c>
      <c r="Y4" s="25">
        <f>IF(B4="FRANCISCO CAMACHO",((F4*42)+(G4*42)),IF(B4="DANILO VIANA",((F4*60)+(G4*60)),0))</f>
        <v>16758</v>
      </c>
      <c r="Z4" s="264">
        <f>114703.46+68662.35</f>
        <v>183365.81</v>
      </c>
      <c r="AA4" s="25">
        <v>0</v>
      </c>
      <c r="AB4" s="264">
        <v>10723.125</v>
      </c>
      <c r="AC4" s="25">
        <v>0</v>
      </c>
      <c r="AD4" s="25">
        <f>IF(F4="",G4*4.11,F4*4.11)</f>
        <v>1639.89</v>
      </c>
      <c r="AE4" s="25">
        <v>3791.97</v>
      </c>
      <c r="AF4" s="25">
        <f>V4+Y4+Z4+AA4+AB4+AC4+AD4</f>
        <v>1887222.1583333334</v>
      </c>
      <c r="AG4" s="25">
        <f>IFERROR(IFERROR((H4*W4*J4/15)-AE4,""),"")</f>
        <v>1892191.7180000001</v>
      </c>
      <c r="AH4" s="26">
        <f>IFERROR(AG4-AF4,0)</f>
        <v>4969.5596666666679</v>
      </c>
      <c r="AI4" s="25">
        <f>(AH4/$AH$58)*$AL$28</f>
        <v>106.61942194899255</v>
      </c>
      <c r="AJ4" s="25">
        <f>(AH4-AI4)*70%</f>
        <v>3404.0581713023726</v>
      </c>
      <c r="AL4" s="166" t="s">
        <v>749</v>
      </c>
      <c r="AM4" s="167">
        <f>AM3/AL3</f>
        <v>1.3075274277840991E-2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5"/>
      <c r="W5" s="21"/>
      <c r="X5" s="25"/>
      <c r="Y5" s="21"/>
      <c r="Z5" s="3"/>
      <c r="AA5" s="21"/>
      <c r="AB5" s="21"/>
      <c r="AC5" s="21"/>
      <c r="AD5" s="21"/>
      <c r="AE5" s="21"/>
      <c r="AF5" s="25"/>
      <c r="AG5" s="21"/>
      <c r="AH5" s="26">
        <f>IFERROR(AH4/F4,0)+IFERROR(AH4/G4,0)</f>
        <v>12.455036758563077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2"/>
      <c r="I6" s="21"/>
      <c r="J6" s="21"/>
      <c r="K6" s="22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5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2.6263510295454467E-3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45250</v>
      </c>
      <c r="B9" s="21" t="s">
        <v>632</v>
      </c>
      <c r="C9" s="21" t="s">
        <v>697</v>
      </c>
      <c r="D9" s="44">
        <v>1890970</v>
      </c>
      <c r="E9" s="44" t="s">
        <v>652</v>
      </c>
      <c r="F9" s="21">
        <v>100</v>
      </c>
      <c r="G9" s="21"/>
      <c r="H9" s="22">
        <v>60080</v>
      </c>
      <c r="I9" s="33">
        <v>0.55000000000000004</v>
      </c>
      <c r="J9" s="24">
        <f>IFERROR(K9/H9,"")</f>
        <v>0.56567077230359519</v>
      </c>
      <c r="K9" s="22">
        <v>33985.5</v>
      </c>
      <c r="L9" s="21">
        <v>1</v>
      </c>
      <c r="M9" s="21">
        <v>21</v>
      </c>
      <c r="N9" s="21">
        <v>53</v>
      </c>
      <c r="O9" s="21">
        <v>25</v>
      </c>
      <c r="P9" s="21"/>
      <c r="Q9" s="21"/>
      <c r="R9" s="21"/>
      <c r="S9" s="21"/>
      <c r="T9" s="21"/>
      <c r="U9" s="25">
        <v>215</v>
      </c>
      <c r="V9" s="25">
        <f>H9*U9*I9/15</f>
        <v>473630.66666666674</v>
      </c>
      <c r="W9" s="25">
        <v>239.19</v>
      </c>
      <c r="X9" s="25">
        <f>2106813.99/400*F9</f>
        <v>526703.49750000006</v>
      </c>
      <c r="Y9" s="25">
        <f>IF(B9="FRANCISCO CAMACHO",((F9*42)+(G9*42)),IF(B9="DANILO VIANA",((F9*60)+(G9*60)),0))</f>
        <v>4200</v>
      </c>
      <c r="Z9" s="264">
        <v>42106</v>
      </c>
      <c r="AA9" s="25">
        <v>0</v>
      </c>
      <c r="AB9" s="264">
        <v>2687.5</v>
      </c>
      <c r="AC9" s="25">
        <v>0</v>
      </c>
      <c r="AD9" s="25">
        <f>IF(F9="",G9*4.11,F9*4.11)</f>
        <v>411.00000000000006</v>
      </c>
      <c r="AE9" s="25">
        <f>4213.61/400*F9</f>
        <v>1053.4024999999999</v>
      </c>
      <c r="AF9" s="25">
        <f>V9+Y9+Z9+AA9+AB9+AC9+AD9</f>
        <v>523035.16666666674</v>
      </c>
      <c r="AG9" s="25">
        <f>IFERROR(IFERROR((H9*W9*J9/15)-AE9,""),"")</f>
        <v>540879.38049999997</v>
      </c>
      <c r="AH9" s="26">
        <f>IFERROR(AG9-AF9,0)</f>
        <v>17844.213833333226</v>
      </c>
      <c r="AI9" s="25">
        <f>(AH9/$AH$58)*$AL$28</f>
        <v>382.83870033908528</v>
      </c>
      <c r="AJ9" s="25">
        <f>(AH9-AI9)*70%</f>
        <v>12222.962593095897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178.44213833333225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3.299111498175003E-2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45250</v>
      </c>
      <c r="B14" s="21" t="s">
        <v>632</v>
      </c>
      <c r="C14" s="21" t="s">
        <v>611</v>
      </c>
      <c r="D14" s="44">
        <v>1890970</v>
      </c>
      <c r="E14" s="44" t="s">
        <v>652</v>
      </c>
      <c r="F14" s="21">
        <v>100</v>
      </c>
      <c r="G14" s="21"/>
      <c r="H14" s="22">
        <v>59840</v>
      </c>
      <c r="I14" s="33">
        <v>0.55000000000000004</v>
      </c>
      <c r="J14" s="24">
        <f>IFERROR(K14/H14,"")</f>
        <v>0.55250668449197859</v>
      </c>
      <c r="K14" s="22">
        <v>33062</v>
      </c>
      <c r="L14" s="21">
        <v>52</v>
      </c>
      <c r="M14" s="21">
        <v>43</v>
      </c>
      <c r="N14" s="21">
        <v>4</v>
      </c>
      <c r="O14" s="21">
        <v>1</v>
      </c>
      <c r="P14" s="21"/>
      <c r="Q14" s="21"/>
      <c r="R14" s="21"/>
      <c r="S14" s="21"/>
      <c r="T14" s="21"/>
      <c r="U14" s="25">
        <v>215</v>
      </c>
      <c r="V14" s="25">
        <f>H14*U14*I14/15</f>
        <v>471738.66666666674</v>
      </c>
      <c r="W14" s="25">
        <v>239.19</v>
      </c>
      <c r="X14" s="25">
        <f>2106813.99/400*F14</f>
        <v>526703.49750000006</v>
      </c>
      <c r="Y14" s="25">
        <f>IF(B14="FRANCISCO CAMACHO",((F14*42)+(G14*42)),IF(B14="DANILO VIANA",((F14*60)+(G14*60)),0))</f>
        <v>4200</v>
      </c>
      <c r="Z14" s="264">
        <v>41846.400000000001</v>
      </c>
      <c r="AA14" s="25">
        <v>0</v>
      </c>
      <c r="AB14" s="264">
        <v>2687.5</v>
      </c>
      <c r="AC14" s="25">
        <v>0</v>
      </c>
      <c r="AD14" s="25">
        <f>IF(F14="",G14*4.11,F14*4.11)</f>
        <v>411.00000000000006</v>
      </c>
      <c r="AE14" s="25">
        <f>4213.61/400*F14</f>
        <v>1053.4024999999999</v>
      </c>
      <c r="AF14" s="25">
        <f>V14+Y14+Z14+AA14+AB14+AC14+AD14</f>
        <v>520883.56666666677</v>
      </c>
      <c r="AG14" s="25">
        <f>IFERROR(IFERROR((H14*W14*J14/15)-AE14,""),"")</f>
        <v>526153.24950000003</v>
      </c>
      <c r="AH14" s="26">
        <f>IFERROR(AG14-AF14,0)</f>
        <v>5269.6828333332669</v>
      </c>
      <c r="AI14" s="25">
        <f>(AH14/$AH$58)*$AL$28</f>
        <v>113.05841467467145</v>
      </c>
      <c r="AJ14" s="25">
        <f>(AH14-AI14)*70%</f>
        <v>3609.6370930610165</v>
      </c>
      <c r="AL14" s="14" t="e">
        <f>F4+G4+F9+G9+F14+G14+F19+G19+F24+G24+F29+G29+F34+G34+F39+G39+F44+G44+F49+G49+F54+G54+#REF!+#REF!+#REF!+#REF!+#REF!+#REF!+#REF!+#REF!+#REF!+#REF!+#REF!+#REF!+#REF!+#REF!+#REF!+#REF!+#REF!+#REF!+#REF!+#REF!+#REF!+#REF!+#REF!+#REF!+#REF!+#REF!+#REF!+#REF!+#REF!+#REF!+#REF!+#REF!+#REF!+#REF!</f>
        <v>#REF!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52.696828333332668</v>
      </c>
      <c r="AL15" s="11">
        <f>AH58</f>
        <v>93888.458034837968</v>
      </c>
      <c r="AM15" s="11">
        <f>AL15*30%</f>
        <v>28166.53741045139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1.0015490426678942E-2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45250</v>
      </c>
      <c r="B19" s="21" t="s">
        <v>632</v>
      </c>
      <c r="C19" s="21" t="s">
        <v>810</v>
      </c>
      <c r="D19" s="44">
        <v>1890970</v>
      </c>
      <c r="E19" s="44" t="s">
        <v>652</v>
      </c>
      <c r="F19" s="21">
        <v>200</v>
      </c>
      <c r="G19" s="21"/>
      <c r="H19" s="22">
        <v>117380</v>
      </c>
      <c r="I19" s="33">
        <v>0.55000000000000004</v>
      </c>
      <c r="J19" s="24">
        <f>IFERROR(K19/H19,"")</f>
        <v>0.55440023854148923</v>
      </c>
      <c r="K19" s="22">
        <v>65075.5</v>
      </c>
      <c r="L19" s="21">
        <v>8</v>
      </c>
      <c r="M19" s="21">
        <v>87</v>
      </c>
      <c r="N19" s="21">
        <v>91</v>
      </c>
      <c r="O19" s="21">
        <v>14</v>
      </c>
      <c r="P19" s="21"/>
      <c r="Q19" s="21"/>
      <c r="R19" s="21"/>
      <c r="S19" s="21"/>
      <c r="T19" s="21"/>
      <c r="U19" s="25">
        <v>215</v>
      </c>
      <c r="V19" s="25">
        <f>H19*U19*I19/15</f>
        <v>925345.66666666674</v>
      </c>
      <c r="W19" s="25">
        <v>239.19</v>
      </c>
      <c r="X19" s="25">
        <f>2106813.99/400*F19</f>
        <v>1053406.9950000001</v>
      </c>
      <c r="Y19" s="25">
        <f>IF(B19="FRANCISCO CAMACHO",((F19*42)+(G19*42)),IF(B19="DANILO VIANA",((F19*60)+(G19*60)),0))</f>
        <v>8400</v>
      </c>
      <c r="Z19" s="264">
        <v>84931.3</v>
      </c>
      <c r="AA19" s="25">
        <v>0</v>
      </c>
      <c r="AB19" s="264">
        <f>U19*15%*F19</f>
        <v>6450</v>
      </c>
      <c r="AC19" s="25">
        <v>0</v>
      </c>
      <c r="AD19" s="25">
        <f>IF(F19="",G19*4.11,F19*4.11)</f>
        <v>822.00000000000011</v>
      </c>
      <c r="AE19" s="25">
        <f>4213.61/400*F19</f>
        <v>2106.8049999999998</v>
      </c>
      <c r="AF19" s="25">
        <f>V19+Y19+Z19+AA19+AB19+AC19+AD19</f>
        <v>1025948.9666666668</v>
      </c>
      <c r="AG19" s="25">
        <f>IFERROR(IFERROR((H19*W19*J19/15)-AE19,""),"")</f>
        <v>1035587.118</v>
      </c>
      <c r="AH19" s="26">
        <f>IFERROR(AG19-AF19,0)</f>
        <v>9638.1513333332259</v>
      </c>
      <c r="AI19" s="25">
        <f>(AH19/$AH$58)*$AL$28</f>
        <v>206.78172569485869</v>
      </c>
      <c r="AJ19" s="25">
        <f>(AH19-AI19)*70%</f>
        <v>6601.9587253468571</v>
      </c>
      <c r="AL19" s="178">
        <v>496.28</v>
      </c>
      <c r="AM19" s="6" t="s">
        <v>804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5"/>
      <c r="W20" s="21"/>
      <c r="X20" s="25"/>
      <c r="Y20" s="21"/>
      <c r="Z20" s="3"/>
      <c r="AA20" s="21"/>
      <c r="AB20" s="21"/>
      <c r="AC20" s="21"/>
      <c r="AD20" s="21"/>
      <c r="AE20" s="21"/>
      <c r="AF20" s="25"/>
      <c r="AG20" s="21"/>
      <c r="AH20" s="26">
        <f>IFERROR(AH19/F19,0)+IFERROR(AH19/G19,0)</f>
        <v>48.190756666666132</v>
      </c>
      <c r="AL20" s="178">
        <v>518.04999999999995</v>
      </c>
      <c r="AM20" s="6" t="s">
        <v>805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2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5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9.3069440183334001E-3</v>
      </c>
      <c r="AL21" s="178">
        <v>1000</v>
      </c>
      <c r="AM21" s="6" t="s">
        <v>808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/>
      <c r="AM22" s="6"/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/>
      <c r="AM23" s="6"/>
      <c r="AN23" s="174"/>
    </row>
    <row r="24" spans="1:40" x14ac:dyDescent="0.35">
      <c r="A24" s="20">
        <v>45251</v>
      </c>
      <c r="B24" s="21" t="s">
        <v>632</v>
      </c>
      <c r="C24" s="21" t="s">
        <v>676</v>
      </c>
      <c r="D24" s="44">
        <v>1892078</v>
      </c>
      <c r="E24" s="44" t="s">
        <v>652</v>
      </c>
      <c r="F24" s="21">
        <v>149</v>
      </c>
      <c r="G24" s="21"/>
      <c r="H24" s="22">
        <f>83760/150*F24</f>
        <v>83201.599999999991</v>
      </c>
      <c r="I24" s="33">
        <v>0.55000000000000004</v>
      </c>
      <c r="J24" s="24">
        <f>IFERROR(K24/H24,"")</f>
        <v>0.55670804407607555</v>
      </c>
      <c r="K24" s="22">
        <v>46319</v>
      </c>
      <c r="L24" s="21">
        <v>93</v>
      </c>
      <c r="M24" s="21">
        <v>53</v>
      </c>
      <c r="N24" s="21">
        <v>3</v>
      </c>
      <c r="O24" s="21"/>
      <c r="P24" s="21"/>
      <c r="Q24" s="21"/>
      <c r="R24" s="21"/>
      <c r="S24" s="21"/>
      <c r="T24" s="21"/>
      <c r="U24" s="25">
        <v>215</v>
      </c>
      <c r="V24" s="25">
        <f>H24*U24*I24/15</f>
        <v>655905.94666666666</v>
      </c>
      <c r="W24" s="25">
        <v>244.37</v>
      </c>
      <c r="X24" s="25">
        <f>1185390.09/250*F24</f>
        <v>706492.49364000012</v>
      </c>
      <c r="Y24" s="25">
        <f>IF(B24="FRANCISCO CAMACHO",((F24*42)+(G24*42)),IF(B24="DANILO VIANA",((F24*60)+(G24*60)),0))</f>
        <v>6258</v>
      </c>
      <c r="Z24" s="264">
        <v>69124.2</v>
      </c>
      <c r="AA24" s="25">
        <v>0</v>
      </c>
      <c r="AB24" s="264">
        <v>4031.25</v>
      </c>
      <c r="AC24" s="25">
        <v>0</v>
      </c>
      <c r="AD24" s="25">
        <f>IF(F24="",G24*4.11,F24*4.11)</f>
        <v>612.3900000000001</v>
      </c>
      <c r="AE24" s="25">
        <f>2370.79/250*F24</f>
        <v>1412.9908399999999</v>
      </c>
      <c r="AF24" s="25">
        <f>V24+Y24+Z24+AA24+AB24+AC24+AD24</f>
        <v>735931.78666666662</v>
      </c>
      <c r="AG24" s="25">
        <f>IFERROR(IFERROR((H24*W24*J24/15)-AE24,""),"")</f>
        <v>753185.27782666672</v>
      </c>
      <c r="AH24" s="26">
        <f>IFERROR(AG24-AF24,0)</f>
        <v>17253.491160000092</v>
      </c>
      <c r="AI24" s="25">
        <f>(AH24/$AH$58)*$AL$28</f>
        <v>370.16504025901867</v>
      </c>
      <c r="AJ24" s="25">
        <f>(AH24-AI24)*70%</f>
        <v>11818.32828381875</v>
      </c>
      <c r="AL24" s="178"/>
      <c r="AM24" s="6"/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5"/>
      <c r="W25" s="21"/>
      <c r="X25" s="25"/>
      <c r="Y25" s="21"/>
      <c r="Z25" s="3"/>
      <c r="AA25" s="21"/>
      <c r="AB25" s="21"/>
      <c r="AC25" s="21"/>
      <c r="AD25" s="21"/>
      <c r="AE25" s="21"/>
      <c r="AF25" s="25"/>
      <c r="AG25" s="21"/>
      <c r="AH25" s="26">
        <f>IFERROR(AH24/F24,0)+IFERROR(AH24/G24,0)</f>
        <v>115.79524268456437</v>
      </c>
      <c r="AL25" s="178"/>
      <c r="AM25" s="6"/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2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5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2.2907366444794876E-2</v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4">
        <f>SUM(AL19:AL27)</f>
        <v>2014.33</v>
      </c>
      <c r="AM28" s="189" t="s">
        <v>673</v>
      </c>
      <c r="AN28" s="191"/>
    </row>
    <row r="29" spans="1:40" x14ac:dyDescent="0.35">
      <c r="A29" s="20">
        <v>45252</v>
      </c>
      <c r="B29" s="21" t="s">
        <v>743</v>
      </c>
      <c r="C29" s="21" t="s">
        <v>811</v>
      </c>
      <c r="D29" s="44">
        <v>1892078</v>
      </c>
      <c r="E29" s="44" t="s">
        <v>652</v>
      </c>
      <c r="F29" s="98">
        <v>100</v>
      </c>
      <c r="G29" s="21"/>
      <c r="H29" s="22">
        <f>51160/110*F29</f>
        <v>46509.090909090904</v>
      </c>
      <c r="I29" s="33">
        <v>0.54</v>
      </c>
      <c r="J29" s="24">
        <f>IFERROR(K29/H29,"")</f>
        <v>0.56189014855355757</v>
      </c>
      <c r="K29" s="22">
        <v>26133</v>
      </c>
      <c r="L29" s="21">
        <v>46</v>
      </c>
      <c r="M29" s="21">
        <v>32</v>
      </c>
      <c r="N29" s="21">
        <v>18</v>
      </c>
      <c r="O29" s="21">
        <v>4</v>
      </c>
      <c r="P29" s="21"/>
      <c r="Q29" s="21"/>
      <c r="R29" s="21"/>
      <c r="S29" s="21"/>
      <c r="T29" s="21"/>
      <c r="U29" s="25">
        <v>225</v>
      </c>
      <c r="V29" s="25">
        <f>H29*U29*I29/15</f>
        <v>376723.63636363635</v>
      </c>
      <c r="W29" s="25">
        <v>244.37</v>
      </c>
      <c r="X29" s="25">
        <f>1185390.09/250*F29</f>
        <v>474156.03600000002</v>
      </c>
      <c r="Y29" s="25">
        <f>IF(B29="FRANCISCO CAMACHO",((F29*42)+(G29*42)),IF(B29="DANILO VIANA",((F29*60)+(G29*60)),0))</f>
        <v>0</v>
      </c>
      <c r="Z29" s="264">
        <f>22506.82/110*F29</f>
        <v>20460.745454545453</v>
      </c>
      <c r="AA29" s="25">
        <v>0</v>
      </c>
      <c r="AB29" s="264">
        <f>3093.75/110*F29</f>
        <v>2812.5</v>
      </c>
      <c r="AC29" s="25">
        <f>F29*38</f>
        <v>3800</v>
      </c>
      <c r="AD29" s="25">
        <f>IF(F29="",G29*4.11,F29*4.11)</f>
        <v>411.00000000000006</v>
      </c>
      <c r="AE29" s="25">
        <f>2370.79/250*F29</f>
        <v>948.31600000000003</v>
      </c>
      <c r="AF29" s="25">
        <f>V29+Y29+Z29+AA29+AB29+AC29+AD29</f>
        <v>404207.88181818184</v>
      </c>
      <c r="AG29" s="25">
        <f>IFERROR(IFERROR((H29*W29*J29/15)-AE29,""),"")</f>
        <v>424793.09800000006</v>
      </c>
      <c r="AH29" s="26">
        <f>IFERROR(AG29-AF29,0)</f>
        <v>20585.216181818221</v>
      </c>
      <c r="AI29" s="25">
        <f>(AH29/$AH$58)*$AL$28</f>
        <v>441.64553747528652</v>
      </c>
      <c r="AJ29" s="25">
        <f>(AH29-AI29)*70%</f>
        <v>14100.499451040052</v>
      </c>
      <c r="AL29" s="57"/>
      <c r="AM29" s="6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5"/>
      <c r="AC30" s="21"/>
      <c r="AD30" s="21"/>
      <c r="AE30" s="21"/>
      <c r="AF30" s="21"/>
      <c r="AG30" s="21"/>
      <c r="AH30" s="26">
        <f>IFERROR(AH29/F29,0)+IFERROR(AH29/G29,0)</f>
        <v>205.85216181818222</v>
      </c>
      <c r="AL30" s="57"/>
      <c r="AM30" s="118" t="s">
        <v>22</v>
      </c>
      <c r="AN30" s="12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4.8459394182101843E-2</v>
      </c>
      <c r="AL31" s="247">
        <f>AL15-AL28</f>
        <v>91874.128034837966</v>
      </c>
      <c r="AM31" s="248">
        <f>AL31*30%</f>
        <v>27562.238410451388</v>
      </c>
      <c r="AN31" s="12" t="s">
        <v>833</v>
      </c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249"/>
      <c r="AN32" s="246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7"/>
      <c r="AM33" s="248"/>
      <c r="AN33" s="1"/>
    </row>
    <row r="34" spans="1:40" x14ac:dyDescent="0.35">
      <c r="A34" s="20">
        <v>45252</v>
      </c>
      <c r="B34" s="21" t="s">
        <v>743</v>
      </c>
      <c r="C34" s="21" t="s">
        <v>811</v>
      </c>
      <c r="D34" s="44">
        <v>1892078</v>
      </c>
      <c r="E34" s="44" t="s">
        <v>652</v>
      </c>
      <c r="F34" s="98">
        <v>1</v>
      </c>
      <c r="G34" s="21"/>
      <c r="H34" s="22">
        <f>51160/110*F34</f>
        <v>465.09090909090907</v>
      </c>
      <c r="I34" s="33">
        <v>0.54</v>
      </c>
      <c r="J34" s="24">
        <f>IFERROR(K34/H34,"")</f>
        <v>0.66806293979671616</v>
      </c>
      <c r="K34" s="22">
        <v>310.70999999999998</v>
      </c>
      <c r="L34" s="21"/>
      <c r="M34" s="21">
        <v>1</v>
      </c>
      <c r="N34" s="21"/>
      <c r="O34" s="21"/>
      <c r="P34" s="21"/>
      <c r="Q34" s="21"/>
      <c r="R34" s="21"/>
      <c r="S34" s="21"/>
      <c r="T34" s="21"/>
      <c r="U34" s="25">
        <v>225</v>
      </c>
      <c r="V34" s="25">
        <f>H34*U34*I34/15</f>
        <v>3767.2363636363639</v>
      </c>
      <c r="W34" s="25">
        <v>244.37</v>
      </c>
      <c r="X34" s="25">
        <f>1185390.09/250*F34</f>
        <v>4741.5603600000004</v>
      </c>
      <c r="Y34" s="25">
        <f>IF(B34="FRANCISCO CAMACHO",((F34*42)+(G34*42)),IF(B34="DANILO VIANA",((F34*60)+(G34*60)),0))</f>
        <v>0</v>
      </c>
      <c r="Z34" s="264">
        <f>22506.82/110*F34</f>
        <v>204.60745454545454</v>
      </c>
      <c r="AA34" s="25">
        <v>0</v>
      </c>
      <c r="AB34" s="264">
        <f>3093.75/110*F34</f>
        <v>28.125</v>
      </c>
      <c r="AC34" s="25">
        <f>F34*38</f>
        <v>38</v>
      </c>
      <c r="AD34" s="25">
        <f>IF(F34="",G34*4.11,F34*4.11)</f>
        <v>4.1100000000000003</v>
      </c>
      <c r="AE34" s="25">
        <f>2370.79/250*F34</f>
        <v>9.4831599999999998</v>
      </c>
      <c r="AF34" s="25">
        <f>V34+Y34+Z34+AA34+AB34+AC34+AD34</f>
        <v>4042.0788181818184</v>
      </c>
      <c r="AG34" s="25">
        <f>IFERROR(IFERROR((H34*W34*J34/15)-AE34,""),"")</f>
        <v>5052.3970199999994</v>
      </c>
      <c r="AH34" s="26">
        <f>IFERROR(AG34-AF34,0)</f>
        <v>1010.318201818181</v>
      </c>
      <c r="AI34" s="25">
        <f>(AH34/$AH$58)*$AL$28</f>
        <v>21.675872690477814</v>
      </c>
      <c r="AJ34" s="25">
        <f>(AH34-AI34)*70%</f>
        <v>692.04963038939218</v>
      </c>
      <c r="AM34" s="57"/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5"/>
      <c r="AC35" s="21"/>
      <c r="AD35" s="21"/>
      <c r="AE35" s="21"/>
      <c r="AF35" s="21"/>
      <c r="AG35" s="21"/>
      <c r="AH35" s="26">
        <f>IFERROR(AH34/F34,0)+IFERROR(AH34/G34,0)</f>
        <v>1010.318201818181</v>
      </c>
      <c r="AL35" s="383" t="s">
        <v>822</v>
      </c>
      <c r="AM35" s="383"/>
      <c r="AN35" s="383"/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0.1999680939203351</v>
      </c>
      <c r="AL36" s="383"/>
      <c r="AM36" s="383"/>
      <c r="AN36" s="383"/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  <c r="AL37" s="383"/>
      <c r="AM37" s="383"/>
      <c r="AN37" s="383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45252</v>
      </c>
      <c r="B39" s="21" t="s">
        <v>743</v>
      </c>
      <c r="C39" s="21" t="s">
        <v>811</v>
      </c>
      <c r="D39" s="44">
        <v>1890808</v>
      </c>
      <c r="E39" s="44" t="s">
        <v>652</v>
      </c>
      <c r="F39" s="98">
        <v>9</v>
      </c>
      <c r="G39" s="21"/>
      <c r="H39" s="22">
        <f>51160/110*F39</f>
        <v>4185.818181818182</v>
      </c>
      <c r="I39" s="33">
        <v>0.54</v>
      </c>
      <c r="J39" s="24">
        <f>IFERROR(K39/H39,"")</f>
        <v>0.60869923048434205</v>
      </c>
      <c r="K39" s="22">
        <f>59168/209*F39</f>
        <v>2547.9043062200953</v>
      </c>
      <c r="L39" s="21">
        <v>9</v>
      </c>
      <c r="M39" s="21"/>
      <c r="N39" s="21"/>
      <c r="O39" s="21"/>
      <c r="P39" s="21"/>
      <c r="Q39" s="21"/>
      <c r="R39" s="21"/>
      <c r="S39" s="21"/>
      <c r="T39" s="21"/>
      <c r="U39" s="25">
        <v>225</v>
      </c>
      <c r="V39" s="25">
        <f>H39*U39*I39/15</f>
        <v>33905.127272727274</v>
      </c>
      <c r="W39" s="25">
        <v>243.46</v>
      </c>
      <c r="X39" s="25">
        <f>960318.02/209*F39</f>
        <v>41353.407559808613</v>
      </c>
      <c r="Y39" s="25">
        <f>IF(B39="FRANCISCO CAMACHO",((F39*42)+(G39*42)),IF(B39="DANILO VIANA",((F39*60)+(G39*60)),0))</f>
        <v>0</v>
      </c>
      <c r="Z39" s="264">
        <f>22506.82/110*F39</f>
        <v>1841.467090909091</v>
      </c>
      <c r="AA39" s="25">
        <v>0</v>
      </c>
      <c r="AB39" s="264">
        <f>3093.75/110*F39</f>
        <v>253.125</v>
      </c>
      <c r="AC39" s="25">
        <f>F39*38</f>
        <v>342</v>
      </c>
      <c r="AD39" s="25">
        <f>IF(F39="",G39*4.11,F39*4.11)</f>
        <v>36.99</v>
      </c>
      <c r="AE39" s="25">
        <f>1920.64/209*F39</f>
        <v>82.706985645933017</v>
      </c>
      <c r="AF39" s="25">
        <f>V39+Y39+Z39+AA39+AB39+AC39+AD39</f>
        <v>36378.709363636364</v>
      </c>
      <c r="AG39" s="25">
        <f>IFERROR(IFERROR((H39*W39*J39/15)-AE39,""),"")</f>
        <v>41271.478507177031</v>
      </c>
      <c r="AH39" s="26">
        <f>IFERROR(AG39-AF39,0)</f>
        <v>4892.7691435406668</v>
      </c>
      <c r="AI39" s="25">
        <f>(AH39/$AH$58)*$AL$28</f>
        <v>104.97191960753327</v>
      </c>
      <c r="AJ39" s="25">
        <f>(AH39-AI39)*70%</f>
        <v>3351.4580567531934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5"/>
      <c r="AC40" s="21"/>
      <c r="AD40" s="21"/>
      <c r="AE40" s="21"/>
      <c r="AF40" s="21"/>
      <c r="AG40" s="21"/>
      <c r="AH40" s="26">
        <f>IFERROR(AH39/F39,0)+IFERROR(AH39/G39,0)</f>
        <v>543.64101594896295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0.11855085692386387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45254</v>
      </c>
      <c r="B44" s="21" t="s">
        <v>793</v>
      </c>
      <c r="C44" s="21" t="s">
        <v>794</v>
      </c>
      <c r="D44" s="44">
        <v>1890808</v>
      </c>
      <c r="E44" s="44" t="s">
        <v>652</v>
      </c>
      <c r="F44" s="21">
        <v>200</v>
      </c>
      <c r="G44" s="21"/>
      <c r="H44" s="22">
        <v>102600</v>
      </c>
      <c r="I44" s="33">
        <v>0.55000000000000004</v>
      </c>
      <c r="J44" s="24">
        <f>IFERROR(K44/H44,"")</f>
        <v>0.55185278453976505</v>
      </c>
      <c r="K44" s="22">
        <f>59168/209*F44</f>
        <v>56620.095693779898</v>
      </c>
      <c r="L44" s="21">
        <v>53</v>
      </c>
      <c r="M44" s="21">
        <v>99</v>
      </c>
      <c r="N44" s="21">
        <v>44</v>
      </c>
      <c r="O44" s="21">
        <v>3</v>
      </c>
      <c r="P44" s="21">
        <v>1</v>
      </c>
      <c r="Q44" s="21"/>
      <c r="R44" s="21"/>
      <c r="S44" s="21"/>
      <c r="T44" s="21"/>
      <c r="U44" s="25">
        <v>230</v>
      </c>
      <c r="V44" s="25">
        <f>H44*U44*I44/15</f>
        <v>865260.00000000012</v>
      </c>
      <c r="W44" s="25">
        <v>243.46</v>
      </c>
      <c r="X44" s="25">
        <f>960318.02/209*F44</f>
        <v>918964.61244019133</v>
      </c>
      <c r="Y44" s="25">
        <f>IF(B44="FRANCISCO CAMACHO",((F44*42)+(G44*42)),IF(B44="DANILO VIANA",((F44*60)+(G44*60)),0))</f>
        <v>0</v>
      </c>
      <c r="Z44" s="264">
        <v>37905.4</v>
      </c>
      <c r="AA44" s="25">
        <v>0</v>
      </c>
      <c r="AB44" s="264">
        <v>5750</v>
      </c>
      <c r="AC44" s="25">
        <f>F44*38</f>
        <v>7600</v>
      </c>
      <c r="AD44" s="25">
        <f>IF(F44="",G44*4.11,F44*4.11)</f>
        <v>822.00000000000011</v>
      </c>
      <c r="AE44" s="25">
        <f>1920.64/209*F44</f>
        <v>1837.9330143540669</v>
      </c>
      <c r="AF44" s="25">
        <f>V44+Y44+Z44+AA44+AB44+AC44+AD44</f>
        <v>917337.40000000014</v>
      </c>
      <c r="AG44" s="25">
        <f>IFERROR(IFERROR((H44*W44*J44/15)-AE44,""),"")</f>
        <v>917143.96682615613</v>
      </c>
      <c r="AH44" s="26">
        <f>IFERROR(AG44-AF44,0)</f>
        <v>-193.43317384400871</v>
      </c>
      <c r="AI44" s="25">
        <f>(AH44/$AH$58)*$AL$28</f>
        <v>-4.1500121870637612</v>
      </c>
      <c r="AJ44" s="25">
        <f>(AH44-AI44)*70%</f>
        <v>-132.49821315986145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5"/>
      <c r="AC45" s="21"/>
      <c r="AD45" s="21"/>
      <c r="AE45" s="21"/>
      <c r="AF45" s="21"/>
      <c r="AG45" s="21"/>
      <c r="AH45" s="26">
        <f>IFERROR(AH44/F44,0)+IFERROR(AH44/G44,0)</f>
        <v>-0.96716586922004355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-2.1090818981604206E-4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45255</v>
      </c>
      <c r="B49" s="21" t="s">
        <v>812</v>
      </c>
      <c r="C49" s="21" t="s">
        <v>813</v>
      </c>
      <c r="D49" s="44">
        <v>1895213</v>
      </c>
      <c r="E49" s="44" t="s">
        <v>652</v>
      </c>
      <c r="F49" s="21">
        <v>203</v>
      </c>
      <c r="G49" s="21"/>
      <c r="H49" s="22">
        <f>111660/204*F49</f>
        <v>111112.64705882354</v>
      </c>
      <c r="I49" s="33">
        <v>0.55000000000000004</v>
      </c>
      <c r="J49" s="24">
        <f>IFERROR(K49/H49,"")</f>
        <v>0.56108824378015942</v>
      </c>
      <c r="K49" s="22">
        <v>62344</v>
      </c>
      <c r="L49" s="21"/>
      <c r="M49" s="21">
        <v>25</v>
      </c>
      <c r="N49" s="21">
        <v>121</v>
      </c>
      <c r="O49" s="21">
        <v>53</v>
      </c>
      <c r="P49" s="21">
        <v>4</v>
      </c>
      <c r="Q49" s="21"/>
      <c r="R49" s="21"/>
      <c r="S49" s="21"/>
      <c r="T49" s="21"/>
      <c r="U49" s="25">
        <v>230</v>
      </c>
      <c r="V49" s="25">
        <f>H49*U49*I49/15</f>
        <v>937049.99019607867</v>
      </c>
      <c r="W49" s="25">
        <v>237.27</v>
      </c>
      <c r="X49" s="25">
        <f>1204612.35/248*F49</f>
        <v>986033.49616935488</v>
      </c>
      <c r="Y49" s="25">
        <f>IF(B49="FRANCISCO CAMACHO",((F49*42)+(G49*42)),IF(B49="DANILO VIANA",((F49*60)+(G49*60)),0))</f>
        <v>0</v>
      </c>
      <c r="Z49" s="264">
        <f>15445.4/204*F49</f>
        <v>15369.687254901959</v>
      </c>
      <c r="AA49" s="25">
        <v>0</v>
      </c>
      <c r="AB49" s="264">
        <f>5865/204*F49</f>
        <v>5836.25</v>
      </c>
      <c r="AC49" s="25">
        <f>F49*38</f>
        <v>7714</v>
      </c>
      <c r="AD49" s="25">
        <f>IF(F49="",G49*4.11,F49*4.11)</f>
        <v>834.33</v>
      </c>
      <c r="AE49" s="25">
        <f>2409.22/248*F49</f>
        <v>1972.0631451612901</v>
      </c>
      <c r="AF49" s="25">
        <f>V49+Y49+Z49+AA49+AB49+AC49+AD49</f>
        <v>966804.2574509806</v>
      </c>
      <c r="AG49" s="25">
        <f>IFERROR(IFERROR((H49*W49*J49/15)-AE49,""),"")</f>
        <v>984185.32885483862</v>
      </c>
      <c r="AH49" s="26">
        <f>IFERROR(AG49-AF49,0)</f>
        <v>17381.071403858019</v>
      </c>
      <c r="AI49" s="25">
        <f>(AH49/$AH$58)*$AL$28</f>
        <v>372.90221070562438</v>
      </c>
      <c r="AJ49" s="25">
        <f>(AH49-AI49)*70%</f>
        <v>11905.718435206676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5"/>
      <c r="AC50" s="21"/>
      <c r="AD50" s="21"/>
      <c r="AE50" s="21"/>
      <c r="AF50" s="21"/>
      <c r="AG50" s="21"/>
      <c r="AH50" s="26">
        <f>IFERROR(AH49/F49,0)+IFERROR(AH49/G49,0)</f>
        <v>85.62104139831537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1.7660364256884407E-2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L52" s="6"/>
      <c r="AM52" s="6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45255</v>
      </c>
      <c r="B54" s="21" t="s">
        <v>812</v>
      </c>
      <c r="C54" s="21" t="s">
        <v>813</v>
      </c>
      <c r="D54" s="44"/>
      <c r="E54" s="44" t="s">
        <v>652</v>
      </c>
      <c r="F54" s="21">
        <v>1</v>
      </c>
      <c r="G54" s="21"/>
      <c r="H54" s="22">
        <f>111660/204*F54</f>
        <v>547.35294117647061</v>
      </c>
      <c r="I54" s="33">
        <v>0.55000000000000004</v>
      </c>
      <c r="J54" s="24">
        <f>IFERROR(K54/H54,"")</f>
        <v>0</v>
      </c>
      <c r="K54" s="22">
        <v>0</v>
      </c>
      <c r="L54" s="21"/>
      <c r="M54" s="21"/>
      <c r="N54" s="21"/>
      <c r="O54" s="21"/>
      <c r="P54" s="21"/>
      <c r="Q54" s="21"/>
      <c r="R54" s="21"/>
      <c r="S54" s="21"/>
      <c r="T54" s="21"/>
      <c r="U54" s="25">
        <v>230</v>
      </c>
      <c r="V54" s="25">
        <f>H54*U54*I54/15</f>
        <v>4616.0098039215691</v>
      </c>
      <c r="W54" s="25">
        <v>0</v>
      </c>
      <c r="X54" s="25"/>
      <c r="Y54" s="25">
        <f>IF(B54="FRANCISCO CAMACHO",((F54*42)+(G54*42)),IF(B54="DANILO VIANA",((F54*60)+(G54*60)),0))</f>
        <v>0</v>
      </c>
      <c r="Z54" s="264">
        <f>15445.4/204*F54</f>
        <v>75.712745098039207</v>
      </c>
      <c r="AA54" s="25">
        <v>0</v>
      </c>
      <c r="AB54" s="264">
        <f>5865/204*F54</f>
        <v>28.75</v>
      </c>
      <c r="AC54" s="25">
        <f>F54*38</f>
        <v>38</v>
      </c>
      <c r="AD54" s="25">
        <f>IF(F54="",G54*4.11,F54*4.11)</f>
        <v>4.1100000000000003</v>
      </c>
      <c r="AE54" s="25">
        <v>0</v>
      </c>
      <c r="AF54" s="25">
        <f>V54+Y54+Z54+AA54+AB54+AC54+AD54</f>
        <v>4762.5825490196075</v>
      </c>
      <c r="AG54" s="25">
        <f>IFERROR(IFERROR((H54*W54*J54/15)-AE54,""),"")</f>
        <v>0</v>
      </c>
      <c r="AH54" s="26">
        <f>IFERROR(AG54-AF54,0)</f>
        <v>-4762.5825490196075</v>
      </c>
      <c r="AI54" s="25">
        <f>(AH54/$AH$58)*$AL$28</f>
        <v>-102.17883120848531</v>
      </c>
      <c r="AJ54" s="25">
        <f>(AH54-AI54)*70%</f>
        <v>-3262.2826024677852</v>
      </c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-4762.5825490196075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 t="str">
        <f>IFERROR(AH54/AG54,"")</f>
        <v/>
      </c>
    </row>
    <row r="57" spans="1:39" ht="15" thickBot="1" x14ac:dyDescent="0.4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ht="16" thickBot="1" x14ac:dyDescent="0.4">
      <c r="A58" s="377" t="s">
        <v>803</v>
      </c>
      <c r="B58" s="378"/>
      <c r="C58" s="378"/>
      <c r="D58" s="378"/>
      <c r="E58" s="378"/>
      <c r="F58" s="163">
        <f>SUM(F4:F57)</f>
        <v>1462</v>
      </c>
      <c r="G58" s="163">
        <f>SUM(G4:G57)</f>
        <v>0</v>
      </c>
      <c r="H58" s="30"/>
      <c r="I58" s="30"/>
      <c r="J58" s="30"/>
      <c r="K58" s="30"/>
      <c r="L58" s="46"/>
      <c r="M58" s="46"/>
      <c r="N58" s="46"/>
      <c r="O58" s="46"/>
      <c r="P58" s="46"/>
      <c r="Q58" s="46"/>
      <c r="R58" s="46"/>
      <c r="S58" s="46"/>
      <c r="T58" s="46"/>
      <c r="U58" s="30"/>
      <c r="V58" s="31">
        <f>SUM(V4:V57)</f>
        <v>6422678.2800000012</v>
      </c>
      <c r="W58" s="31"/>
      <c r="X58" s="31"/>
      <c r="Y58" s="31">
        <f t="shared" ref="Y58:AG58" si="0">SUM(Y4:Y57)</f>
        <v>39816</v>
      </c>
      <c r="Z58" s="31">
        <f t="shared" si="0"/>
        <v>497231.33</v>
      </c>
      <c r="AA58" s="31">
        <f t="shared" si="0"/>
        <v>0</v>
      </c>
      <c r="AB58" s="31">
        <f t="shared" si="0"/>
        <v>41288.125</v>
      </c>
      <c r="AC58" s="31">
        <f t="shared" si="0"/>
        <v>19532</v>
      </c>
      <c r="AD58" s="31">
        <f t="shared" si="0"/>
        <v>6008.82</v>
      </c>
      <c r="AE58" s="31">
        <f t="shared" si="0"/>
        <v>14269.07314516129</v>
      </c>
      <c r="AF58" s="31">
        <f t="shared" si="0"/>
        <v>7026554.5550000006</v>
      </c>
      <c r="AG58" s="31">
        <f t="shared" si="0"/>
        <v>7120443.0130348383</v>
      </c>
      <c r="AH58" s="161">
        <f>AH4+AH9+AH14+AH19+AH24+AH29+AH34+AH39+AH44+AH49+AH54</f>
        <v>93888.458034837968</v>
      </c>
      <c r="AI58" s="165">
        <f>SUM(AI4:AI57)</f>
        <v>2014.3299999999992</v>
      </c>
      <c r="AJ58" s="165">
        <f>SUM(AJ4:AJ57)</f>
        <v>64311.889624386553</v>
      </c>
    </row>
    <row r="60" spans="1:39" x14ac:dyDescent="0.35">
      <c r="V60" s="162"/>
      <c r="AI60" s="25"/>
    </row>
  </sheetData>
  <mergeCells count="3">
    <mergeCell ref="U2:AC2"/>
    <mergeCell ref="A58:E58"/>
    <mergeCell ref="AL35:AN37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65"/>
  <sheetViews>
    <sheetView zoomScale="87" zoomScaleNormal="87" workbookViewId="0">
      <pane xSplit="7" ySplit="3" topLeftCell="S20" activePane="bottomRight" state="frozen"/>
      <selection activeCell="X39" sqref="X39"/>
      <selection pane="topRight" activeCell="X39" sqref="X39"/>
      <selection pane="bottomLeft" activeCell="X39" sqref="X39"/>
      <selection pane="bottomRight" activeCell="X39" sqref="X39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31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AF63</f>
        <v>5849614.3872400001</v>
      </c>
      <c r="AM3" s="164">
        <f>AH63-AI63</f>
        <v>160448.89487449441</v>
      </c>
    </row>
    <row r="4" spans="1:40" x14ac:dyDescent="0.35">
      <c r="A4" s="20">
        <v>45256</v>
      </c>
      <c r="B4" s="21" t="s">
        <v>632</v>
      </c>
      <c r="C4" s="21" t="s">
        <v>633</v>
      </c>
      <c r="D4" s="44"/>
      <c r="E4" s="44" t="s">
        <v>652</v>
      </c>
      <c r="F4" s="21">
        <v>200</v>
      </c>
      <c r="G4" s="21"/>
      <c r="H4" s="22">
        <v>122380</v>
      </c>
      <c r="I4" s="33">
        <v>0.55000000000000004</v>
      </c>
      <c r="J4" s="24">
        <f>IFERROR(K4/H4,"")</f>
        <v>0.53876041836901456</v>
      </c>
      <c r="K4" s="22">
        <v>65933.5</v>
      </c>
      <c r="L4" s="21">
        <v>3</v>
      </c>
      <c r="M4" s="21">
        <v>105</v>
      </c>
      <c r="N4" s="21">
        <v>73</v>
      </c>
      <c r="O4" s="21">
        <v>15</v>
      </c>
      <c r="P4" s="21">
        <v>4</v>
      </c>
      <c r="Q4" s="21"/>
      <c r="R4" s="21"/>
      <c r="S4" s="21"/>
      <c r="T4" s="21"/>
      <c r="U4" s="25">
        <v>215</v>
      </c>
      <c r="V4" s="25">
        <f>H4*U4*I4/15</f>
        <v>964762.33333333349</v>
      </c>
      <c r="W4" s="25">
        <v>244.06</v>
      </c>
      <c r="X4" s="25">
        <v>1072785.72</v>
      </c>
      <c r="Y4" s="25">
        <f>IF(B4="FRANCISCO CAMACHO",((F4*42)+(G4*42)),IF(B4="DANILO VIANA",((F4*60)+(G4*60)),0))</f>
        <v>8400</v>
      </c>
      <c r="Z4" s="264">
        <f>45627.12+45399.6</f>
        <v>91026.72</v>
      </c>
      <c r="AA4" s="25">
        <v>0</v>
      </c>
      <c r="AB4" s="264">
        <v>5375</v>
      </c>
      <c r="AC4" s="25">
        <v>0</v>
      </c>
      <c r="AD4" s="25">
        <f>IF(F4="",G4*4.11,F4*4.11)</f>
        <v>822.00000000000011</v>
      </c>
      <c r="AE4" s="25">
        <v>2145.5700000000002</v>
      </c>
      <c r="AF4" s="25">
        <f>V4+Y4+Z4+AA4+AB4+AC4+AD4</f>
        <v>1070386.0533333335</v>
      </c>
      <c r="AG4" s="25">
        <f>IFERROR(IFERROR((H4*W4*J4/15)-AE4,""),"")</f>
        <v>1070636.4306666667</v>
      </c>
      <c r="AH4" s="26">
        <f>IFERROR(AG4-AF4,0)</f>
        <v>250.37733333325014</v>
      </c>
      <c r="AI4" s="25">
        <f>(AH4/$AH$63)*$AL$30</f>
        <v>12.759913770241416</v>
      </c>
      <c r="AJ4" s="25">
        <f>(AH4-AI4)*70%</f>
        <v>166.33219369410611</v>
      </c>
      <c r="AL4" s="166" t="s">
        <v>749</v>
      </c>
      <c r="AM4" s="167">
        <f>AM3/AL3</f>
        <v>2.742896954446913E-2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5"/>
      <c r="W5" s="21"/>
      <c r="X5" s="25"/>
      <c r="Y5" s="21"/>
      <c r="Z5" s="3"/>
      <c r="AA5" s="21"/>
      <c r="AB5" s="21"/>
      <c r="AC5" s="21"/>
      <c r="AD5" s="21"/>
      <c r="AE5" s="21"/>
      <c r="AF5" s="25"/>
      <c r="AG5" s="21"/>
      <c r="AH5" s="26">
        <f>IFERROR(AH4/F4,0)+IFERROR(AH4/G4,0)</f>
        <v>1.2518866666662507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2"/>
      <c r="I6" s="21"/>
      <c r="J6" s="21"/>
      <c r="K6" s="22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5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2.3385840997148258E-4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45257</v>
      </c>
      <c r="B9" s="21" t="s">
        <v>815</v>
      </c>
      <c r="C9" s="21" t="s">
        <v>816</v>
      </c>
      <c r="D9" s="44">
        <v>1895213</v>
      </c>
      <c r="E9" s="44" t="s">
        <v>652</v>
      </c>
      <c r="F9" s="21">
        <v>17</v>
      </c>
      <c r="G9" s="21"/>
      <c r="H9" s="22">
        <v>9463.33</v>
      </c>
      <c r="I9" s="33">
        <v>0.54</v>
      </c>
      <c r="J9" s="24">
        <f>IFERROR(K9/H9,"")</f>
        <v>0.51377263605939982</v>
      </c>
      <c r="K9" s="22">
        <f>5148/18*F9</f>
        <v>4862</v>
      </c>
      <c r="L9" s="21">
        <v>1</v>
      </c>
      <c r="M9" s="21">
        <v>13</v>
      </c>
      <c r="N9" s="21">
        <v>2</v>
      </c>
      <c r="O9" s="21">
        <v>1</v>
      </c>
      <c r="P9" s="21"/>
      <c r="Q9" s="21"/>
      <c r="R9" s="21"/>
      <c r="S9" s="21"/>
      <c r="T9" s="21"/>
      <c r="U9" s="25">
        <v>235</v>
      </c>
      <c r="V9" s="25">
        <f>H9*U9*I9/15</f>
        <v>80059.771800000002</v>
      </c>
      <c r="W9" s="25">
        <v>237.27</v>
      </c>
      <c r="X9" s="25">
        <f>1204612.35/248*F9</f>
        <v>82574.233669354842</v>
      </c>
      <c r="Y9" s="25">
        <f>IF(B9="FRANCISCO CAMACHO",((F9*42)+(G9*42)),IF(B9="DANILO VIANA",((F9*60)+(G9*60)),0))</f>
        <v>0</v>
      </c>
      <c r="Z9" s="264">
        <f>650/18*F9</f>
        <v>613.88888888888891</v>
      </c>
      <c r="AA9" s="25">
        <v>0</v>
      </c>
      <c r="AB9" s="264">
        <v>499.375</v>
      </c>
      <c r="AC9" s="25">
        <v>0</v>
      </c>
      <c r="AD9" s="25">
        <f>IF(F9="",G9*4.11,F9*4.11)</f>
        <v>69.87</v>
      </c>
      <c r="AE9" s="25">
        <f>2409.22/248*F9</f>
        <v>165.1481451612903</v>
      </c>
      <c r="AF9" s="25">
        <f>V9+Y9+Z9+AA9+AB9+AC9+AD9</f>
        <v>81242.905688888888</v>
      </c>
      <c r="AG9" s="25">
        <f>IFERROR(IFERROR((H9*W9*J9/15)-AE9,""),"")</f>
        <v>76741.967854838716</v>
      </c>
      <c r="AH9" s="26">
        <f>IFERROR(AG9-AF9,0)</f>
        <v>-4500.9378340501717</v>
      </c>
      <c r="AI9" s="25">
        <f>(AH9/$AH$63)*$AL$30</f>
        <v>-229.38010355456746</v>
      </c>
      <c r="AJ9" s="25">
        <f>(AH9-AI9)*70%</f>
        <v>-2990.0904113469228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-264.76104906177483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-5.8650279108869365E-2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45257</v>
      </c>
      <c r="B14" s="21" t="s">
        <v>815</v>
      </c>
      <c r="C14" s="21" t="s">
        <v>816</v>
      </c>
      <c r="D14" s="44">
        <v>1895213</v>
      </c>
      <c r="E14" s="44" t="s">
        <v>652</v>
      </c>
      <c r="F14" s="21">
        <v>1</v>
      </c>
      <c r="G14" s="21"/>
      <c r="H14" s="22">
        <v>556.66999999999996</v>
      </c>
      <c r="I14" s="33">
        <v>0.54</v>
      </c>
      <c r="J14" s="24">
        <f>IFERROR(K14/H14,"")</f>
        <v>0.51376937862647531</v>
      </c>
      <c r="K14" s="22">
        <f>5148/18*F14</f>
        <v>286</v>
      </c>
      <c r="L14" s="21">
        <v>1</v>
      </c>
      <c r="M14" s="21"/>
      <c r="N14" s="21"/>
      <c r="O14" s="21"/>
      <c r="P14" s="21"/>
      <c r="Q14" s="21"/>
      <c r="R14" s="21"/>
      <c r="S14" s="21"/>
      <c r="T14" s="21"/>
      <c r="U14" s="25">
        <v>212</v>
      </c>
      <c r="V14" s="25">
        <f>H14*U14*I14/15</f>
        <v>4248.5054399999999</v>
      </c>
      <c r="W14" s="25">
        <v>237.27</v>
      </c>
      <c r="X14" s="25">
        <f>1204612.35/248*F14</f>
        <v>4857.3078629032261</v>
      </c>
      <c r="Y14" s="25">
        <f>IF(B14="FRANCISCO CAMACHO",((F14*42)+(G14*42)),IF(B14="DANILO VIANA",((F14*60)+(G14*60)),0))</f>
        <v>0</v>
      </c>
      <c r="Z14" s="264">
        <f>650/18*F14</f>
        <v>36.111111111111114</v>
      </c>
      <c r="AA14" s="25">
        <v>0</v>
      </c>
      <c r="AB14" s="264">
        <v>26.5</v>
      </c>
      <c r="AC14" s="25">
        <v>0</v>
      </c>
      <c r="AD14" s="25">
        <f>IF(F14="",G14*4.11,F14*4.11)</f>
        <v>4.1100000000000003</v>
      </c>
      <c r="AE14" s="25">
        <f>2409.22/248*F14</f>
        <v>9.7145967741935468</v>
      </c>
      <c r="AF14" s="25">
        <f>V14+Y14+Z14+AA14+AB14+AC14+AD14</f>
        <v>4315.2265511111109</v>
      </c>
      <c r="AG14" s="25">
        <f>IFERROR(IFERROR((H14*W14*J14/15)-AE14,""),"")</f>
        <v>4514.2334032258068</v>
      </c>
      <c r="AH14" s="26">
        <f>IFERROR(AG14-AF14,0)</f>
        <v>199.0068521146959</v>
      </c>
      <c r="AI14" s="25">
        <f>(AH14/$AH$63)*$AL$30</f>
        <v>10.141933532341382</v>
      </c>
      <c r="AJ14" s="25">
        <f>(AH14-AI14)*70%</f>
        <v>132.20544300764817</v>
      </c>
      <c r="AL14" s="14" t="e">
        <f>F4+G4+F9+G9+F14+G14+F19+G19+F24+G24+F29+G29+F34+G34+F39+G39+F44+G44+F49+G49+F54+G54+F59+G59+#REF!+#REF!+#REF!+#REF!+#REF!+#REF!+#REF!+#REF!+#REF!+#REF!+#REF!+#REF!+#REF!+#REF!+#REF!+#REF!+#REF!+#REF!+#REF!+#REF!+#REF!+#REF!+#REF!+#REF!+#REF!+#REF!+#REF!+#REF!+#REF!+#REF!+#REF!+#REF!</f>
        <v>#REF!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199.0068521146959</v>
      </c>
      <c r="AL15" s="11">
        <f>AH63</f>
        <v>169064.90487449442</v>
      </c>
      <c r="AM15" s="11">
        <f>AL15*30%</f>
        <v>50719.471462348323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4.4084307198756813E-2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45257</v>
      </c>
      <c r="B19" s="21" t="s">
        <v>817</v>
      </c>
      <c r="C19" s="21" t="s">
        <v>818</v>
      </c>
      <c r="D19" s="44">
        <v>1895213</v>
      </c>
      <c r="E19" s="44" t="s">
        <v>652</v>
      </c>
      <c r="F19" s="21">
        <v>27</v>
      </c>
      <c r="G19" s="21"/>
      <c r="H19" s="22">
        <v>16220</v>
      </c>
      <c r="I19" s="33">
        <v>0.55000000000000004</v>
      </c>
      <c r="J19" s="24">
        <f>IFERROR(K19/H19,"")</f>
        <v>0.53412453760789147</v>
      </c>
      <c r="K19" s="22">
        <v>8663.5</v>
      </c>
      <c r="L19" s="21">
        <v>8</v>
      </c>
      <c r="M19" s="21">
        <v>13</v>
      </c>
      <c r="N19" s="21">
        <v>5</v>
      </c>
      <c r="O19" s="21">
        <v>1</v>
      </c>
      <c r="P19" s="21"/>
      <c r="Q19" s="21"/>
      <c r="R19" s="21"/>
      <c r="S19" s="21"/>
      <c r="T19" s="21"/>
      <c r="U19" s="25">
        <v>235</v>
      </c>
      <c r="V19" s="25">
        <f>H19*U19*I19/15</f>
        <v>139762.33333333334</v>
      </c>
      <c r="W19" s="25">
        <v>237.27</v>
      </c>
      <c r="X19" s="25">
        <f>1204612.35/248*F19</f>
        <v>131147.31229838711</v>
      </c>
      <c r="Y19" s="25">
        <f>IF(B19="FRANCISCO CAMACHO",((F19*42)+(G19*42)),IF(B19="DANILO VIANA",((F19*60)+(G19*60)),0))</f>
        <v>0</v>
      </c>
      <c r="Z19" s="264">
        <v>850</v>
      </c>
      <c r="AA19" s="25">
        <v>0</v>
      </c>
      <c r="AB19" s="264">
        <v>793.125</v>
      </c>
      <c r="AC19" s="25">
        <v>0</v>
      </c>
      <c r="AD19" s="25">
        <f>IF(F19="",G19*4.11,F19*4.11)</f>
        <v>110.97000000000001</v>
      </c>
      <c r="AE19" s="25">
        <f>2409.22/248*F19</f>
        <v>262.29411290322577</v>
      </c>
      <c r="AF19" s="25">
        <f>V19+Y19+Z19+AA19+AB19+AC19+AD19</f>
        <v>141516.42833333334</v>
      </c>
      <c r="AG19" s="25">
        <f>IFERROR(IFERROR((H19*W19*J19/15)-AE19,""),"")</f>
        <v>136776.94888709678</v>
      </c>
      <c r="AH19" s="26">
        <f>IFERROR(AG19-AF19,0)</f>
        <v>-4739.479446236568</v>
      </c>
      <c r="AI19" s="25">
        <f>(AH19/$AH$63)*$AL$30</f>
        <v>-241.53683660061176</v>
      </c>
      <c r="AJ19" s="25">
        <f>(AH19-AI19)*70%</f>
        <v>-3148.5598267451696</v>
      </c>
      <c r="AL19" s="178">
        <v>2597.85</v>
      </c>
      <c r="AM19" s="6" t="s">
        <v>814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5"/>
      <c r="W20" s="21"/>
      <c r="X20" s="25"/>
      <c r="Y20" s="21"/>
      <c r="Z20" s="3"/>
      <c r="AA20" s="21"/>
      <c r="AB20" s="21"/>
      <c r="AC20" s="21"/>
      <c r="AD20" s="21"/>
      <c r="AE20" s="21"/>
      <c r="AF20" s="25"/>
      <c r="AG20" s="21"/>
      <c r="AH20" s="26">
        <f>IFERROR(AH19/F19,0)+IFERROR(AH19/G19,0)</f>
        <v>-175.53627578653956</v>
      </c>
      <c r="AL20" s="178">
        <v>220</v>
      </c>
      <c r="AM20" s="6" t="s">
        <v>728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2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5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-3.4651156388557806E-2</v>
      </c>
      <c r="AL21" s="178">
        <v>500</v>
      </c>
      <c r="AM21" s="6" t="s">
        <v>823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430</v>
      </c>
      <c r="AM22" s="6" t="s">
        <v>824</v>
      </c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>
        <v>226.21</v>
      </c>
      <c r="AM23" s="6" t="s">
        <v>825</v>
      </c>
      <c r="AN23" s="174"/>
    </row>
    <row r="24" spans="1:40" x14ac:dyDescent="0.35">
      <c r="A24" s="20">
        <v>45257</v>
      </c>
      <c r="B24" s="21" t="s">
        <v>632</v>
      </c>
      <c r="C24" s="21" t="s">
        <v>611</v>
      </c>
      <c r="D24" s="44">
        <v>1890968</v>
      </c>
      <c r="E24" s="44" t="s">
        <v>652</v>
      </c>
      <c r="F24" s="21">
        <v>100</v>
      </c>
      <c r="G24" s="21"/>
      <c r="H24" s="22">
        <v>53102</v>
      </c>
      <c r="I24" s="33">
        <v>0.55000000000000004</v>
      </c>
      <c r="J24" s="24">
        <f>IFERROR(K24/H24,"")</f>
        <v>0.53665586983541114</v>
      </c>
      <c r="K24" s="22">
        <v>28497.5</v>
      </c>
      <c r="L24" s="21">
        <v>41</v>
      </c>
      <c r="M24" s="21">
        <v>41</v>
      </c>
      <c r="N24" s="21">
        <v>17</v>
      </c>
      <c r="O24" s="21">
        <v>1</v>
      </c>
      <c r="P24" s="21"/>
      <c r="Q24" s="21"/>
      <c r="R24" s="21"/>
      <c r="S24" s="21"/>
      <c r="T24" s="21"/>
      <c r="U24" s="25">
        <v>210</v>
      </c>
      <c r="V24" s="25">
        <f>H24*U24*I24/15</f>
        <v>408885.40000000008</v>
      </c>
      <c r="W24" s="25">
        <v>247.85</v>
      </c>
      <c r="X24" s="25">
        <f>960712.45/200*F24</f>
        <v>480356.22499999998</v>
      </c>
      <c r="Y24" s="25">
        <f>IF(B24="FRANCISCO CAMACHO",((F24*42)+(G24*42)),IF(B24="DANILO VIANA",((F24*60)+(G24*60)),0))</f>
        <v>4200</v>
      </c>
      <c r="Z24" s="264">
        <v>42089.43</v>
      </c>
      <c r="AA24" s="25">
        <v>0</v>
      </c>
      <c r="AB24" s="264">
        <v>2625</v>
      </c>
      <c r="AC24" s="25">
        <v>0</v>
      </c>
      <c r="AD24" s="25">
        <f>IF(F24="",G24*4.11,F24*4.11)</f>
        <v>411.00000000000006</v>
      </c>
      <c r="AE24" s="25">
        <f>1921.42/200*F24</f>
        <v>960.71</v>
      </c>
      <c r="AF24" s="25">
        <f>V24+Y24+Z24+AA24+AB24+AC24+AD24</f>
        <v>458210.83000000007</v>
      </c>
      <c r="AG24" s="25">
        <f>IFERROR(IFERROR((H24*W24*J24/15)-AE24,""),"")</f>
        <v>469912.98166666663</v>
      </c>
      <c r="AH24" s="26">
        <f>IFERROR(AG24-AF24,0)</f>
        <v>11702.151666666556</v>
      </c>
      <c r="AI24" s="25">
        <f>(AH24/$AH$63)*$AL$30</f>
        <v>596.37365813066845</v>
      </c>
      <c r="AJ24" s="25">
        <f>(AH24-AI24)*70%</f>
        <v>7774.0446059751202</v>
      </c>
      <c r="AL24" s="178">
        <v>380</v>
      </c>
      <c r="AM24" s="6" t="s">
        <v>826</v>
      </c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5"/>
      <c r="W25" s="21"/>
      <c r="X25" s="25"/>
      <c r="Y25" s="21"/>
      <c r="Z25" s="3"/>
      <c r="AA25" s="21"/>
      <c r="AB25" s="21"/>
      <c r="AC25" s="21"/>
      <c r="AD25" s="21"/>
      <c r="AE25" s="21"/>
      <c r="AF25" s="25"/>
      <c r="AG25" s="21"/>
      <c r="AH25" s="26">
        <f>IFERROR(AH24/F24,0)+IFERROR(AH24/G24,0)</f>
        <v>117.02151666666556</v>
      </c>
      <c r="AL25" s="178">
        <v>697.95</v>
      </c>
      <c r="AM25" s="6" t="s">
        <v>827</v>
      </c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2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5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2.490280567513134E-2</v>
      </c>
      <c r="AL26" s="178">
        <v>3549.15</v>
      </c>
      <c r="AM26" s="6" t="s">
        <v>828</v>
      </c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>
        <v>14.85</v>
      </c>
      <c r="AM27" s="6" t="s">
        <v>829</v>
      </c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178"/>
      <c r="AM28" s="6"/>
      <c r="AN28" s="174"/>
    </row>
    <row r="29" spans="1:40" x14ac:dyDescent="0.35">
      <c r="A29" s="20">
        <v>45257</v>
      </c>
      <c r="B29" s="21" t="s">
        <v>632</v>
      </c>
      <c r="C29" s="21" t="s">
        <v>819</v>
      </c>
      <c r="D29" s="44">
        <v>1890968</v>
      </c>
      <c r="E29" s="44" t="s">
        <v>652</v>
      </c>
      <c r="F29" s="21">
        <v>100</v>
      </c>
      <c r="G29" s="21"/>
      <c r="H29" s="22">
        <f>55660/104*F29</f>
        <v>53519.230769230773</v>
      </c>
      <c r="I29" s="33">
        <v>0.55000000000000004</v>
      </c>
      <c r="J29" s="24">
        <f>IFERROR(K29/H29,"")</f>
        <v>0.5539037010420409</v>
      </c>
      <c r="K29" s="22">
        <v>29644.5</v>
      </c>
      <c r="L29" s="21">
        <v>39</v>
      </c>
      <c r="M29" s="21">
        <v>37</v>
      </c>
      <c r="N29" s="21">
        <v>18</v>
      </c>
      <c r="O29" s="21">
        <v>6</v>
      </c>
      <c r="P29" s="21"/>
      <c r="Q29" s="21"/>
      <c r="R29" s="21"/>
      <c r="S29" s="21"/>
      <c r="T29" s="21"/>
      <c r="U29" s="25">
        <v>215</v>
      </c>
      <c r="V29" s="25">
        <f>H29*U29*I29/15</f>
        <v>421909.93589743593</v>
      </c>
      <c r="W29" s="25">
        <v>247.85</v>
      </c>
      <c r="X29" s="25">
        <f>960712.45/200*F29</f>
        <v>480356.22499999998</v>
      </c>
      <c r="Y29" s="25">
        <f>IF(B29="FRANCISCO CAMACHO",((F29*42)+(G29*42)),IF(B29="DANILO VIANA",((F29*60)+(G29*60)),0))</f>
        <v>4200</v>
      </c>
      <c r="Z29" s="264">
        <f>47134/104*F29</f>
        <v>45321.153846153844</v>
      </c>
      <c r="AA29" s="25">
        <v>0</v>
      </c>
      <c r="AB29" s="264">
        <f>2795/104*F29</f>
        <v>2687.5</v>
      </c>
      <c r="AC29" s="25">
        <v>0</v>
      </c>
      <c r="AD29" s="25">
        <f>IF(F29="",G29*4.11,F29*4.11)</f>
        <v>411.00000000000006</v>
      </c>
      <c r="AE29" s="25">
        <f>1921.42/200*F29</f>
        <v>960.71</v>
      </c>
      <c r="AF29" s="25">
        <f>V29+Y29+Z29+AA29+AB29+AC29+AD29</f>
        <v>474529.58974358975</v>
      </c>
      <c r="AG29" s="25">
        <f>IFERROR(IFERROR((H29*W29*J29/15)-AE29,""),"")</f>
        <v>488865.24499999994</v>
      </c>
      <c r="AH29" s="26">
        <f>IFERROR(AG29-AF29,0)</f>
        <v>14335.655256410188</v>
      </c>
      <c r="AI29" s="25">
        <f>(AH29/$AH$63)*$AL$30</f>
        <v>730.58420455431087</v>
      </c>
      <c r="AJ29" s="25">
        <f>(AH29-AI29)*70%</f>
        <v>9523.5497362991136</v>
      </c>
      <c r="AL29" s="178"/>
      <c r="AM29" s="6"/>
      <c r="AN29" s="174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5"/>
      <c r="AC30" s="21"/>
      <c r="AD30" s="21"/>
      <c r="AE30" s="21"/>
      <c r="AF30" s="21"/>
      <c r="AG30" s="21"/>
      <c r="AH30" s="26">
        <f>IFERROR(AH29/F29,0)+IFERROR(AH29/G29,0)</f>
        <v>143.35655256410189</v>
      </c>
      <c r="AL30" s="214">
        <f>SUM(AL19:AL29)</f>
        <v>8616.01</v>
      </c>
      <c r="AM30" s="189" t="s">
        <v>673</v>
      </c>
      <c r="AN30" s="191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2.9324349405141677E-2</v>
      </c>
      <c r="AL31" s="57"/>
      <c r="AM31" s="6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118" t="s">
        <v>22</v>
      </c>
      <c r="AN32" s="12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247">
        <f>AL15-AL30</f>
        <v>160448.89487449441</v>
      </c>
      <c r="AM33" s="248">
        <f>AL33*30%</f>
        <v>48134.668462348323</v>
      </c>
      <c r="AN33" s="12" t="s">
        <v>847</v>
      </c>
    </row>
    <row r="34" spans="1:40" x14ac:dyDescent="0.35">
      <c r="A34" s="20">
        <v>45257</v>
      </c>
      <c r="B34" s="21" t="s">
        <v>632</v>
      </c>
      <c r="C34" s="21" t="s">
        <v>819</v>
      </c>
      <c r="D34" s="44">
        <v>1895102</v>
      </c>
      <c r="E34" s="44" t="s">
        <v>652</v>
      </c>
      <c r="F34" s="21">
        <v>4</v>
      </c>
      <c r="G34" s="21"/>
      <c r="H34" s="22">
        <f>55660/104*F34</f>
        <v>2140.7692307692309</v>
      </c>
      <c r="I34" s="33">
        <v>0.55000000000000004</v>
      </c>
      <c r="J34" s="24">
        <f>IFERROR(K34/H34,"")</f>
        <v>0.57152353575278469</v>
      </c>
      <c r="K34" s="22">
        <v>1223.5</v>
      </c>
      <c r="L34" s="21">
        <v>1</v>
      </c>
      <c r="M34" s="21">
        <v>1</v>
      </c>
      <c r="N34" s="21">
        <v>2</v>
      </c>
      <c r="O34" s="21"/>
      <c r="P34" s="21"/>
      <c r="Q34" s="21"/>
      <c r="R34" s="21"/>
      <c r="S34" s="21"/>
      <c r="T34" s="21"/>
      <c r="U34" s="25">
        <v>215</v>
      </c>
      <c r="V34" s="25">
        <f>H34*U34*I34/15</f>
        <v>16876.397435897437</v>
      </c>
      <c r="W34" s="25">
        <v>252.21</v>
      </c>
      <c r="X34" s="25">
        <f>915808.04/208*F34</f>
        <v>17611.693076923078</v>
      </c>
      <c r="Y34" s="25">
        <f>IF(B34="FRANCISCO CAMACHO",((F34*42)+(G34*42)),IF(B34="DANILO VIANA",((F34*60)+(G34*60)),0))</f>
        <v>168</v>
      </c>
      <c r="Z34" s="264">
        <f>47134/104*F34</f>
        <v>1812.8461538461538</v>
      </c>
      <c r="AA34" s="25">
        <v>0</v>
      </c>
      <c r="AB34" s="264">
        <f>2795/104*F34</f>
        <v>107.5</v>
      </c>
      <c r="AC34" s="25">
        <v>0</v>
      </c>
      <c r="AD34" s="25">
        <f>IF(F34="",G34*4.11,F34*4.11)</f>
        <v>16.440000000000001</v>
      </c>
      <c r="AE34" s="25">
        <f>1831.62/208*F34</f>
        <v>35.223461538461535</v>
      </c>
      <c r="AF34" s="25">
        <f>V34+Y34+Z34+AA34+AB34+AC34+AD34</f>
        <v>18981.183589743589</v>
      </c>
      <c r="AG34" s="25">
        <f>IFERROR(IFERROR((H34*W34*J34/15)-AE34,""),"")</f>
        <v>20536.705538461538</v>
      </c>
      <c r="AH34" s="26">
        <f>IFERROR(AG34-AF34,0)</f>
        <v>1555.5219487179493</v>
      </c>
      <c r="AI34" s="25">
        <f>(AH34/$AH$63)*$AL$30</f>
        <v>79.273653365981687</v>
      </c>
      <c r="AJ34" s="25">
        <f>(AH34-AI34)*70%</f>
        <v>1033.3738067463771</v>
      </c>
      <c r="AL34" s="57"/>
      <c r="AM34" s="249"/>
      <c r="AN34" s="246"/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5"/>
      <c r="AC35" s="21"/>
      <c r="AD35" s="21"/>
      <c r="AE35" s="21"/>
      <c r="AF35" s="21"/>
      <c r="AG35" s="21"/>
      <c r="AH35" s="26">
        <f>IFERROR(AH34/F34,0)+IFERROR(AH34/G34,0)</f>
        <v>388.88048717948732</v>
      </c>
      <c r="AL35" s="57"/>
      <c r="AM35" s="248"/>
      <c r="AN35" s="1"/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7.5743499647727711E-2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45259</v>
      </c>
      <c r="B39" s="21" t="s">
        <v>632</v>
      </c>
      <c r="C39" s="21" t="s">
        <v>819</v>
      </c>
      <c r="D39" s="44">
        <v>1895102</v>
      </c>
      <c r="E39" s="44" t="s">
        <v>652</v>
      </c>
      <c r="F39" s="21">
        <v>204</v>
      </c>
      <c r="G39" s="21"/>
      <c r="H39" s="22">
        <v>97940</v>
      </c>
      <c r="I39" s="33">
        <v>0.54</v>
      </c>
      <c r="J39" s="24">
        <f>IFERROR(K39/H39,"")</f>
        <v>0.54363896263018174</v>
      </c>
      <c r="K39" s="22">
        <v>53244</v>
      </c>
      <c r="L39" s="21">
        <v>142</v>
      </c>
      <c r="M39" s="21">
        <v>50</v>
      </c>
      <c r="N39" s="21">
        <v>9</v>
      </c>
      <c r="O39" s="21">
        <v>3</v>
      </c>
      <c r="P39" s="21"/>
      <c r="Q39" s="21"/>
      <c r="R39" s="21"/>
      <c r="S39" s="21"/>
      <c r="T39" s="21"/>
      <c r="U39" s="25">
        <v>215</v>
      </c>
      <c r="V39" s="25">
        <f>H39*U39*I39/15</f>
        <v>758055.6</v>
      </c>
      <c r="W39" s="25">
        <v>252.21</v>
      </c>
      <c r="X39" s="25">
        <f>915808.04/208*F39</f>
        <v>898196.34692307701</v>
      </c>
      <c r="Y39" s="25">
        <f>IF(B39="FRANCISCO CAMACHO",((F39*42)+(G39*42)),IF(B39="DANILO VIANA",((F39*60)+(G39*60)),0))</f>
        <v>8568</v>
      </c>
      <c r="Z39" s="264">
        <f>23567+70639.94</f>
        <v>94206.94</v>
      </c>
      <c r="AA39" s="25">
        <v>0</v>
      </c>
      <c r="AB39" s="264">
        <v>5482.5</v>
      </c>
      <c r="AC39" s="25">
        <v>0</v>
      </c>
      <c r="AD39" s="25">
        <f>IF(F39="",G39*4.11,F39*4.11)</f>
        <v>838.44</v>
      </c>
      <c r="AE39" s="25">
        <f>1831.62/208*F39</f>
        <v>1796.3965384615383</v>
      </c>
      <c r="AF39" s="25">
        <f>V39+Y39+Z39+AA39+AB39+AC39+AD39</f>
        <v>867151.48</v>
      </c>
      <c r="AG39" s="25">
        <f>IFERROR(IFERROR((H39*W39*J39/15)-AE39,""),"")</f>
        <v>893448.2194615386</v>
      </c>
      <c r="AH39" s="26">
        <f>IFERROR(AG39-AF39,0)</f>
        <v>26296.739461538615</v>
      </c>
      <c r="AI39" s="25">
        <f>(AH39/$AH$63)*$AL$30</f>
        <v>1340.1537731098485</v>
      </c>
      <c r="AJ39" s="25">
        <f>(AH39-AI39)*70%</f>
        <v>17469.609981900136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5"/>
      <c r="AC40" s="21"/>
      <c r="AD40" s="21"/>
      <c r="AE40" s="21"/>
      <c r="AF40" s="21"/>
      <c r="AG40" s="21"/>
      <c r="AH40" s="26">
        <f>IFERROR(AH39/F39,0)+IFERROR(AH39/G39,0)</f>
        <v>128.90558559577752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2.9432863470685605E-2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45261</v>
      </c>
      <c r="B44" s="21" t="s">
        <v>632</v>
      </c>
      <c r="C44" s="21" t="s">
        <v>830</v>
      </c>
      <c r="D44" s="44">
        <v>1895106</v>
      </c>
      <c r="E44" s="44" t="s">
        <v>652</v>
      </c>
      <c r="F44" s="98">
        <v>100</v>
      </c>
      <c r="G44" s="21"/>
      <c r="H44" s="22">
        <f>106800/200*F44</f>
        <v>53400</v>
      </c>
      <c r="I44" s="33">
        <v>0.55000000000000004</v>
      </c>
      <c r="J44" s="24">
        <f>IFERROR(K44/H44,"")</f>
        <v>0.56513108614232199</v>
      </c>
      <c r="K44" s="22">
        <f>60356/200*F44</f>
        <v>30177.999999999996</v>
      </c>
      <c r="L44" s="21">
        <v>5</v>
      </c>
      <c r="M44" s="21">
        <v>38</v>
      </c>
      <c r="N44" s="21">
        <v>41</v>
      </c>
      <c r="O44" s="21">
        <v>16</v>
      </c>
      <c r="P44" s="21">
        <v>1</v>
      </c>
      <c r="Q44" s="21"/>
      <c r="R44" s="21"/>
      <c r="S44" s="21"/>
      <c r="T44" s="21"/>
      <c r="U44" s="25">
        <v>215</v>
      </c>
      <c r="V44" s="25">
        <f>H44*U44*I44/15</f>
        <v>420970.00000000006</v>
      </c>
      <c r="W44" s="25">
        <v>246.89</v>
      </c>
      <c r="X44" s="25">
        <f>993410.82/200*F44</f>
        <v>496705.40999999992</v>
      </c>
      <c r="Y44" s="25">
        <f>IF(B44="FRANCISCO CAMACHO",((F44*42)+(G44*42)),IF(B44="DANILO VIANA",((F44*60)+(G44*60)),0))</f>
        <v>4200</v>
      </c>
      <c r="Z44" s="264">
        <f>(24463+73625.61)/200*F44</f>
        <v>49044.305</v>
      </c>
      <c r="AA44" s="25">
        <v>0</v>
      </c>
      <c r="AB44" s="264">
        <f>5375/200*F44</f>
        <v>2687.5</v>
      </c>
      <c r="AC44" s="25">
        <v>0</v>
      </c>
      <c r="AD44" s="25">
        <f>IF(F44="",G44*4.11,F44*4.11)</f>
        <v>411.00000000000006</v>
      </c>
      <c r="AE44" s="25">
        <f>1986.82/200*F44</f>
        <v>993.40999999999985</v>
      </c>
      <c r="AF44" s="25">
        <f>V44+Y44+Z44+AA44+AB44+AC44+AD44</f>
        <v>477312.80500000005</v>
      </c>
      <c r="AG44" s="25">
        <f>IFERROR(IFERROR((H44*W44*J44/15)-AE44,""),"")</f>
        <v>495716.3513333333</v>
      </c>
      <c r="AH44" s="26">
        <f>IFERROR(AG44-AF44,0)</f>
        <v>18403.546333333245</v>
      </c>
      <c r="AI44" s="25">
        <f>(AH44/$AH$63)*$AL$30</f>
        <v>937.89506084171421</v>
      </c>
      <c r="AJ44" s="25">
        <f>(AH44-AI44)*70%</f>
        <v>12225.95589074407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5"/>
      <c r="AC45" s="21"/>
      <c r="AD45" s="21"/>
      <c r="AE45" s="21"/>
      <c r="AF45" s="21"/>
      <c r="AG45" s="21"/>
      <c r="AH45" s="26">
        <f>IFERROR(AH44/F44,0)+IFERROR(AH44/G44,0)</f>
        <v>184.03546333333244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3.712515490730342E-2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37" t="s">
        <v>1</v>
      </c>
      <c r="B48" s="37" t="s">
        <v>2</v>
      </c>
      <c r="C48" s="37" t="s">
        <v>110</v>
      </c>
      <c r="D48" s="37" t="s">
        <v>66</v>
      </c>
      <c r="E48" s="37" t="s">
        <v>638</v>
      </c>
      <c r="F48" s="37" t="s">
        <v>137</v>
      </c>
      <c r="G48" s="37" t="s">
        <v>138</v>
      </c>
      <c r="H48" s="37" t="s">
        <v>4</v>
      </c>
      <c r="I48" s="37" t="s">
        <v>5</v>
      </c>
      <c r="J48" s="37" t="s">
        <v>6</v>
      </c>
      <c r="K48" s="37" t="s">
        <v>7</v>
      </c>
      <c r="L48" s="37" t="s">
        <v>279</v>
      </c>
      <c r="M48" s="37" t="s">
        <v>280</v>
      </c>
      <c r="N48" s="37" t="s">
        <v>281</v>
      </c>
      <c r="O48" s="37" t="s">
        <v>282</v>
      </c>
      <c r="P48" s="37" t="s">
        <v>283</v>
      </c>
      <c r="Q48" s="37" t="s">
        <v>284</v>
      </c>
      <c r="R48" s="37" t="s">
        <v>904</v>
      </c>
      <c r="S48" s="37" t="s">
        <v>285</v>
      </c>
      <c r="T48" s="37" t="s">
        <v>289</v>
      </c>
      <c r="U48" s="37" t="s">
        <v>8</v>
      </c>
      <c r="V48" s="37" t="s">
        <v>9</v>
      </c>
      <c r="W48" s="37" t="s">
        <v>10</v>
      </c>
      <c r="X48" s="37" t="s">
        <v>100</v>
      </c>
      <c r="Y48" s="37" t="s">
        <v>106</v>
      </c>
      <c r="Z48" s="37" t="s">
        <v>12</v>
      </c>
      <c r="AA48" s="37" t="s">
        <v>258</v>
      </c>
      <c r="AB48" s="37" t="s">
        <v>13</v>
      </c>
      <c r="AC48" s="37" t="s">
        <v>74</v>
      </c>
      <c r="AD48" s="37" t="s">
        <v>21</v>
      </c>
      <c r="AE48" s="37" t="s">
        <v>14</v>
      </c>
      <c r="AF48" s="37" t="s">
        <v>15</v>
      </c>
      <c r="AG48" s="37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38">
        <v>45261</v>
      </c>
      <c r="B49" s="39" t="s">
        <v>632</v>
      </c>
      <c r="C49" s="39" t="s">
        <v>830</v>
      </c>
      <c r="D49" s="45">
        <v>1895106</v>
      </c>
      <c r="E49" s="45" t="s">
        <v>652</v>
      </c>
      <c r="F49" s="98">
        <v>100</v>
      </c>
      <c r="G49" s="39"/>
      <c r="H49" s="40">
        <f>106800/200*F49</f>
        <v>53400</v>
      </c>
      <c r="I49" s="53">
        <v>0.55000000000000004</v>
      </c>
      <c r="J49" s="42">
        <f>IFERROR(K49/H49,"")</f>
        <v>0.56513108614232199</v>
      </c>
      <c r="K49" s="40">
        <f>60356/200*F49</f>
        <v>30177.999999999996</v>
      </c>
      <c r="L49" s="39">
        <v>4</v>
      </c>
      <c r="M49" s="39">
        <v>37</v>
      </c>
      <c r="N49" s="39">
        <v>41</v>
      </c>
      <c r="O49" s="39">
        <v>15</v>
      </c>
      <c r="P49" s="39">
        <v>2</v>
      </c>
      <c r="Q49" s="39"/>
      <c r="R49" s="39"/>
      <c r="S49" s="39"/>
      <c r="T49" s="39"/>
      <c r="U49" s="43">
        <v>215</v>
      </c>
      <c r="V49" s="43">
        <f>H49*U49*I49/15</f>
        <v>420970.00000000006</v>
      </c>
      <c r="W49" s="43">
        <v>246.89</v>
      </c>
      <c r="X49" s="43">
        <f>993410.82/200*F49</f>
        <v>496705.40999999992</v>
      </c>
      <c r="Y49" s="43">
        <f>IF(B49="FRANCISCO CAMACHO",((F49*42)+(G49*42)),IF(B49="DANILO VIANA",((F49*60)+(G49*60)),0))</f>
        <v>4200</v>
      </c>
      <c r="Z49" s="264">
        <f>(24463+73625.61)/200*F49</f>
        <v>49044.305</v>
      </c>
      <c r="AA49" s="43">
        <v>0</v>
      </c>
      <c r="AB49" s="264">
        <f>5375/200*F49</f>
        <v>2687.5</v>
      </c>
      <c r="AC49" s="43">
        <v>0</v>
      </c>
      <c r="AD49" s="43">
        <f>IF(F49="",G49*4.11,F49*4.11)</f>
        <v>411.00000000000006</v>
      </c>
      <c r="AE49" s="43">
        <f>1986.82/200*F49</f>
        <v>993.40999999999985</v>
      </c>
      <c r="AF49" s="43">
        <f>V49+Y49+Z49+AA49+AB49+AC49+AD49</f>
        <v>477312.80500000005</v>
      </c>
      <c r="AG49" s="43">
        <f>IFERROR(IFERROR((H49*W49*J49/15)-AE49,""),"")</f>
        <v>495716.3513333333</v>
      </c>
      <c r="AH49" s="26">
        <f>IFERROR(AG49-AF49,0)</f>
        <v>18403.546333333245</v>
      </c>
      <c r="AI49" s="25">
        <f>(AH49/$AH$63)*$AL$30</f>
        <v>937.89506084171421</v>
      </c>
      <c r="AJ49" s="25">
        <f>(AH49-AI49)*70%</f>
        <v>12225.95589074407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5"/>
      <c r="AC50" s="21"/>
      <c r="AD50" s="21"/>
      <c r="AE50" s="21"/>
      <c r="AF50" s="21"/>
      <c r="AG50" s="21"/>
      <c r="AH50" s="26">
        <f>IFERROR(AH49/F49,0)+IFERROR(AH49/G49,0)</f>
        <v>184.03546333333244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3.712515490730342E-2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45262</v>
      </c>
      <c r="B54" s="21" t="s">
        <v>632</v>
      </c>
      <c r="C54" s="21" t="s">
        <v>763</v>
      </c>
      <c r="D54" s="44">
        <v>1895115</v>
      </c>
      <c r="E54" s="44" t="s">
        <v>652</v>
      </c>
      <c r="F54" s="21">
        <v>150</v>
      </c>
      <c r="G54" s="21"/>
      <c r="H54" s="22">
        <v>86250</v>
      </c>
      <c r="I54" s="33">
        <v>0.55000000000000004</v>
      </c>
      <c r="J54" s="24">
        <f>IFERROR(K54/H54,"")</f>
        <v>0.56262608695652172</v>
      </c>
      <c r="K54" s="22">
        <v>48526.5</v>
      </c>
      <c r="L54" s="21">
        <v>61</v>
      </c>
      <c r="M54" s="21">
        <v>68</v>
      </c>
      <c r="N54" s="21">
        <v>20</v>
      </c>
      <c r="O54" s="21">
        <v>1</v>
      </c>
      <c r="P54" s="21"/>
      <c r="Q54" s="21"/>
      <c r="R54" s="21"/>
      <c r="S54" s="21"/>
      <c r="T54" s="21"/>
      <c r="U54" s="25">
        <v>215</v>
      </c>
      <c r="V54" s="25">
        <f>H54*U54*I54/15</f>
        <v>679937.5</v>
      </c>
      <c r="W54" s="25">
        <v>253.19</v>
      </c>
      <c r="X54" s="25">
        <f>1049215.71/200*F54</f>
        <v>786911.78249999997</v>
      </c>
      <c r="Y54" s="25">
        <f>IF(B54="FRANCISCO CAMACHO",((F54*42)+(G54*42)),IF(B54="DANILO VIANA",((F54*60)+(G54*60)),0))</f>
        <v>6300</v>
      </c>
      <c r="Z54" s="264">
        <v>70000.2</v>
      </c>
      <c r="AA54" s="25">
        <v>0</v>
      </c>
      <c r="AB54" s="264">
        <v>4031.25</v>
      </c>
      <c r="AC54" s="25">
        <v>0</v>
      </c>
      <c r="AD54" s="25">
        <f>IF(F54="",G54*4.11,F54*4.11)</f>
        <v>616.5</v>
      </c>
      <c r="AE54" s="25">
        <f>2098.43/200*F54</f>
        <v>1573.8224999999998</v>
      </c>
      <c r="AF54" s="25">
        <f>V54+Y54+Z54+AA54+AB54+AC54+AD54</f>
        <v>760885.45</v>
      </c>
      <c r="AG54" s="25">
        <f>IFERROR(IFERROR((H54*W54*J54/15)-AE54,""),"")</f>
        <v>817521.14650000003</v>
      </c>
      <c r="AH54" s="26">
        <f>IFERROR(AG54-AF54,0)</f>
        <v>56635.696500000078</v>
      </c>
      <c r="AI54" s="25">
        <f>(AH54/$AH$63)*$AL$30</f>
        <v>2886.3100107217033</v>
      </c>
      <c r="AJ54" s="25">
        <f>(AH54-AI54)*70%</f>
        <v>37624.570542494861</v>
      </c>
      <c r="AL54" s="6"/>
      <c r="AM54" s="6"/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377.57131000000049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6.927734743311631E-2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45262</v>
      </c>
      <c r="B59" s="21" t="s">
        <v>632</v>
      </c>
      <c r="C59" s="21" t="s">
        <v>757</v>
      </c>
      <c r="D59" s="44">
        <v>66602</v>
      </c>
      <c r="E59" s="44" t="s">
        <v>832</v>
      </c>
      <c r="F59" s="21">
        <v>200</v>
      </c>
      <c r="G59" s="21"/>
      <c r="H59" s="22">
        <v>113121</v>
      </c>
      <c r="I59" s="33">
        <v>0.55000000000000004</v>
      </c>
      <c r="J59" s="24">
        <f>IFERROR(K59/H59,"")</f>
        <v>0.55800072488750985</v>
      </c>
      <c r="K59" s="22">
        <v>63121.599999999999</v>
      </c>
      <c r="L59" s="21">
        <v>37</v>
      </c>
      <c r="M59" s="21">
        <v>106</v>
      </c>
      <c r="N59" s="21">
        <v>52</v>
      </c>
      <c r="O59" s="21">
        <v>5</v>
      </c>
      <c r="P59" s="21"/>
      <c r="Q59" s="21"/>
      <c r="R59" s="21"/>
      <c r="S59" s="21"/>
      <c r="T59" s="21"/>
      <c r="U59" s="25">
        <v>220</v>
      </c>
      <c r="V59" s="25">
        <f>H59*U59*I59/15</f>
        <v>912509.40000000014</v>
      </c>
      <c r="W59" s="25">
        <v>249.61189999999999</v>
      </c>
      <c r="X59" s="25">
        <v>1050393.67</v>
      </c>
      <c r="Y59" s="266">
        <f>IF(B59="FRANCISCO CAMACHO",((F59*42)+(G59*42)),IF(B59="DANILO VIANA",((F59*60)+(G59*60)),0))</f>
        <v>8400</v>
      </c>
      <c r="Z59" s="264">
        <f>22243.63+67194.6</f>
        <v>89438.23000000001</v>
      </c>
      <c r="AA59" s="25">
        <v>0</v>
      </c>
      <c r="AB59" s="264">
        <v>6600</v>
      </c>
      <c r="AC59" s="25">
        <v>0</v>
      </c>
      <c r="AD59" s="25">
        <f>IF(F59="",G59*4.11,F59*4.11)</f>
        <v>822.00000000000011</v>
      </c>
      <c r="AE59" s="25">
        <v>2100.79</v>
      </c>
      <c r="AF59" s="25">
        <f>V59+Y59+Z59+AA59+AB59+AC59+AD59</f>
        <v>1017769.6300000001</v>
      </c>
      <c r="AG59" s="25">
        <f>IFERROR(IFERROR((H59*W59*J59/15)-AE59,""),"")</f>
        <v>1048292.7104693335</v>
      </c>
      <c r="AH59" s="26">
        <f>IFERROR(AG59-AF59,0)</f>
        <v>30523.080469333334</v>
      </c>
      <c r="AI59" s="25">
        <f>(AH59/$AH$63)*$AL$30</f>
        <v>1555.5396712866554</v>
      </c>
      <c r="AJ59" s="25">
        <f>(AH59-AI59)*70%</f>
        <v>20277.278558632672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152.61540234666666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2.9116944308110067E-2</v>
      </c>
    </row>
    <row r="62" spans="1:39" ht="15" thickBot="1" x14ac:dyDescent="0.4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ht="16" thickBot="1" x14ac:dyDescent="0.4">
      <c r="A63" s="377" t="s">
        <v>803</v>
      </c>
      <c r="B63" s="378"/>
      <c r="C63" s="378"/>
      <c r="D63" s="378"/>
      <c r="E63" s="378"/>
      <c r="F63" s="163">
        <f>SUM(F4:F62)</f>
        <v>1203</v>
      </c>
      <c r="G63" s="163">
        <f>SUM(G4:G62)</f>
        <v>0</v>
      </c>
      <c r="H63" s="30"/>
      <c r="I63" s="30"/>
      <c r="J63" s="30"/>
      <c r="K63" s="30"/>
      <c r="L63" s="46"/>
      <c r="M63" s="46"/>
      <c r="N63" s="46"/>
      <c r="O63" s="46"/>
      <c r="P63" s="46"/>
      <c r="Q63" s="46"/>
      <c r="R63" s="46"/>
      <c r="S63" s="46"/>
      <c r="T63" s="46"/>
      <c r="U63" s="30"/>
      <c r="V63" s="31">
        <f>SUM(V4:V62)</f>
        <v>5228947.177240001</v>
      </c>
      <c r="W63" s="31"/>
      <c r="X63" s="31"/>
      <c r="Y63" s="31">
        <f t="shared" ref="Y63:AG63" si="0">SUM(Y4:Y62)</f>
        <v>48636</v>
      </c>
      <c r="Z63" s="31">
        <f t="shared" si="0"/>
        <v>533484.13</v>
      </c>
      <c r="AA63" s="31">
        <f t="shared" si="0"/>
        <v>0</v>
      </c>
      <c r="AB63" s="31">
        <f t="shared" si="0"/>
        <v>33602.75</v>
      </c>
      <c r="AC63" s="31">
        <f t="shared" si="0"/>
        <v>0</v>
      </c>
      <c r="AD63" s="31">
        <f t="shared" si="0"/>
        <v>4944.33</v>
      </c>
      <c r="AE63" s="31">
        <f t="shared" si="0"/>
        <v>11997.199354838707</v>
      </c>
      <c r="AF63" s="31">
        <f t="shared" si="0"/>
        <v>5849614.3872400001</v>
      </c>
      <c r="AG63" s="31">
        <f t="shared" si="0"/>
        <v>6018679.2921144944</v>
      </c>
      <c r="AH63" s="161">
        <f>AH4+AH9+AH14+AH19+AH24+AH29+AH34+AH39+AH44+AH49+AH54+AH59</f>
        <v>169064.90487449442</v>
      </c>
      <c r="AI63" s="165">
        <f>SUM(AI4:AI62)</f>
        <v>8616.01</v>
      </c>
      <c r="AJ63" s="165">
        <f>SUM(AJ4:AJ62)</f>
        <v>112314.22641214609</v>
      </c>
    </row>
    <row r="65" spans="22:35" x14ac:dyDescent="0.35">
      <c r="V65" s="162"/>
      <c r="AI65" s="25"/>
    </row>
  </sheetData>
  <mergeCells count="2">
    <mergeCell ref="U2:AC2"/>
    <mergeCell ref="A63:E6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05"/>
  <sheetViews>
    <sheetView zoomScale="85" zoomScaleNormal="85" workbookViewId="0">
      <pane xSplit="7" ySplit="3" topLeftCell="AG79" activePane="bottomRight" state="frozen"/>
      <selection activeCell="X39" sqref="X39"/>
      <selection pane="topRight" activeCell="X39" sqref="X39"/>
      <selection pane="bottomLeft" activeCell="X39" sqref="X39"/>
      <selection pane="bottomRight" activeCell="X39" sqref="X39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81640625" bestFit="1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23.269531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AF103</f>
        <v>12019427.741246035</v>
      </c>
      <c r="AM3" s="164">
        <f>AH103-AI103</f>
        <v>500516.16069652699</v>
      </c>
    </row>
    <row r="4" spans="1:40" x14ac:dyDescent="0.35">
      <c r="A4" s="20">
        <v>45263</v>
      </c>
      <c r="B4" s="21" t="s">
        <v>419</v>
      </c>
      <c r="C4" s="21" t="s">
        <v>565</v>
      </c>
      <c r="D4" s="44">
        <v>1895115</v>
      </c>
      <c r="E4" s="44" t="s">
        <v>652</v>
      </c>
      <c r="F4" s="21">
        <v>50</v>
      </c>
      <c r="G4" s="21"/>
      <c r="H4" s="22">
        <v>25900</v>
      </c>
      <c r="I4" s="33">
        <v>0.54500000000000004</v>
      </c>
      <c r="J4" s="24">
        <f>IFERROR(K4/H4,"")</f>
        <v>0.52637065637065639</v>
      </c>
      <c r="K4" s="22">
        <v>13633</v>
      </c>
      <c r="L4" s="21">
        <v>5</v>
      </c>
      <c r="M4" s="21">
        <v>14</v>
      </c>
      <c r="N4" s="21">
        <v>24</v>
      </c>
      <c r="O4" s="21">
        <v>5</v>
      </c>
      <c r="P4" s="21">
        <v>2</v>
      </c>
      <c r="Q4" s="21"/>
      <c r="R4" s="21"/>
      <c r="S4" s="21"/>
      <c r="T4" s="21"/>
      <c r="U4" s="25">
        <v>230</v>
      </c>
      <c r="V4" s="25">
        <f>H4*U4*I4/15</f>
        <v>216437.66666666669</v>
      </c>
      <c r="W4" s="25">
        <v>253.19</v>
      </c>
      <c r="X4" s="25">
        <f>1049215.71/200*F4</f>
        <v>262303.92749999999</v>
      </c>
      <c r="Y4" s="25">
        <f>IF(B4="FRANCISCO CAMACHO",((F4*42)+(G4*42)),IF(B4="DANILO VIANA",((F4*60)+(G4*60)),0))</f>
        <v>3000</v>
      </c>
      <c r="Z4" s="264">
        <v>9971.4</v>
      </c>
      <c r="AA4" s="25">
        <v>0</v>
      </c>
      <c r="AB4" s="264">
        <v>1437.5</v>
      </c>
      <c r="AC4" s="25">
        <f>F4*38</f>
        <v>1900</v>
      </c>
      <c r="AD4" s="25">
        <f>IF(F4="",G4*4.11,F4*4.11)</f>
        <v>205.50000000000003</v>
      </c>
      <c r="AE4" s="25">
        <f>2098.43/200*F4</f>
        <v>524.60749999999996</v>
      </c>
      <c r="AF4" s="25">
        <f>V4+Y4+Z4+AA4+AB4+AC4+AD4</f>
        <v>232952.06666666668</v>
      </c>
      <c r="AG4" s="25">
        <f>IFERROR(IFERROR((H4*W4*J4/15)-AE4,""),"")</f>
        <v>229591.34383333332</v>
      </c>
      <c r="AH4" s="26">
        <f>IFERROR(AG4-AF4,0)</f>
        <v>-3360.7228333333624</v>
      </c>
      <c r="AI4" s="25">
        <f>(AH4/$AH$103)*$AL$30</f>
        <v>-60.970272376707761</v>
      </c>
      <c r="AJ4" s="25">
        <f>(AH4-AI4)*70%</f>
        <v>-2309.8267926696581</v>
      </c>
      <c r="AL4" s="166" t="s">
        <v>749</v>
      </c>
      <c r="AM4" s="167">
        <f>AM3/AL3</f>
        <v>4.1642262133574692E-2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5"/>
      <c r="W5" s="21"/>
      <c r="X5" s="25"/>
      <c r="Y5" s="21"/>
      <c r="Z5" s="3"/>
      <c r="AA5" s="21"/>
      <c r="AB5" s="21"/>
      <c r="AC5" s="21"/>
      <c r="AD5" s="21"/>
      <c r="AE5" s="21"/>
      <c r="AF5" s="25"/>
      <c r="AG5" s="21"/>
      <c r="AH5" s="26">
        <f>IFERROR(AH4/F4,0)+IFERROR(AH4/G4,0)</f>
        <v>-67.214456666667246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2"/>
      <c r="I6" s="21"/>
      <c r="J6" s="21"/>
      <c r="K6" s="22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5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-1.4637846432803685E-2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45264</v>
      </c>
      <c r="B9" s="21" t="s">
        <v>419</v>
      </c>
      <c r="C9" s="21" t="s">
        <v>565</v>
      </c>
      <c r="D9" s="44">
        <v>1897492</v>
      </c>
      <c r="E9" s="44" t="s">
        <v>652</v>
      </c>
      <c r="F9" s="21">
        <v>349</v>
      </c>
      <c r="G9" s="21"/>
      <c r="H9" s="22">
        <f>179320/350*F9</f>
        <v>178807.65714285715</v>
      </c>
      <c r="I9" s="33">
        <v>0.54500000000000004</v>
      </c>
      <c r="J9" s="24">
        <f>IFERROR(K9/H9,"")</f>
        <v>0.55965724062951605</v>
      </c>
      <c r="K9" s="22">
        <v>100071</v>
      </c>
      <c r="L9" s="21">
        <v>65</v>
      </c>
      <c r="M9" s="21">
        <v>146</v>
      </c>
      <c r="N9" s="21">
        <v>122</v>
      </c>
      <c r="O9" s="21">
        <v>14</v>
      </c>
      <c r="P9" s="21">
        <v>2</v>
      </c>
      <c r="Q9" s="21"/>
      <c r="R9" s="21"/>
      <c r="S9" s="21"/>
      <c r="T9" s="21"/>
      <c r="U9" s="25">
        <v>230</v>
      </c>
      <c r="V9" s="25">
        <f>H9*U9*I9/15</f>
        <v>1494235.9881904763</v>
      </c>
      <c r="W9" s="25">
        <v>252.92</v>
      </c>
      <c r="X9" s="25">
        <v>1687313.85</v>
      </c>
      <c r="Y9" s="25">
        <f>IF(B9="FRANCISCO CAMACHO",((F9*42)+(G9*42)),IF(B9="DANILO VIANA",((F9*60)+(G9*60)),0))</f>
        <v>20940</v>
      </c>
      <c r="Z9" s="264">
        <f>9971.4+20051.6+20620.5+21106.9</f>
        <v>71750.399999999994</v>
      </c>
      <c r="AA9" s="25">
        <v>0</v>
      </c>
      <c r="AB9" s="264">
        <v>10062.5</v>
      </c>
      <c r="AC9" s="25">
        <f>F9*38</f>
        <v>13262</v>
      </c>
      <c r="AD9" s="25">
        <f>IF(F9="",G9*4.11,F9*4.11)</f>
        <v>1434.39</v>
      </c>
      <c r="AE9" s="25">
        <v>3374.63</v>
      </c>
      <c r="AF9" s="25">
        <f>V9+Y9+Z9+AA9+AB9+AC9+AD9</f>
        <v>1611685.2781904761</v>
      </c>
      <c r="AG9" s="25">
        <f>IFERROR(IFERROR((H9*W9*J9/15)-AE9,""),"")</f>
        <v>1683955.8580000005</v>
      </c>
      <c r="AH9" s="26">
        <f>IFERROR(AG9-AF9,0)</f>
        <v>72270.579809524352</v>
      </c>
      <c r="AI9" s="25">
        <f>(AH9/$AH$103)*$AL$30</f>
        <v>1311.1336918667621</v>
      </c>
      <c r="AJ9" s="25">
        <f>(AH9-AI9)*70%</f>
        <v>49671.612282360307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5"/>
      <c r="W10" s="21"/>
      <c r="X10" s="25"/>
      <c r="Y10" s="21"/>
      <c r="Z10" s="3"/>
      <c r="AA10" s="21"/>
      <c r="AB10" s="21"/>
      <c r="AC10" s="21"/>
      <c r="AD10" s="21"/>
      <c r="AE10" s="21"/>
      <c r="AF10" s="25"/>
      <c r="AG10" s="21"/>
      <c r="AH10" s="26">
        <f>IFERROR(AH9/F9,0)+IFERROR(AH9/G9,0)</f>
        <v>207.07902524219011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2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5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4.2917146234081591E-2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45265</v>
      </c>
      <c r="B14" s="21" t="s">
        <v>632</v>
      </c>
      <c r="C14" s="21" t="s">
        <v>836</v>
      </c>
      <c r="D14" s="44">
        <v>1897497</v>
      </c>
      <c r="E14" s="44" t="s">
        <v>652</v>
      </c>
      <c r="F14" s="21">
        <v>300</v>
      </c>
      <c r="G14" s="21"/>
      <c r="H14" s="22">
        <v>181743.81</v>
      </c>
      <c r="I14" s="33">
        <v>0.55000000000000004</v>
      </c>
      <c r="J14" s="24">
        <f>IFERROR(K14/H14,"")</f>
        <v>0.54032926898583233</v>
      </c>
      <c r="K14" s="22">
        <v>98201.5</v>
      </c>
      <c r="L14" s="21">
        <v>9</v>
      </c>
      <c r="M14" s="21">
        <v>136</v>
      </c>
      <c r="N14" s="21">
        <v>135</v>
      </c>
      <c r="O14" s="21">
        <v>18</v>
      </c>
      <c r="P14" s="21">
        <v>2</v>
      </c>
      <c r="Q14" s="21"/>
      <c r="R14" s="21"/>
      <c r="S14" s="21"/>
      <c r="T14" s="21"/>
      <c r="U14" s="25">
        <v>215</v>
      </c>
      <c r="V14" s="25">
        <f>H14*U14*I14/15</f>
        <v>1432747.0355000002</v>
      </c>
      <c r="W14" s="25">
        <v>253.1</v>
      </c>
      <c r="X14" s="25">
        <v>1656963.98</v>
      </c>
      <c r="Y14" s="266">
        <f>IF(B14="FRANCISCO CAMACHO",((F14*42)+(G14*42)),IF(B14="DANILO VIANA",((F14*60)+(G14*60)),0))</f>
        <v>12600</v>
      </c>
      <c r="Z14" s="264">
        <v>135636.79999999999</v>
      </c>
      <c r="AA14" s="25">
        <v>0</v>
      </c>
      <c r="AB14" s="264">
        <v>8062.5</v>
      </c>
      <c r="AC14" s="25">
        <v>0</v>
      </c>
      <c r="AD14" s="25">
        <f>IF(F14="",G14*4.11,F14*4.11)</f>
        <v>1233</v>
      </c>
      <c r="AE14" s="25">
        <v>3313.93</v>
      </c>
      <c r="AF14" s="25">
        <f>V14+Y14+Z14+AA14+AB14+AC14+AD14</f>
        <v>1590279.3355000003</v>
      </c>
      <c r="AG14" s="25">
        <f>IFERROR(IFERROR((H14*W14*J14/15)-AE14,""),"")</f>
        <v>1653672.7133333334</v>
      </c>
      <c r="AH14" s="26">
        <f>IFERROR(AG14-AF14,0)</f>
        <v>63393.377833333099</v>
      </c>
      <c r="AI14" s="25">
        <f>(AH14/$AH$103)*$AL$30</f>
        <v>1150.0833912995504</v>
      </c>
      <c r="AJ14" s="25">
        <f>(AH14-AI14)*70%</f>
        <v>43570.30610942348</v>
      </c>
      <c r="AL14" s="14">
        <f>F4+G4+F9+G9+F14+G14+F19+G19+F24+G24+F29+G29+F34+G34+F39+G39+F44+G44+F49+G49+F54+G54+F59+G59+F64+G64+F74+G74+F79+G79+F69+G69+F84+G84+F89+G89+F94+G94</f>
        <v>2346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5"/>
      <c r="AC15" s="21"/>
      <c r="AD15" s="21"/>
      <c r="AE15" s="21"/>
      <c r="AF15" s="21"/>
      <c r="AG15" s="21"/>
      <c r="AH15" s="26">
        <f>IFERROR(AH14/F14,0)+IFERROR(AH14/G14,0)</f>
        <v>211.31125944444366</v>
      </c>
      <c r="AL15" s="11">
        <f>AH103</f>
        <v>509764.31069652701</v>
      </c>
      <c r="AM15" s="11">
        <f>AL15*30%</f>
        <v>152929.29320895809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3.8334899839733157E-2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45265</v>
      </c>
      <c r="B19" s="21" t="s">
        <v>419</v>
      </c>
      <c r="C19" s="21" t="s">
        <v>565</v>
      </c>
      <c r="D19" s="44">
        <v>1895140</v>
      </c>
      <c r="E19" s="44" t="s">
        <v>652</v>
      </c>
      <c r="F19" s="21">
        <v>200</v>
      </c>
      <c r="G19" s="21"/>
      <c r="H19" s="22">
        <v>93520</v>
      </c>
      <c r="I19" s="33">
        <v>0.54500000000000004</v>
      </c>
      <c r="J19" s="24">
        <f>IFERROR(K19/H19,"")</f>
        <v>0.54433276304533784</v>
      </c>
      <c r="K19" s="22">
        <v>50906</v>
      </c>
      <c r="L19" s="21">
        <v>64</v>
      </c>
      <c r="M19" s="21">
        <v>109</v>
      </c>
      <c r="N19" s="21">
        <v>21</v>
      </c>
      <c r="O19" s="21">
        <v>6</v>
      </c>
      <c r="P19" s="21"/>
      <c r="Q19" s="21"/>
      <c r="R19" s="21"/>
      <c r="S19" s="21"/>
      <c r="T19" s="21"/>
      <c r="U19" s="25">
        <v>230</v>
      </c>
      <c r="V19" s="25">
        <f>H19*U19*I19/15</f>
        <v>781515.46666666667</v>
      </c>
      <c r="W19" s="25">
        <v>252.62</v>
      </c>
      <c r="X19" s="25">
        <v>857337.42</v>
      </c>
      <c r="Y19" s="25">
        <f>IF(B19="FRANCISCO CAMACHO",((F19*42)+(G19*42)),IF(B19="DANILO VIANA",((F19*60)+(G19*60)),0))</f>
        <v>12000</v>
      </c>
      <c r="Z19" s="264">
        <v>40103.199999999997</v>
      </c>
      <c r="AA19" s="25">
        <v>0</v>
      </c>
      <c r="AB19" s="264">
        <v>5750</v>
      </c>
      <c r="AC19" s="25">
        <f>F19*38</f>
        <v>7600</v>
      </c>
      <c r="AD19" s="25">
        <f>IF(F19="",G19*4.11,F19*4.11)</f>
        <v>822.00000000000011</v>
      </c>
      <c r="AE19" s="25">
        <v>1714.67</v>
      </c>
      <c r="AF19" s="25">
        <f>V19+Y19+Z19+AA19+AB19+AC19+AD19</f>
        <v>847790.66666666663</v>
      </c>
      <c r="AG19" s="25">
        <f>IFERROR(IFERROR((H19*W19*J19/15)-AE19,""),"")</f>
        <v>855610.24466666672</v>
      </c>
      <c r="AH19" s="26">
        <f>IFERROR(AG19-AF19,0)</f>
        <v>7819.5780000000959</v>
      </c>
      <c r="AI19" s="25">
        <f>(AH19/$AH$103)*$AL$30</f>
        <v>141.86287420139232</v>
      </c>
      <c r="AJ19" s="25">
        <f>(AH19-AI19)*70%</f>
        <v>5374.4005880590921</v>
      </c>
      <c r="AL19" s="178">
        <v>150</v>
      </c>
      <c r="AM19" s="6" t="s">
        <v>831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5"/>
      <c r="W20" s="21"/>
      <c r="X20" s="25"/>
      <c r="Y20" s="21"/>
      <c r="Z20" s="3"/>
      <c r="AA20" s="21"/>
      <c r="AB20" s="21"/>
      <c r="AC20" s="21"/>
      <c r="AD20" s="21"/>
      <c r="AE20" s="21"/>
      <c r="AF20" s="25"/>
      <c r="AG20" s="21"/>
      <c r="AH20" s="26">
        <f>IFERROR(AH19/F19,0)+IFERROR(AH19/G19,0)</f>
        <v>39.097890000000483</v>
      </c>
      <c r="AL20" s="178">
        <v>2597.85</v>
      </c>
      <c r="AM20" s="6" t="s">
        <v>834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2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5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9.1391822956099471E-3</v>
      </c>
      <c r="AL21" s="178">
        <v>220</v>
      </c>
      <c r="AM21" s="6" t="s">
        <v>835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2500</v>
      </c>
      <c r="AM22" s="6" t="s">
        <v>787</v>
      </c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>
        <v>1000</v>
      </c>
      <c r="AM23" s="6" t="s">
        <v>837</v>
      </c>
      <c r="AN23" s="174"/>
    </row>
    <row r="24" spans="1:40" x14ac:dyDescent="0.35">
      <c r="A24" s="20">
        <v>45266</v>
      </c>
      <c r="B24" s="21" t="s">
        <v>632</v>
      </c>
      <c r="C24" s="21" t="s">
        <v>757</v>
      </c>
      <c r="D24" s="44">
        <v>66642</v>
      </c>
      <c r="E24" s="44" t="s">
        <v>832</v>
      </c>
      <c r="F24" s="21">
        <v>50</v>
      </c>
      <c r="G24" s="21"/>
      <c r="H24" s="22">
        <v>29906</v>
      </c>
      <c r="I24" s="33">
        <v>0.55000000000000004</v>
      </c>
      <c r="J24" s="24">
        <f>IFERROR(K24/H24,"")</f>
        <v>0.50180565772754626</v>
      </c>
      <c r="K24" s="22">
        <f>60028/200*F24</f>
        <v>15007</v>
      </c>
      <c r="L24" s="21">
        <v>6</v>
      </c>
      <c r="M24" s="21">
        <v>28</v>
      </c>
      <c r="N24" s="21">
        <v>1</v>
      </c>
      <c r="O24" s="21">
        <v>12</v>
      </c>
      <c r="P24" s="21">
        <v>3</v>
      </c>
      <c r="Q24" s="21"/>
      <c r="R24" s="21"/>
      <c r="S24" s="21"/>
      <c r="T24" s="21"/>
      <c r="U24" s="25">
        <v>220</v>
      </c>
      <c r="V24" s="25">
        <f>H24*U24*I24/15</f>
        <v>241241.73333333337</v>
      </c>
      <c r="W24" s="25">
        <v>250</v>
      </c>
      <c r="X24" s="25">
        <f>997543.35/200*F24</f>
        <v>249385.83749999997</v>
      </c>
      <c r="Y24" s="266">
        <f>IF(B24="FRANCISCO CAMACHO",((F24*42)+(G24*42)),IF(B24="DANILO VIANA",((F24*60)+(G24*60)),0))</f>
        <v>2100</v>
      </c>
      <c r="Z24" s="264">
        <v>22243.63</v>
      </c>
      <c r="AA24" s="25">
        <v>0</v>
      </c>
      <c r="AB24" s="264">
        <v>1650</v>
      </c>
      <c r="AC24" s="25">
        <v>0</v>
      </c>
      <c r="AD24" s="25">
        <f>IF(F24="",G24*4.11,F24*4.11)</f>
        <v>205.50000000000003</v>
      </c>
      <c r="AE24" s="25">
        <f>2043.18/200*F24</f>
        <v>510.79499999999996</v>
      </c>
      <c r="AF24" s="25">
        <f>V24+Y24+Z24+AA24+AB24+AC24+AD24</f>
        <v>267440.86333333334</v>
      </c>
      <c r="AG24" s="25">
        <f>IFERROR(IFERROR((H24*W24*J24/15)-AE24,""),"")</f>
        <v>249605.87166666662</v>
      </c>
      <c r="AH24" s="26">
        <f>IFERROR(AG24-AF24,0)</f>
        <v>-17834.991666666727</v>
      </c>
      <c r="AI24" s="25">
        <f>(AH24/$AH$103)*$AL$30</f>
        <v>-323.56262437578999</v>
      </c>
      <c r="AJ24" s="25">
        <f>(AH24-AI24)*70%</f>
        <v>-12258.000329603654</v>
      </c>
      <c r="AL24" s="178">
        <v>1500</v>
      </c>
      <c r="AM24" s="6" t="s">
        <v>806</v>
      </c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5"/>
      <c r="W25" s="21"/>
      <c r="X25" s="25"/>
      <c r="Y25" s="21"/>
      <c r="Z25" s="3"/>
      <c r="AA25" s="21"/>
      <c r="AB25" s="21"/>
      <c r="AC25" s="21"/>
      <c r="AD25" s="21"/>
      <c r="AE25" s="21"/>
      <c r="AF25" s="25"/>
      <c r="AG25" s="21"/>
      <c r="AH25" s="26">
        <f>IFERROR(AH24/F24,0)+IFERROR(AH24/G24,0)</f>
        <v>-356.69983333333454</v>
      </c>
      <c r="AL25" s="178">
        <v>1280.3</v>
      </c>
      <c r="AM25" s="6" t="s">
        <v>839</v>
      </c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2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5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-7.145261266323201E-2</v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178"/>
      <c r="AM28" s="6"/>
      <c r="AN28" s="174"/>
    </row>
    <row r="29" spans="1:40" x14ac:dyDescent="0.35">
      <c r="A29" s="20">
        <v>45266</v>
      </c>
      <c r="B29" s="21" t="s">
        <v>419</v>
      </c>
      <c r="C29" s="21" t="s">
        <v>565</v>
      </c>
      <c r="D29" s="44">
        <v>66642</v>
      </c>
      <c r="E29" s="44" t="s">
        <v>832</v>
      </c>
      <c r="F29" s="21">
        <v>150</v>
      </c>
      <c r="G29" s="21"/>
      <c r="H29" s="22">
        <v>79020</v>
      </c>
      <c r="I29" s="33">
        <v>0.54500000000000004</v>
      </c>
      <c r="J29" s="24">
        <f>IFERROR(K29/H29,"")</f>
        <v>0.56974183750949126</v>
      </c>
      <c r="K29" s="22">
        <f>60028/200*F29</f>
        <v>45021</v>
      </c>
      <c r="L29" s="21">
        <v>8</v>
      </c>
      <c r="M29" s="21">
        <v>69</v>
      </c>
      <c r="N29" s="21">
        <v>72</v>
      </c>
      <c r="O29" s="21">
        <v>1</v>
      </c>
      <c r="P29" s="21"/>
      <c r="Q29" s="21"/>
      <c r="R29" s="21"/>
      <c r="S29" s="21"/>
      <c r="T29" s="21"/>
      <c r="U29" s="25">
        <v>230</v>
      </c>
      <c r="V29" s="25">
        <f>H29*U29*I29/15</f>
        <v>660343.80000000005</v>
      </c>
      <c r="W29" s="25">
        <v>250</v>
      </c>
      <c r="X29" s="25">
        <f>997543.35/200*F29</f>
        <v>748157.51249999995</v>
      </c>
      <c r="Y29" s="25">
        <f>IF(B29="FRANCISCO CAMACHO",((F29*42)+(G29*42)),IF(B29="DANILO VIANA",((F29*60)+(G29*60)),0))</f>
        <v>9000</v>
      </c>
      <c r="Z29" s="264">
        <f>26077.3+12958.2</f>
        <v>39035.5</v>
      </c>
      <c r="AA29" s="25">
        <v>0</v>
      </c>
      <c r="AB29" s="264">
        <v>4312.5</v>
      </c>
      <c r="AC29" s="25">
        <f>F29*38</f>
        <v>5700</v>
      </c>
      <c r="AD29" s="25">
        <f>IF(F29="",G29*4.11,F29*4.11)</f>
        <v>616.5</v>
      </c>
      <c r="AE29" s="25">
        <f>2043.18/200*F29</f>
        <v>1532.385</v>
      </c>
      <c r="AF29" s="25">
        <f>V29+Y29+Z29+AA29+AB29+AC29+AD29</f>
        <v>719008.3</v>
      </c>
      <c r="AG29" s="25">
        <f>IFERROR(IFERROR((H29*W29*J29/15)-AE29,""),"")</f>
        <v>748817.61499999999</v>
      </c>
      <c r="AH29" s="26">
        <f>IFERROR(AG29-AF29,0)</f>
        <v>29809.314999999944</v>
      </c>
      <c r="AI29" s="25">
        <f>(AH29/$AH$103)*$AL$30</f>
        <v>540.80093630047782</v>
      </c>
      <c r="AJ29" s="25">
        <f>(AH29-AI29)*70%</f>
        <v>20487.959844589626</v>
      </c>
      <c r="AL29" s="178"/>
      <c r="AM29" s="6"/>
      <c r="AN29" s="174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5"/>
      <c r="AC30" s="21"/>
      <c r="AD30" s="21"/>
      <c r="AE30" s="21"/>
      <c r="AF30" s="21"/>
      <c r="AG30" s="21"/>
      <c r="AH30" s="26">
        <f>IFERROR(AH29/F29,0)+IFERROR(AH29/G29,0)</f>
        <v>198.7287666666663</v>
      </c>
      <c r="AL30" s="214">
        <f>SUM(AL19:AL29)</f>
        <v>9248.15</v>
      </c>
      <c r="AM30" s="189" t="s">
        <v>673</v>
      </c>
      <c r="AN30" s="191"/>
    </row>
    <row r="31" spans="1:40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3.9808511983255024E-2</v>
      </c>
      <c r="AL31" s="57"/>
      <c r="AM31" s="6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118" t="s">
        <v>22</v>
      </c>
      <c r="AN32" s="12"/>
    </row>
    <row r="33" spans="1:40" x14ac:dyDescent="0.35">
      <c r="A33" s="37" t="s">
        <v>1</v>
      </c>
      <c r="B33" s="37" t="s">
        <v>2</v>
      </c>
      <c r="C33" s="37" t="s">
        <v>110</v>
      </c>
      <c r="D33" s="37" t="s">
        <v>66</v>
      </c>
      <c r="E33" s="37" t="s">
        <v>638</v>
      </c>
      <c r="F33" s="37" t="s">
        <v>137</v>
      </c>
      <c r="G33" s="37" t="s">
        <v>138</v>
      </c>
      <c r="H33" s="37" t="s">
        <v>4</v>
      </c>
      <c r="I33" s="37" t="s">
        <v>5</v>
      </c>
      <c r="J33" s="37" t="s">
        <v>6</v>
      </c>
      <c r="K33" s="37" t="s">
        <v>7</v>
      </c>
      <c r="L33" s="37" t="s">
        <v>279</v>
      </c>
      <c r="M33" s="37" t="s">
        <v>280</v>
      </c>
      <c r="N33" s="37" t="s">
        <v>281</v>
      </c>
      <c r="O33" s="37" t="s">
        <v>282</v>
      </c>
      <c r="P33" s="37" t="s">
        <v>283</v>
      </c>
      <c r="Q33" s="37" t="s">
        <v>284</v>
      </c>
      <c r="R33" s="37" t="s">
        <v>904</v>
      </c>
      <c r="S33" s="37" t="s">
        <v>285</v>
      </c>
      <c r="T33" s="37" t="s">
        <v>289</v>
      </c>
      <c r="U33" s="37" t="s">
        <v>8</v>
      </c>
      <c r="V33" s="37" t="s">
        <v>9</v>
      </c>
      <c r="W33" s="37" t="s">
        <v>10</v>
      </c>
      <c r="X33" s="37" t="s">
        <v>100</v>
      </c>
      <c r="Y33" s="37" t="s">
        <v>106</v>
      </c>
      <c r="Z33" s="37" t="s">
        <v>12</v>
      </c>
      <c r="AA33" s="37" t="s">
        <v>258</v>
      </c>
      <c r="AB33" s="37" t="s">
        <v>13</v>
      </c>
      <c r="AC33" s="37" t="s">
        <v>74</v>
      </c>
      <c r="AD33" s="37" t="s">
        <v>21</v>
      </c>
      <c r="AE33" s="37" t="s">
        <v>14</v>
      </c>
      <c r="AF33" s="37" t="s">
        <v>15</v>
      </c>
      <c r="AG33" s="37" t="s">
        <v>16</v>
      </c>
      <c r="AH33" s="15" t="s">
        <v>17</v>
      </c>
      <c r="AI33" s="14" t="s">
        <v>679</v>
      </c>
      <c r="AJ33" s="14" t="s">
        <v>678</v>
      </c>
      <c r="AL33" s="247">
        <f>AL15-AL30</f>
        <v>500516.16069652699</v>
      </c>
      <c r="AM33" s="248">
        <f>AL33*30%</f>
        <v>150154.84820895808</v>
      </c>
      <c r="AN33" s="12" t="s">
        <v>853</v>
      </c>
    </row>
    <row r="34" spans="1:40" x14ac:dyDescent="0.35">
      <c r="A34" s="38">
        <v>45266</v>
      </c>
      <c r="B34" s="39" t="s">
        <v>632</v>
      </c>
      <c r="C34" s="39" t="s">
        <v>838</v>
      </c>
      <c r="D34" s="45">
        <v>1897496</v>
      </c>
      <c r="E34" s="45" t="s">
        <v>652</v>
      </c>
      <c r="F34" s="39">
        <v>100</v>
      </c>
      <c r="G34" s="39"/>
      <c r="H34" s="40">
        <f>116322/200*F34</f>
        <v>58161</v>
      </c>
      <c r="I34" s="53">
        <v>0.55000000000000004</v>
      </c>
      <c r="J34" s="42">
        <f>IFERROR(K34/H34,"")</f>
        <v>0.54771668300063614</v>
      </c>
      <c r="K34" s="40">
        <v>31855.75</v>
      </c>
      <c r="L34" s="39">
        <v>2</v>
      </c>
      <c r="M34" s="39">
        <v>41</v>
      </c>
      <c r="N34" s="39">
        <v>48</v>
      </c>
      <c r="O34" s="39">
        <v>9</v>
      </c>
      <c r="P34" s="39"/>
      <c r="Q34" s="39"/>
      <c r="R34" s="39"/>
      <c r="S34" s="39"/>
      <c r="T34" s="39"/>
      <c r="U34" s="43">
        <v>215</v>
      </c>
      <c r="V34" s="43">
        <f>H34*U34*I34/15</f>
        <v>458502.55000000005</v>
      </c>
      <c r="W34" s="43">
        <v>252.4</v>
      </c>
      <c r="X34" s="43">
        <f>2672150.02/500*F34</f>
        <v>534430.00399999996</v>
      </c>
      <c r="Y34" s="266">
        <f>IF(B34="FRANCISCO CAMACHO",((F34*42)+(G34*42)),IF(B34="DANILO VIANA",((F34*60)+(G34*60)),0))</f>
        <v>4200</v>
      </c>
      <c r="Z34" s="264">
        <f>(22581.4+69039.87)/200*F34</f>
        <v>45810.634999999995</v>
      </c>
      <c r="AA34" s="43">
        <v>0</v>
      </c>
      <c r="AB34" s="264">
        <f>5375/200*F34</f>
        <v>2687.5</v>
      </c>
      <c r="AC34" s="43">
        <v>0</v>
      </c>
      <c r="AD34" s="43">
        <f>IF(F34="",G34*4.11,F34*4.11)</f>
        <v>411.00000000000006</v>
      </c>
      <c r="AE34" s="43">
        <f>5344.3/500*F34</f>
        <v>1068.8600000000001</v>
      </c>
      <c r="AF34" s="43">
        <f>V34+Y34+Z34+AA34+AB34+AC34+AD34</f>
        <v>511611.68500000006</v>
      </c>
      <c r="AG34" s="43">
        <f>IFERROR(IFERROR((H34*W34*J34/15)-AE34,""),"")</f>
        <v>534957.22666666668</v>
      </c>
      <c r="AH34" s="26">
        <f>IFERROR(AG34-AF34,0)</f>
        <v>23345.541666666628</v>
      </c>
      <c r="AI34" s="25">
        <f>(AH34/$AH$103)*$AL$30</f>
        <v>423.53508598822725</v>
      </c>
      <c r="AJ34" s="25">
        <f>(AH34-AI34)*70%</f>
        <v>16045.40460647488</v>
      </c>
      <c r="AL34" s="57"/>
      <c r="AM34" s="249"/>
      <c r="AN34" s="246"/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5"/>
      <c r="AC35" s="21"/>
      <c r="AD35" s="21"/>
      <c r="AE35" s="21"/>
      <c r="AF35" s="21"/>
      <c r="AG35" s="21"/>
      <c r="AH35" s="26">
        <f>IFERROR(AH34/F34,0)+IFERROR(AH34/G34,0)</f>
        <v>233.45541666666628</v>
      </c>
      <c r="AL35" s="57"/>
      <c r="AM35" s="248">
        <v>145810.78820895808</v>
      </c>
      <c r="AN35" s="1" t="s">
        <v>853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4.3640015505787902E-2</v>
      </c>
      <c r="AM36" s="57">
        <f>AM33-AM35</f>
        <v>4344.0599999999977</v>
      </c>
      <c r="AN36" t="s">
        <v>860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45266</v>
      </c>
      <c r="B39" s="21" t="s">
        <v>632</v>
      </c>
      <c r="C39" s="21" t="s">
        <v>838</v>
      </c>
      <c r="D39" s="44">
        <v>1897496</v>
      </c>
      <c r="E39" s="44" t="s">
        <v>652</v>
      </c>
      <c r="F39" s="21">
        <v>100</v>
      </c>
      <c r="G39" s="21"/>
      <c r="H39" s="22">
        <f>116322/200*F39</f>
        <v>58161</v>
      </c>
      <c r="I39" s="33">
        <v>0.55000000000000004</v>
      </c>
      <c r="J39" s="24">
        <f>IFERROR(K39/H39,"")</f>
        <v>0.54771668300063614</v>
      </c>
      <c r="K39" s="22">
        <v>31855.75</v>
      </c>
      <c r="L39" s="21">
        <v>1</v>
      </c>
      <c r="M39" s="21">
        <v>41</v>
      </c>
      <c r="N39" s="21">
        <v>49</v>
      </c>
      <c r="O39" s="21">
        <v>9</v>
      </c>
      <c r="P39" s="21"/>
      <c r="Q39" s="21"/>
      <c r="R39" s="21"/>
      <c r="S39" s="21"/>
      <c r="T39" s="21"/>
      <c r="U39" s="25">
        <v>215</v>
      </c>
      <c r="V39" s="25">
        <f>H39*U39*I39/15</f>
        <v>458502.55000000005</v>
      </c>
      <c r="W39" s="25">
        <v>252.4</v>
      </c>
      <c r="X39" s="25">
        <f>2672150.02/500*F39</f>
        <v>534430.00399999996</v>
      </c>
      <c r="Y39" s="266">
        <f>IF(B39="FRANCISCO CAMACHO",((F39*42)+(G39*42)),IF(B39="DANILO VIANA",((F39*60)+(G39*60)),0))</f>
        <v>4200</v>
      </c>
      <c r="Z39" s="264">
        <f>(22581.4+69039.87)/200*F39</f>
        <v>45810.634999999995</v>
      </c>
      <c r="AA39" s="25">
        <v>0</v>
      </c>
      <c r="AB39" s="264">
        <f>5375/200*F39</f>
        <v>2687.5</v>
      </c>
      <c r="AC39" s="25">
        <v>0</v>
      </c>
      <c r="AD39" s="25">
        <f>IF(F39="",G39*4.11,F39*4.11)</f>
        <v>411.00000000000006</v>
      </c>
      <c r="AE39" s="25">
        <f>5344.3/500*F39</f>
        <v>1068.8600000000001</v>
      </c>
      <c r="AF39" s="25">
        <f>V39+Y39+Z39+AA39+AB39+AC39+AD39</f>
        <v>511611.68500000006</v>
      </c>
      <c r="AG39" s="25">
        <f>IFERROR(IFERROR((H39*W39*J39/15)-AE39,""),"")</f>
        <v>534957.22666666668</v>
      </c>
      <c r="AH39" s="26">
        <f>IFERROR(AG39-AF39,0)</f>
        <v>23345.541666666628</v>
      </c>
      <c r="AI39" s="25">
        <f>(AH39/$AH$103)*$AL$30</f>
        <v>423.53508598822725</v>
      </c>
      <c r="AJ39" s="25">
        <f>(AH39-AI39)*70%</f>
        <v>16045.40460647488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5"/>
      <c r="AC40" s="21"/>
      <c r="AD40" s="21"/>
      <c r="AE40" s="21"/>
      <c r="AF40" s="21"/>
      <c r="AG40" s="21"/>
      <c r="AH40" s="26">
        <f>IFERROR(AH39/F39,0)+IFERROR(AH39/G39,0)</f>
        <v>233.45541666666628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4.3640015505787902E-2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45267</v>
      </c>
      <c r="B44" s="21" t="s">
        <v>419</v>
      </c>
      <c r="C44" s="21" t="s">
        <v>565</v>
      </c>
      <c r="D44" s="44">
        <v>1897496</v>
      </c>
      <c r="E44" s="44" t="s">
        <v>652</v>
      </c>
      <c r="F44" s="21">
        <v>300</v>
      </c>
      <c r="G44" s="21"/>
      <c r="H44" s="22">
        <v>168640</v>
      </c>
      <c r="I44" s="33">
        <v>0.54500000000000004</v>
      </c>
      <c r="J44" s="24">
        <f>IFERROR(K44/H44,"")</f>
        <v>0.56389646584440223</v>
      </c>
      <c r="K44" s="22">
        <v>95095.5</v>
      </c>
      <c r="L44" s="21">
        <v>80</v>
      </c>
      <c r="M44" s="21">
        <v>153</v>
      </c>
      <c r="N44" s="21">
        <v>47</v>
      </c>
      <c r="O44" s="21">
        <v>15</v>
      </c>
      <c r="P44" s="21">
        <v>5</v>
      </c>
      <c r="Q44" s="21"/>
      <c r="R44" s="21"/>
      <c r="S44" s="21"/>
      <c r="T44" s="21"/>
      <c r="U44" s="25">
        <v>230</v>
      </c>
      <c r="V44" s="25">
        <f>H44*U44*I44/15</f>
        <v>1409268.2666666666</v>
      </c>
      <c r="W44" s="25">
        <v>252.4</v>
      </c>
      <c r="X44" s="25">
        <f>2672150.02/500*F44</f>
        <v>1603290.0120000001</v>
      </c>
      <c r="Y44" s="25">
        <f>IF(B44="FRANCISCO CAMACHO",((F44*42)+(G44*42)),IF(B44="DANILO VIANA",((F44*60)+(G44*60)),0))</f>
        <v>18000</v>
      </c>
      <c r="Z44" s="264">
        <f>20057.3+39885.9</f>
        <v>59943.199999999997</v>
      </c>
      <c r="AA44" s="25">
        <v>0</v>
      </c>
      <c r="AB44" s="264">
        <v>8625</v>
      </c>
      <c r="AC44" s="25">
        <f>F44*38</f>
        <v>11400</v>
      </c>
      <c r="AD44" s="25">
        <f>IF(F44="",G44*4.11,F44*4.11)</f>
        <v>1233</v>
      </c>
      <c r="AE44" s="25">
        <f>5344.3/500*F44</f>
        <v>3206.5800000000004</v>
      </c>
      <c r="AF44" s="25">
        <f>V44+Y44+Z44+AA44+AB44+AC44+AD44</f>
        <v>1508469.4666666666</v>
      </c>
      <c r="AG44" s="25">
        <f>IFERROR(IFERROR((H44*W44*J44/15)-AE44,""),"")</f>
        <v>1596933.7</v>
      </c>
      <c r="AH44" s="26">
        <f>IFERROR(AG44-AF44,0)</f>
        <v>88464.233333333395</v>
      </c>
      <c r="AI44" s="25">
        <f>(AH44/$AH$103)*$AL$30</f>
        <v>1604.919140737408</v>
      </c>
      <c r="AJ44" s="25">
        <f>(AH44-AI44)*70%</f>
        <v>60801.519934817188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5"/>
      <c r="AC45" s="21"/>
      <c r="AD45" s="21"/>
      <c r="AE45" s="21"/>
      <c r="AF45" s="21"/>
      <c r="AG45" s="21"/>
      <c r="AH45" s="26">
        <f>IFERROR(AH44/F44,0)+IFERROR(AH44/G44,0)</f>
        <v>294.88077777777801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5.5396309398025353E-2</v>
      </c>
    </row>
    <row r="47" spans="1:40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45268</v>
      </c>
      <c r="B49" s="21" t="s">
        <v>632</v>
      </c>
      <c r="C49" s="21" t="s">
        <v>697</v>
      </c>
      <c r="D49" s="44">
        <v>1896869</v>
      </c>
      <c r="E49" s="44" t="s">
        <v>652</v>
      </c>
      <c r="F49" s="21">
        <v>50</v>
      </c>
      <c r="G49" s="21"/>
      <c r="H49" s="22">
        <v>28760</v>
      </c>
      <c r="I49" s="33">
        <v>0.55000000000000004</v>
      </c>
      <c r="J49" s="24">
        <f>IFERROR(K49/H49,"")</f>
        <v>0.55794506258692633</v>
      </c>
      <c r="K49" s="22">
        <v>16046.5</v>
      </c>
      <c r="L49" s="21"/>
      <c r="M49" s="21">
        <v>19</v>
      </c>
      <c r="N49" s="21">
        <v>21</v>
      </c>
      <c r="O49" s="21">
        <v>9</v>
      </c>
      <c r="P49" s="21">
        <v>1</v>
      </c>
      <c r="Q49" s="21"/>
      <c r="R49" s="21"/>
      <c r="S49" s="21"/>
      <c r="T49" s="21"/>
      <c r="U49" s="43">
        <v>215</v>
      </c>
      <c r="V49" s="25">
        <f>H49*U49*I49/15</f>
        <v>226724.66666666669</v>
      </c>
      <c r="W49" s="25">
        <v>251.42</v>
      </c>
      <c r="X49" s="25">
        <f>2067762.03/399*F49</f>
        <v>259118.04887218046</v>
      </c>
      <c r="Y49" s="266">
        <f>IF(B49="FRANCISCO CAMACHO",((F49*42)+(G49*42)),IF(B49="DANILO VIANA",((F49*60)+(G49*60)),0))</f>
        <v>2100</v>
      </c>
      <c r="Z49" s="264">
        <v>19972.8</v>
      </c>
      <c r="AA49" s="25">
        <v>0</v>
      </c>
      <c r="AB49" s="264">
        <v>1343.75</v>
      </c>
      <c r="AC49" s="25">
        <v>0</v>
      </c>
      <c r="AD49" s="264">
        <f>IF(F49="",G49*4.11,F49*4.11)</f>
        <v>205.50000000000003</v>
      </c>
      <c r="AE49" s="25">
        <f>4135.52/399*F49</f>
        <v>518.23558897243117</v>
      </c>
      <c r="AF49" s="25">
        <f>V49+Y49+Z49+AA49+AB49+AC49+AD49</f>
        <v>250346.71666666667</v>
      </c>
      <c r="AG49" s="25">
        <f>IFERROR(IFERROR((H49*W49*J49/15)-AE49,""),"")</f>
        <v>268442.49974436086</v>
      </c>
      <c r="AH49" s="26">
        <f>IFERROR(AG49-AF49,0)</f>
        <v>18095.783077694185</v>
      </c>
      <c r="AI49" s="25">
        <f>(AH49/$AH$103)*$AL$30</f>
        <v>328.29390516042974</v>
      </c>
      <c r="AJ49" s="25">
        <f>(AH49-AI49)*70%</f>
        <v>12437.242420773628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5"/>
      <c r="AC50" s="21"/>
      <c r="AD50" s="21"/>
      <c r="AE50" s="21"/>
      <c r="AF50" s="21"/>
      <c r="AG50" s="21"/>
      <c r="AH50" s="26">
        <f>IFERROR(AH49/F49,0)+IFERROR(AH49/G49,0)</f>
        <v>361.91566155388369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6.7410276297258778E-2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45268</v>
      </c>
      <c r="B54" s="21" t="s">
        <v>632</v>
      </c>
      <c r="C54" s="21" t="s">
        <v>763</v>
      </c>
      <c r="D54" s="44">
        <v>1896869</v>
      </c>
      <c r="E54" s="44" t="s">
        <v>652</v>
      </c>
      <c r="F54" s="21">
        <v>50</v>
      </c>
      <c r="G54" s="21"/>
      <c r="H54" s="22">
        <v>26400</v>
      </c>
      <c r="I54" s="33">
        <v>0.54</v>
      </c>
      <c r="J54" s="24">
        <f>IFERROR(K54/H54,"")</f>
        <v>0.56820075757575761</v>
      </c>
      <c r="K54" s="22">
        <v>15000.5</v>
      </c>
      <c r="L54" s="21">
        <v>8</v>
      </c>
      <c r="M54" s="21">
        <v>28</v>
      </c>
      <c r="N54" s="21">
        <v>11</v>
      </c>
      <c r="O54" s="21">
        <v>3</v>
      </c>
      <c r="P54" s="21"/>
      <c r="Q54" s="21"/>
      <c r="R54" s="21"/>
      <c r="S54" s="21"/>
      <c r="T54" s="21"/>
      <c r="U54" s="25">
        <v>215</v>
      </c>
      <c r="V54" s="25">
        <f>H54*U54*I54/15</f>
        <v>204336</v>
      </c>
      <c r="W54" s="25">
        <v>251.42</v>
      </c>
      <c r="X54" s="25">
        <f>2067762.03/399*F54</f>
        <v>259118.04887218046</v>
      </c>
      <c r="Y54" s="266">
        <f>IF(B54="FRANCISCO CAMACHO",((F54*42)+(G54*42)),IF(B54="DANILO VIANA",((F54*60)+(G54*60)),0))</f>
        <v>2100</v>
      </c>
      <c r="Z54" s="264">
        <v>22780.03</v>
      </c>
      <c r="AA54" s="25">
        <v>0</v>
      </c>
      <c r="AB54" s="264">
        <v>1343.75</v>
      </c>
      <c r="AC54" s="25">
        <v>0</v>
      </c>
      <c r="AD54" s="264">
        <f>IF(F54="",G54*4.11,F54*4.11)</f>
        <v>205.50000000000003</v>
      </c>
      <c r="AE54" s="25">
        <f>4135.52/399*F54</f>
        <v>518.23558897243117</v>
      </c>
      <c r="AF54" s="25">
        <f>V54+Y54+Z54+AA54+AB54+AC54+AD54</f>
        <v>230765.28</v>
      </c>
      <c r="AG54" s="25">
        <f>IFERROR(IFERROR((H54*W54*J54/15)-AE54,""),"")</f>
        <v>250910.14507769427</v>
      </c>
      <c r="AH54" s="26">
        <f>IFERROR(AG54-AF54,0)</f>
        <v>20144.865077694267</v>
      </c>
      <c r="AI54" s="25">
        <f>(AH54/$AH$103)*$AL$30</f>
        <v>365.46837442134705</v>
      </c>
      <c r="AJ54" s="25">
        <f>(AH54-AI54)*70%</f>
        <v>13845.577692291043</v>
      </c>
      <c r="AL54" s="6"/>
      <c r="AM54" s="6"/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402.89730155388531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8.0287168426196612E-2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45268</v>
      </c>
      <c r="B59" s="21" t="s">
        <v>793</v>
      </c>
      <c r="C59" s="21" t="s">
        <v>840</v>
      </c>
      <c r="D59" s="44">
        <v>1896869</v>
      </c>
      <c r="E59" s="44" t="s">
        <v>652</v>
      </c>
      <c r="F59" s="21">
        <v>97</v>
      </c>
      <c r="G59" s="21"/>
      <c r="H59" s="22">
        <v>50315</v>
      </c>
      <c r="I59" s="33">
        <v>0.53</v>
      </c>
      <c r="J59" s="24">
        <f>IFERROR(K59/H59,"")</f>
        <v>0.53463181953691741</v>
      </c>
      <c r="K59" s="22">
        <v>26900</v>
      </c>
      <c r="L59" s="21">
        <v>19</v>
      </c>
      <c r="M59" s="21">
        <v>43</v>
      </c>
      <c r="N59" s="21">
        <v>26</v>
      </c>
      <c r="O59" s="21">
        <v>8</v>
      </c>
      <c r="P59" s="21">
        <v>1</v>
      </c>
      <c r="Q59" s="21"/>
      <c r="R59" s="21"/>
      <c r="S59" s="21"/>
      <c r="T59" s="21"/>
      <c r="U59" s="25">
        <v>230</v>
      </c>
      <c r="V59" s="25">
        <f>H59*U59*I59/15</f>
        <v>408893.23333333334</v>
      </c>
      <c r="W59" s="25">
        <v>251.42</v>
      </c>
      <c r="X59" s="25">
        <f>2067762.03/399*F59</f>
        <v>502689.01481203007</v>
      </c>
      <c r="Y59" s="25">
        <f>IF(B59="FRANCISCO CAMACHO",((F59*42)+(G59*42)),IF(B59="DANILO VIANA",((F59*60)+(G59*60)),0))</f>
        <v>0</v>
      </c>
      <c r="Z59" s="264">
        <v>22613.200000000001</v>
      </c>
      <c r="AA59" s="25">
        <v>0</v>
      </c>
      <c r="AB59" s="264">
        <v>2788.75</v>
      </c>
      <c r="AC59" s="25">
        <f>38*F59</f>
        <v>3686</v>
      </c>
      <c r="AD59" s="264">
        <f>IF(F59="",G59*4.11,F59*4.11)</f>
        <v>398.67</v>
      </c>
      <c r="AE59" s="25">
        <f>4135.52/399*F59</f>
        <v>1005.3770426065164</v>
      </c>
      <c r="AF59" s="25">
        <f>V59+Y59+Z59+AA59+AB59+AC59+AD59</f>
        <v>438379.85333333333</v>
      </c>
      <c r="AG59" s="25">
        <f>IFERROR(IFERROR((H59*W59*J59/15)-AE59,""),"")</f>
        <v>449874.48962406005</v>
      </c>
      <c r="AH59" s="26">
        <f>IFERROR(AG59-AF59,0)</f>
        <v>11494.636290726718</v>
      </c>
      <c r="AI59" s="25">
        <f>(AH59/$AH$103)*$AL$30</f>
        <v>208.53582406903587</v>
      </c>
      <c r="AJ59" s="25">
        <f>(AH59-AI59)*70%</f>
        <v>7900.2703266603758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118.50140505903832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2.5550762614551161E-2</v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>
        <v>45268</v>
      </c>
      <c r="B64" s="21" t="s">
        <v>841</v>
      </c>
      <c r="C64" s="21" t="s">
        <v>842</v>
      </c>
      <c r="D64" s="44">
        <v>1896869</v>
      </c>
      <c r="E64" s="44" t="s">
        <v>652</v>
      </c>
      <c r="F64" s="21">
        <v>27</v>
      </c>
      <c r="G64" s="21"/>
      <c r="H64" s="22">
        <v>14890</v>
      </c>
      <c r="I64" s="33">
        <v>0.53</v>
      </c>
      <c r="J64" s="24">
        <f>IFERROR(K64/H64,"")</f>
        <v>0.52558764271323033</v>
      </c>
      <c r="K64" s="22">
        <v>7826</v>
      </c>
      <c r="L64" s="21">
        <v>3</v>
      </c>
      <c r="M64" s="21">
        <v>23</v>
      </c>
      <c r="N64" s="21">
        <v>1</v>
      </c>
      <c r="O64" s="21"/>
      <c r="P64" s="21"/>
      <c r="Q64" s="21"/>
      <c r="R64" s="21"/>
      <c r="S64" s="21"/>
      <c r="T64" s="21"/>
      <c r="U64" s="25">
        <v>230</v>
      </c>
      <c r="V64" s="25">
        <f>H64*U64*I64/15</f>
        <v>121006.06666666667</v>
      </c>
      <c r="W64" s="25">
        <v>251.42</v>
      </c>
      <c r="X64" s="25">
        <f>2067762.03/399*F64</f>
        <v>139923.74639097744</v>
      </c>
      <c r="Y64" s="25">
        <f>IF(B64="FRANCISCO CAMACHO",((F64*42)+(G64*42)),IF(B64="DANILO VIANA",((F64*60)+(G64*60)),0))</f>
        <v>0</v>
      </c>
      <c r="Z64" s="264">
        <v>4455</v>
      </c>
      <c r="AA64" s="25">
        <v>0</v>
      </c>
      <c r="AB64" s="264">
        <v>776.25</v>
      </c>
      <c r="AC64" s="25">
        <f>38*F64</f>
        <v>1026</v>
      </c>
      <c r="AD64" s="264">
        <f>IF(F64="",G64*4.11,F64*4.11)</f>
        <v>110.97000000000001</v>
      </c>
      <c r="AE64" s="25">
        <f>4135.52/399*F64</f>
        <v>279.84721804511281</v>
      </c>
      <c r="AF64" s="25">
        <f>V64+Y64+Z64+AA64+AB64+AC64+AD64</f>
        <v>127374.28666666667</v>
      </c>
      <c r="AG64" s="25">
        <f>IFERROR(IFERROR((H64*W64*J64/15)-AE64,""),"")</f>
        <v>130894.34744862154</v>
      </c>
      <c r="AH64" s="26">
        <f>IFERROR(AG64-AF64,0)</f>
        <v>3520.060781954875</v>
      </c>
      <c r="AI64" s="25">
        <f>(AH64/$AH$103)*$AL$30</f>
        <v>63.860983277065976</v>
      </c>
      <c r="AJ64" s="25">
        <f>(AH64-AI64)*70%</f>
        <v>2419.3398590744664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130.37262155388427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2.6892381913868085E-2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45268</v>
      </c>
      <c r="B69" s="21" t="s">
        <v>632</v>
      </c>
      <c r="C69" s="21" t="s">
        <v>763</v>
      </c>
      <c r="D69" s="44">
        <v>1896869</v>
      </c>
      <c r="E69" s="44" t="s">
        <v>652</v>
      </c>
      <c r="F69" s="21">
        <v>150</v>
      </c>
      <c r="G69" s="21"/>
      <c r="H69" s="22">
        <v>87320</v>
      </c>
      <c r="I69" s="33">
        <v>0.55000000000000004</v>
      </c>
      <c r="J69" s="24">
        <f>IFERROR(K69/H69,"")</f>
        <v>0.5609768666972057</v>
      </c>
      <c r="K69" s="22">
        <v>48984.5</v>
      </c>
      <c r="L69" s="21">
        <v>39</v>
      </c>
      <c r="M69" s="21">
        <v>22</v>
      </c>
      <c r="N69" s="21">
        <v>71</v>
      </c>
      <c r="O69" s="21">
        <v>18</v>
      </c>
      <c r="P69" s="21"/>
      <c r="Q69" s="21"/>
      <c r="R69" s="21"/>
      <c r="S69" s="21"/>
      <c r="T69" s="21"/>
      <c r="U69" s="25">
        <v>220</v>
      </c>
      <c r="V69" s="25">
        <f>H69*U69*I69/15</f>
        <v>704381.33333333337</v>
      </c>
      <c r="W69" s="25">
        <v>251.42</v>
      </c>
      <c r="X69" s="25">
        <f>2067762.03/399*F69</f>
        <v>777354.14661654131</v>
      </c>
      <c r="Y69" s="266">
        <f>IF(B69="FRANCISCO CAMACHO",((F69*42)+(G69*42)),IF(B69="DANILO VIANA",((F69*60)+(G69*60)),0))</f>
        <v>6300</v>
      </c>
      <c r="Z69" s="264">
        <v>70000.2</v>
      </c>
      <c r="AA69" s="25">
        <v>0</v>
      </c>
      <c r="AB69" s="264">
        <v>4125</v>
      </c>
      <c r="AC69" s="25">
        <v>0</v>
      </c>
      <c r="AD69" s="264">
        <f>IF(F69="",G69*4.11,F69*4.11)</f>
        <v>616.5</v>
      </c>
      <c r="AE69" s="25">
        <f>4135.52/399*F69</f>
        <v>1554.7067669172934</v>
      </c>
      <c r="AF69" s="25">
        <f>V69+Y69+Z69+AA69+AB69+AC69+AD69</f>
        <v>785423.03333333333</v>
      </c>
      <c r="AG69" s="25">
        <f>IFERROR(IFERROR((H69*W69*J69/15)-AE69,""),"")</f>
        <v>819490.82589974941</v>
      </c>
      <c r="AH69" s="26">
        <f>IFERROR(AG69-AF69,0)</f>
        <v>34067.792566416087</v>
      </c>
      <c r="AI69" s="25">
        <f>(AH69/$AH$103)*$AL$30</f>
        <v>618.05828539194238</v>
      </c>
      <c r="AJ69" s="25">
        <f>(AH69-AI69)*70%</f>
        <v>23414.813996716901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227.11861710944058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4.1571902319970197E-2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45268</v>
      </c>
      <c r="B74" s="21" t="s">
        <v>843</v>
      </c>
      <c r="C74" s="21" t="s">
        <v>842</v>
      </c>
      <c r="D74" s="44">
        <v>412706</v>
      </c>
      <c r="E74" s="44" t="s">
        <v>643</v>
      </c>
      <c r="F74" s="21">
        <v>117</v>
      </c>
      <c r="G74" s="21"/>
      <c r="H74" s="22">
        <f>85745/150*F74</f>
        <v>66881.100000000006</v>
      </c>
      <c r="I74" s="33">
        <v>0.53</v>
      </c>
      <c r="J74" s="24">
        <f>IFERROR(K74/H74,"")</f>
        <v>0.53729080412852059</v>
      </c>
      <c r="K74" s="22">
        <v>35934.6</v>
      </c>
      <c r="L74" s="21">
        <v>4</v>
      </c>
      <c r="M74" s="21">
        <v>51</v>
      </c>
      <c r="N74" s="21">
        <v>61</v>
      </c>
      <c r="O74" s="21">
        <v>1</v>
      </c>
      <c r="P74" s="21"/>
      <c r="Q74" s="21"/>
      <c r="R74" s="21"/>
      <c r="S74" s="21"/>
      <c r="T74" s="21"/>
      <c r="U74" s="25">
        <v>235</v>
      </c>
      <c r="V74" s="25">
        <f>H74*U74*I74/15</f>
        <v>555336.06700000016</v>
      </c>
      <c r="W74" s="25">
        <v>273.94393442167598</v>
      </c>
      <c r="X74" s="25">
        <f>(K74/15)*W74</f>
        <v>656271.04705794377</v>
      </c>
      <c r="Y74" s="25">
        <f>IF(B74="FRANCISCO CAMACHO",((F74*42)+(G74*42)),IF(B74="DANILO VIANA",((F74*60)+(G74*60)),0))</f>
        <v>0</v>
      </c>
      <c r="Z74" s="264">
        <f>(4759.6+9720.6)/150*F74</f>
        <v>11294.556</v>
      </c>
      <c r="AA74" s="25">
        <v>0</v>
      </c>
      <c r="AB74" s="264">
        <f>4406.25/150*F74</f>
        <v>3436.875</v>
      </c>
      <c r="AC74" s="25">
        <f>38*F74</f>
        <v>4446</v>
      </c>
      <c r="AD74" s="25">
        <f>IF(F74="",G74*4.11,F74*4.11)</f>
        <v>480.87000000000006</v>
      </c>
      <c r="AE74" s="25">
        <v>1312.54</v>
      </c>
      <c r="AF74" s="25">
        <f>V74+Y74+Z74+AA74+AB74+AC74+AD74</f>
        <v>574994.36800000013</v>
      </c>
      <c r="AG74" s="25">
        <f>IFERROR(IFERROR((H74*W74*J74/15)-AE74,""),"")</f>
        <v>654958.50705794385</v>
      </c>
      <c r="AH74" s="26">
        <f>IFERROR(AG74-AF74,0)</f>
        <v>79964.139057943714</v>
      </c>
      <c r="AI74" s="25">
        <f>(AH74/$AH$103)*$AL$30</f>
        <v>1450.710332424534</v>
      </c>
      <c r="AJ74" s="25">
        <f>(AH74-AI74)*70%</f>
        <v>54959.400107863417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683.45417998242488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0.12209038923265612</v>
      </c>
    </row>
    <row r="77" spans="1:36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>
        <v>45268</v>
      </c>
      <c r="B79" s="21" t="s">
        <v>843</v>
      </c>
      <c r="C79" s="21" t="s">
        <v>842</v>
      </c>
      <c r="D79" s="44">
        <v>412711</v>
      </c>
      <c r="E79" s="44" t="s">
        <v>643</v>
      </c>
      <c r="F79" s="21">
        <v>33</v>
      </c>
      <c r="G79" s="21"/>
      <c r="H79" s="22">
        <f>85745/150*F79</f>
        <v>18863.900000000001</v>
      </c>
      <c r="I79" s="33">
        <v>0.53</v>
      </c>
      <c r="J79" s="24">
        <f>IFERROR(K79/H79,"")</f>
        <v>0.54132496461495228</v>
      </c>
      <c r="K79" s="22">
        <v>10211.5</v>
      </c>
      <c r="L79" s="21">
        <v>1</v>
      </c>
      <c r="M79" s="21">
        <v>13</v>
      </c>
      <c r="N79" s="21">
        <v>19</v>
      </c>
      <c r="O79" s="21"/>
      <c r="P79" s="21"/>
      <c r="Q79" s="21"/>
      <c r="R79" s="21"/>
      <c r="S79" s="21"/>
      <c r="T79" s="21"/>
      <c r="U79" s="25">
        <v>235</v>
      </c>
      <c r="V79" s="25">
        <f>H79*U79*I79/15</f>
        <v>156633.24966666667</v>
      </c>
      <c r="W79" s="25">
        <v>275.76</v>
      </c>
      <c r="X79" s="25">
        <f>(K79/15)*W79</f>
        <v>187728.21599999999</v>
      </c>
      <c r="Y79" s="25">
        <f>IF(B79="FRANCISCO CAMACHO",((F79*42)+(G79*42)),IF(B79="DANILO VIANA",((F79*60)+(G79*60)),0))</f>
        <v>0</v>
      </c>
      <c r="Z79" s="264">
        <f>(4759.6+9720.6)/150*F79</f>
        <v>3185.6439999999998</v>
      </c>
      <c r="AA79" s="25">
        <v>0</v>
      </c>
      <c r="AB79" s="264">
        <f>4406.25/150*F79</f>
        <v>969.375</v>
      </c>
      <c r="AC79" s="25">
        <f>38*F79</f>
        <v>1254</v>
      </c>
      <c r="AD79" s="25">
        <f>IF(F79="",G79*4.11,F79*4.11)</f>
        <v>135.63000000000002</v>
      </c>
      <c r="AE79" s="25">
        <f>(937.89/78*F79)</f>
        <v>396.79961538461538</v>
      </c>
      <c r="AF79" s="25">
        <f>V79+Y79+Z79+AA79+AB79+AC79+AD79</f>
        <v>162177.89866666668</v>
      </c>
      <c r="AG79" s="25">
        <f>IFERROR(IFERROR((H79*W79*J79/15)-AE79,""),"")</f>
        <v>187331.41638461538</v>
      </c>
      <c r="AH79" s="26">
        <f>IFERROR(AG79-AF79,0)</f>
        <v>25153.517717948707</v>
      </c>
      <c r="AI79" s="25">
        <f>(AH79/$AH$103)*$AL$30</f>
        <v>456.33540834860992</v>
      </c>
      <c r="AJ79" s="25">
        <f>(AH79-AI79)*70%</f>
        <v>17288.027616720068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762.22780963480932</v>
      </c>
    </row>
    <row r="81" spans="1:36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>
        <f>IFERROR(AH79/AG79,"")</f>
        <v>0.13427282088288553</v>
      </c>
    </row>
    <row r="82" spans="1:36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>
        <v>45269</v>
      </c>
      <c r="B84" s="21" t="s">
        <v>844</v>
      </c>
      <c r="C84" s="21" t="s">
        <v>845</v>
      </c>
      <c r="D84" s="44">
        <v>1896869</v>
      </c>
      <c r="E84" s="44" t="s">
        <v>652</v>
      </c>
      <c r="F84" s="21">
        <v>25</v>
      </c>
      <c r="G84" s="21"/>
      <c r="H84" s="22">
        <v>16110</v>
      </c>
      <c r="I84" s="33">
        <v>0.55000000000000004</v>
      </c>
      <c r="J84" s="24">
        <f>IFERROR(K84/H84,"")</f>
        <v>0.53420235878336442</v>
      </c>
      <c r="K84" s="22">
        <v>8606</v>
      </c>
      <c r="L84" s="21">
        <v>14</v>
      </c>
      <c r="M84" s="21">
        <v>11</v>
      </c>
      <c r="N84" s="21"/>
      <c r="O84" s="21"/>
      <c r="P84" s="21"/>
      <c r="Q84" s="21"/>
      <c r="R84" s="21"/>
      <c r="S84" s="21"/>
      <c r="T84" s="21"/>
      <c r="U84" s="25">
        <v>240</v>
      </c>
      <c r="V84" s="25">
        <f>H84*U84*I84/15</f>
        <v>141768</v>
      </c>
      <c r="W84" s="25">
        <v>251.42</v>
      </c>
      <c r="X84" s="25">
        <f>2067762.03/399*F84</f>
        <v>129559.02443609023</v>
      </c>
      <c r="Y84" s="25">
        <f>IF(B84="FRANCISCO CAMACHO",((F84*42)+(G84*42)),IF(B84="DANILO VIANA",((F84*60)+(G84*60)),0))</f>
        <v>0</v>
      </c>
      <c r="Z84" s="264">
        <v>1936</v>
      </c>
      <c r="AA84" s="25">
        <v>0</v>
      </c>
      <c r="AB84" s="264">
        <v>750</v>
      </c>
      <c r="AC84" s="25">
        <v>0</v>
      </c>
      <c r="AD84" s="264">
        <f>IF(F84="",G84*4.11,F84*4.11)</f>
        <v>102.75000000000001</v>
      </c>
      <c r="AE84" s="25">
        <f>4135.52/399*F84</f>
        <v>259.11779448621559</v>
      </c>
      <c r="AF84" s="25">
        <f>V84+Y84+Z84+AA84+AB84+AC84+AD84</f>
        <v>144556.75</v>
      </c>
      <c r="AG84" s="25">
        <f>IFERROR(IFERROR((H84*W84*J84/15)-AE84,""),"")</f>
        <v>143988.91687218045</v>
      </c>
      <c r="AH84" s="26">
        <f>IFERROR(AG84-AF84,0)</f>
        <v>-567.83312781955465</v>
      </c>
      <c r="AI84" s="25">
        <f>(AH84/$AH$103)*$AL$30</f>
        <v>-10.301635149524389</v>
      </c>
      <c r="AJ84" s="25">
        <f>(AH84-AI84)*70%</f>
        <v>-390.27204486902116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-22.713325112782186</v>
      </c>
    </row>
    <row r="86" spans="1:36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>
        <f>IFERROR(AH84/AG84,"")</f>
        <v>-3.9435891327915364E-3</v>
      </c>
    </row>
    <row r="87" spans="1:36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>
        <v>45269</v>
      </c>
      <c r="B89" s="21" t="s">
        <v>419</v>
      </c>
      <c r="C89" s="21" t="s">
        <v>341</v>
      </c>
      <c r="D89" s="44">
        <v>66664</v>
      </c>
      <c r="E89" s="44" t="s">
        <v>832</v>
      </c>
      <c r="F89" s="21">
        <v>49</v>
      </c>
      <c r="G89" s="21"/>
      <c r="H89" s="22">
        <f>25500/50*F89</f>
        <v>24990</v>
      </c>
      <c r="I89" s="33">
        <v>0.52</v>
      </c>
      <c r="J89" s="24">
        <f>IFERROR(K89/H89,"")</f>
        <v>0.57727866904337488</v>
      </c>
      <c r="K89" s="22">
        <f>58293.6/198*F89</f>
        <v>14426.193939393937</v>
      </c>
      <c r="L89" s="21">
        <v>26</v>
      </c>
      <c r="M89" s="21">
        <v>23</v>
      </c>
      <c r="N89" s="21"/>
      <c r="O89" s="21"/>
      <c r="P89" s="21"/>
      <c r="Q89" s="21"/>
      <c r="R89" s="21"/>
      <c r="S89" s="21"/>
      <c r="T89" s="21"/>
      <c r="U89" s="25">
        <v>232</v>
      </c>
      <c r="V89" s="25">
        <f>H89*U89*I89/15</f>
        <v>200986.24000000002</v>
      </c>
      <c r="W89" s="25">
        <v>250</v>
      </c>
      <c r="X89" s="25">
        <f>970138.51/198*F89</f>
        <v>240084.78277777776</v>
      </c>
      <c r="Y89" s="25">
        <f>IF(B89="FRANCISCO CAMACHO",((F89*42)+(G89*42)),IF(B89="DANILO VIANA",((F89*60)+(G89*60)),0))</f>
        <v>2940</v>
      </c>
      <c r="Z89" s="264">
        <v>9461.4</v>
      </c>
      <c r="AA89" s="25">
        <v>0</v>
      </c>
      <c r="AB89" s="264">
        <v>1450</v>
      </c>
      <c r="AC89" s="25">
        <f>F89*38</f>
        <v>1862</v>
      </c>
      <c r="AD89" s="25">
        <f>IF(F89="",G89*4.11,F89*4.11)</f>
        <v>201.39000000000001</v>
      </c>
      <c r="AE89" s="25">
        <f>1994.27/198*F89</f>
        <v>493.53146464646466</v>
      </c>
      <c r="AF89" s="25">
        <f>V89+Y89+Z89+AA89+AB89+AC89+AD89</f>
        <v>216901.03000000003</v>
      </c>
      <c r="AG89" s="25">
        <f>IFERROR(IFERROR((H89*W89*J89/15)-AE89,""),"")</f>
        <v>239943.03419191917</v>
      </c>
      <c r="AH89" s="26">
        <f>IFERROR(AG89-AF89,0)</f>
        <v>23042.004191919143</v>
      </c>
      <c r="AI89" s="25">
        <f>(AH89/$AH$103)*$AL$30</f>
        <v>418.02830562290444</v>
      </c>
      <c r="AJ89" s="25">
        <f>(AH89-AI89)*70%</f>
        <v>15836.783120407365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470.24498350855396</v>
      </c>
    </row>
    <row r="91" spans="1:36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>
        <f>IFERROR(AH89/AG89,"")</f>
        <v>9.6031144515280761E-2</v>
      </c>
    </row>
    <row r="92" spans="1:36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>
        <v>45269</v>
      </c>
      <c r="B94" s="21" t="s">
        <v>632</v>
      </c>
      <c r="C94" s="21" t="s">
        <v>611</v>
      </c>
      <c r="D94" s="44">
        <v>66664</v>
      </c>
      <c r="E94" s="44" t="s">
        <v>832</v>
      </c>
      <c r="F94" s="21">
        <v>149</v>
      </c>
      <c r="G94" s="21"/>
      <c r="H94" s="22">
        <f>82333/150*F94</f>
        <v>81784.113333333327</v>
      </c>
      <c r="I94" s="33">
        <v>0.55000000000000004</v>
      </c>
      <c r="J94" s="24">
        <f>IFERROR(K94/H94,"")</f>
        <v>0.53638053006471498</v>
      </c>
      <c r="K94" s="22">
        <f>58293.6/198*F94</f>
        <v>43867.406060606052</v>
      </c>
      <c r="L94" s="21">
        <v>8</v>
      </c>
      <c r="M94" s="21">
        <v>49</v>
      </c>
      <c r="N94" s="21">
        <v>89</v>
      </c>
      <c r="O94" s="21">
        <v>3</v>
      </c>
      <c r="P94" s="21"/>
      <c r="Q94" s="21"/>
      <c r="R94" s="21"/>
      <c r="S94" s="21"/>
      <c r="T94" s="21"/>
      <c r="U94" s="25">
        <v>220</v>
      </c>
      <c r="V94" s="25">
        <f>H94*U94*I94/15</f>
        <v>659725.18088888901</v>
      </c>
      <c r="W94" s="25">
        <v>250</v>
      </c>
      <c r="X94" s="25">
        <f>970138.51/198*F94</f>
        <v>730053.72722222214</v>
      </c>
      <c r="Y94" s="266">
        <f>IF(B94="FRANCISCO CAMACHO",((F94*42)+(G94*42)),IF(B94="DANILO VIANA",((F94*60)+(G94*60)),0))</f>
        <v>6258</v>
      </c>
      <c r="Z94" s="264">
        <f>22778.93+45796.32</f>
        <v>68575.25</v>
      </c>
      <c r="AA94" s="25">
        <v>0</v>
      </c>
      <c r="AB94" s="264">
        <v>4950</v>
      </c>
      <c r="AC94" s="25">
        <v>0</v>
      </c>
      <c r="AD94" s="25">
        <f>IF(F94="",G94*4.11,F94*4.11)</f>
        <v>612.3900000000001</v>
      </c>
      <c r="AE94" s="25">
        <f>1994.27/198*F94</f>
        <v>1500.7385353535356</v>
      </c>
      <c r="AF94" s="25">
        <f>V94+Y94+Z94+AA94+AB94+AC94+AD94</f>
        <v>740120.82088888902</v>
      </c>
      <c r="AG94" s="25">
        <f>IFERROR(IFERROR((H94*W94*J94/15)-AE94,""),"")</f>
        <v>729622.69580808072</v>
      </c>
      <c r="AH94" s="26">
        <f>IFERROR(AG94-AF94,0)</f>
        <v>-10498.125080808299</v>
      </c>
      <c r="AI94" s="25">
        <f>(AH94/$AH$103)*$AL$30</f>
        <v>-190.45710621329835</v>
      </c>
      <c r="AJ94" s="25">
        <f>(AH94-AI94)*70%</f>
        <v>-7215.3675822164996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5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-70.457215307438247</v>
      </c>
    </row>
    <row r="96" spans="1:36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-1.4388429994192115E-2</v>
      </c>
    </row>
    <row r="97" spans="1:36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>
        <v>45269</v>
      </c>
      <c r="B99" s="21" t="s">
        <v>632</v>
      </c>
      <c r="C99" s="21" t="s">
        <v>633</v>
      </c>
      <c r="D99" s="44">
        <v>1897518</v>
      </c>
      <c r="E99" s="44" t="s">
        <v>652</v>
      </c>
      <c r="F99" s="21">
        <v>100</v>
      </c>
      <c r="G99" s="21"/>
      <c r="H99" s="22">
        <v>61234</v>
      </c>
      <c r="I99" s="33">
        <v>0.55000000000000004</v>
      </c>
      <c r="J99" s="24">
        <f>IFERROR(K99/H99,"")</f>
        <v>0.54464839794885189</v>
      </c>
      <c r="K99" s="22">
        <v>33351</v>
      </c>
      <c r="L99" s="21">
        <v>9</v>
      </c>
      <c r="M99" s="21">
        <v>65</v>
      </c>
      <c r="N99" s="21">
        <v>25</v>
      </c>
      <c r="O99" s="21">
        <v>1</v>
      </c>
      <c r="P99" s="21"/>
      <c r="Q99" s="21"/>
      <c r="R99" s="21"/>
      <c r="S99" s="21"/>
      <c r="T99" s="21"/>
      <c r="U99" s="25">
        <v>220</v>
      </c>
      <c r="V99" s="25">
        <f>H99*U99*I99/15</f>
        <v>493954.26666666672</v>
      </c>
      <c r="W99" s="25">
        <v>254.91</v>
      </c>
      <c r="X99" s="25">
        <v>566763.80000000005</v>
      </c>
      <c r="Y99" s="266">
        <f>IF(B99="FRANCISCO CAMACHO",((F99*42)+(G99*42)),IF(B99="DANILO VIANA",((F99*60)+(G99*60)),0))</f>
        <v>4200</v>
      </c>
      <c r="Z99" s="264">
        <v>46223.09</v>
      </c>
      <c r="AA99" s="25">
        <v>0</v>
      </c>
      <c r="AB99" s="264">
        <v>2750</v>
      </c>
      <c r="AC99" s="25">
        <v>0</v>
      </c>
      <c r="AD99" s="25">
        <f>IF(F99="",G99*4.11,F99*4.11)</f>
        <v>411.00000000000006</v>
      </c>
      <c r="AE99" s="25">
        <v>1133.52</v>
      </c>
      <c r="AF99" s="25">
        <f>V99+Y99+Z99+AA99+AB99+AC99+AD99</f>
        <v>547538.35666666669</v>
      </c>
      <c r="AG99" s="25">
        <f>IFERROR(IFERROR((H99*W99*J99/15)-AE99,""),"")</f>
        <v>565633.37399999984</v>
      </c>
      <c r="AH99" s="26">
        <f>IFERROR(AG99-AF99,0)</f>
        <v>18095.017333333148</v>
      </c>
      <c r="AI99" s="25">
        <f>(AH99/$AH$103)*$AL$30</f>
        <v>328.28001301740608</v>
      </c>
      <c r="AJ99" s="25">
        <f>(AH99-AI99)*70%</f>
        <v>12436.716124221017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180.95017333333146</v>
      </c>
    </row>
    <row r="101" spans="1:36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>
        <f>IFERROR(AH99/AG99,"")</f>
        <v>3.1990717247411135E-2</v>
      </c>
    </row>
    <row r="102" spans="1:36" ht="15" thickBot="1" x14ac:dyDescent="0.4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ht="16" thickBot="1" x14ac:dyDescent="0.4">
      <c r="A103" s="377" t="s">
        <v>803</v>
      </c>
      <c r="B103" s="378"/>
      <c r="C103" s="378"/>
      <c r="D103" s="378"/>
      <c r="E103" s="378"/>
      <c r="F103" s="267">
        <f>SUM(F4:F102)</f>
        <v>2446</v>
      </c>
      <c r="G103" s="267">
        <f>SUM(G4:G102)</f>
        <v>0</v>
      </c>
      <c r="H103" s="30"/>
      <c r="I103" s="30"/>
      <c r="J103" s="30"/>
      <c r="K103" s="30"/>
      <c r="L103" s="46"/>
      <c r="M103" s="46"/>
      <c r="N103" s="46"/>
      <c r="O103" s="46"/>
      <c r="P103" s="46"/>
      <c r="Q103" s="46"/>
      <c r="R103" s="46"/>
      <c r="S103" s="46"/>
      <c r="T103" s="46"/>
      <c r="U103" s="30"/>
      <c r="V103" s="31">
        <f>SUM(V4:V97)</f>
        <v>10532585.094579365</v>
      </c>
      <c r="W103" s="31"/>
      <c r="X103" s="31"/>
      <c r="Y103" s="31">
        <f>SUM(Y4:Y102)</f>
        <v>109938</v>
      </c>
      <c r="Z103" s="31">
        <f t="shared" ref="Z103:AG103" si="0">SUM(Z4:Z102)</f>
        <v>750802.56999999983</v>
      </c>
      <c r="AA103" s="31">
        <f t="shared" si="0"/>
        <v>0</v>
      </c>
      <c r="AB103" s="31">
        <f t="shared" si="0"/>
        <v>69958.75</v>
      </c>
      <c r="AC103" s="31">
        <f t="shared" si="0"/>
        <v>52136</v>
      </c>
      <c r="AD103" s="31">
        <f t="shared" si="0"/>
        <v>10053.06</v>
      </c>
      <c r="AE103" s="31">
        <f t="shared" si="0"/>
        <v>25287.967115384618</v>
      </c>
      <c r="AF103" s="31">
        <f t="shared" si="0"/>
        <v>12019427.741246035</v>
      </c>
      <c r="AG103" s="31">
        <f t="shared" si="0"/>
        <v>12529192.051942563</v>
      </c>
      <c r="AH103" s="161">
        <f>AH4+AH9+AH14+AH19+AH24+AH29+AH34+AH39+AH44+AH49+AH54+AH59+AH64+AH69+AH74+AH79+AH84+AH89+AH94+AH99</f>
        <v>509764.31069652701</v>
      </c>
      <c r="AI103" s="165">
        <f>SUM(AI4:AI101)</f>
        <v>9248.15</v>
      </c>
      <c r="AJ103" s="165">
        <f>SUM(AJ4:AJ101)</f>
        <v>350361.31248756888</v>
      </c>
    </row>
    <row r="105" spans="1:36" x14ac:dyDescent="0.35">
      <c r="V105" s="162"/>
      <c r="AI105" s="25"/>
    </row>
  </sheetData>
  <mergeCells count="2">
    <mergeCell ref="U2:AC2"/>
    <mergeCell ref="A103:E10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80"/>
  <sheetViews>
    <sheetView zoomScale="85" zoomScaleNormal="85" workbookViewId="0">
      <pane xSplit="7" ySplit="3" topLeftCell="H22" activePane="bottomRight" state="frozen"/>
      <selection activeCell="X39" sqref="X39"/>
      <selection pane="topRight" activeCell="X39" sqref="X39"/>
      <selection pane="bottomLeft" activeCell="X39" sqref="X39"/>
      <selection pane="bottomRight" activeCell="X39" sqref="X39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23.269531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AF78</f>
        <v>6149033.3909333339</v>
      </c>
      <c r="AM3" s="164">
        <f>AH78-AI78</f>
        <v>229627.49485904703</v>
      </c>
    </row>
    <row r="4" spans="1:40" x14ac:dyDescent="0.35">
      <c r="A4" s="20">
        <v>45241</v>
      </c>
      <c r="B4" s="21" t="s">
        <v>419</v>
      </c>
      <c r="C4" s="21" t="s">
        <v>846</v>
      </c>
      <c r="D4" s="44">
        <v>1897527</v>
      </c>
      <c r="E4" s="44" t="s">
        <v>652</v>
      </c>
      <c r="F4" s="21">
        <v>100</v>
      </c>
      <c r="G4" s="21"/>
      <c r="H4" s="22">
        <v>58006</v>
      </c>
      <c r="I4" s="33">
        <v>0.55000000000000004</v>
      </c>
      <c r="J4" s="24">
        <f>IFERROR(K4/H4,"")</f>
        <v>0.55043443781677759</v>
      </c>
      <c r="K4" s="22">
        <v>31928.5</v>
      </c>
      <c r="L4" s="21">
        <v>29</v>
      </c>
      <c r="M4" s="21">
        <v>39</v>
      </c>
      <c r="N4" s="21">
        <v>22</v>
      </c>
      <c r="O4" s="21">
        <v>10</v>
      </c>
      <c r="P4" s="21"/>
      <c r="Q4" s="21"/>
      <c r="R4" s="21"/>
      <c r="S4" s="21"/>
      <c r="T4" s="21"/>
      <c r="U4" s="25">
        <v>240</v>
      </c>
      <c r="V4" s="25">
        <f>H4*U4*I4/15</f>
        <v>510452.80000000005</v>
      </c>
      <c r="W4" s="25">
        <v>253.44</v>
      </c>
      <c r="X4" s="25">
        <f>1008174.77/200*F4</f>
        <v>504087.38500000001</v>
      </c>
      <c r="Y4" s="25">
        <f>IF(B4="FRANCISCO CAMACHO",((F4*42)+(G4*42)),IF(B4="DANILO VIANA",((F4*60)+(G4*60)),0))</f>
        <v>6000</v>
      </c>
      <c r="Z4" s="264">
        <v>16032.4</v>
      </c>
      <c r="AA4" s="25">
        <v>0</v>
      </c>
      <c r="AB4" s="264">
        <v>3000</v>
      </c>
      <c r="AC4" s="25">
        <f>38*F4</f>
        <v>3800</v>
      </c>
      <c r="AD4" s="25">
        <f>IF(F4="",G4*4.11,F4*4.11)</f>
        <v>411.00000000000006</v>
      </c>
      <c r="AE4" s="25">
        <f>2016.34/200*F4</f>
        <v>1008.17</v>
      </c>
      <c r="AF4" s="25">
        <f>V4+Y4+Z4+AA4+AB4+AC4+AD4</f>
        <v>539696.20000000007</v>
      </c>
      <c r="AG4" s="25">
        <f>IFERROR(IFERROR((H4*W4*J4/15)-AE4,""),"")</f>
        <v>538455.76600000006</v>
      </c>
      <c r="AH4" s="26">
        <f>IFERROR(AG4-AF4,0)</f>
        <v>-1240.4340000000084</v>
      </c>
      <c r="AI4" s="25">
        <f>(AH4/$AH$78)*$AL$30</f>
        <v>-10.455175107758203</v>
      </c>
      <c r="AJ4" s="25">
        <f>(AH4-AI4)*70%</f>
        <v>-860.98517742457511</v>
      </c>
      <c r="AL4" s="166" t="s">
        <v>749</v>
      </c>
      <c r="AM4" s="167">
        <f>AM3/AL3</f>
        <v>3.7343673429653133E-2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-12.404340000000083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-2.3036878390489892E-3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45241</v>
      </c>
      <c r="B9" s="21" t="s">
        <v>632</v>
      </c>
      <c r="C9" s="21" t="s">
        <v>838</v>
      </c>
      <c r="D9" s="44">
        <v>1897578</v>
      </c>
      <c r="E9" s="44" t="s">
        <v>652</v>
      </c>
      <c r="F9" s="21">
        <v>150</v>
      </c>
      <c r="G9" s="21"/>
      <c r="H9" s="22">
        <v>83874</v>
      </c>
      <c r="I9" s="33">
        <v>0.55000000000000004</v>
      </c>
      <c r="J9" s="24">
        <f>IFERROR(K9/H9,"")</f>
        <v>0.543398430979803</v>
      </c>
      <c r="K9" s="22">
        <v>45577</v>
      </c>
      <c r="L9" s="21">
        <v>10</v>
      </c>
      <c r="M9" s="21">
        <v>70</v>
      </c>
      <c r="N9" s="21">
        <v>68</v>
      </c>
      <c r="O9" s="21">
        <v>2</v>
      </c>
      <c r="P9" s="21"/>
      <c r="Q9" s="21"/>
      <c r="R9" s="21"/>
      <c r="S9" s="21"/>
      <c r="T9" s="21"/>
      <c r="U9" s="25">
        <v>220</v>
      </c>
      <c r="V9" s="25">
        <f>H9*U9*I9/15</f>
        <v>676583.6</v>
      </c>
      <c r="W9" s="25">
        <v>257.36</v>
      </c>
      <c r="X9" s="25">
        <f>1017656.36/200*F9</f>
        <v>763242.27</v>
      </c>
      <c r="Y9" s="266">
        <f>IF(B9="FRANCISCO CAMACHO",((F9*42)+(G9*42)),IF(B9="DANILO VIANA",((F9*60)+(G9*60)),0))</f>
        <v>6300</v>
      </c>
      <c r="Z9" s="264">
        <f>23134.85+45237</f>
        <v>68371.850000000006</v>
      </c>
      <c r="AA9" s="25">
        <v>0</v>
      </c>
      <c r="AB9" s="264">
        <v>4125</v>
      </c>
      <c r="AC9" s="25">
        <v>0</v>
      </c>
      <c r="AD9" s="25">
        <f>IF(F9="",G9*4.11,F9*4.11)</f>
        <v>616.5</v>
      </c>
      <c r="AE9" s="25">
        <f>2035.31/200*F9</f>
        <v>1526.4824999999998</v>
      </c>
      <c r="AF9" s="25">
        <f>V9+Y9+Z9+AA9+AB9+AC9+AD9</f>
        <v>755996.95</v>
      </c>
      <c r="AG9" s="25">
        <f>IFERROR(IFERROR((H9*W9*J9/15)-AE9,""),"")</f>
        <v>780453.29883333319</v>
      </c>
      <c r="AH9" s="26">
        <f>IFERROR(AG9-AF9,0)</f>
        <v>24456.348833333235</v>
      </c>
      <c r="AI9" s="25">
        <f>(AH9/$AH$78)*$AL$30</f>
        <v>206.13382860266267</v>
      </c>
      <c r="AJ9" s="25">
        <f>(AH9-AI9)*70%</f>
        <v>16975.150503311401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163.0423255555549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3.1336082338164248E-2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45241</v>
      </c>
      <c r="B14" s="21" t="s">
        <v>419</v>
      </c>
      <c r="C14" s="21" t="s">
        <v>404</v>
      </c>
      <c r="D14" s="44">
        <v>1897527</v>
      </c>
      <c r="E14" s="44" t="s">
        <v>652</v>
      </c>
      <c r="F14" s="21">
        <v>100</v>
      </c>
      <c r="G14" s="21"/>
      <c r="H14" s="22">
        <v>51420</v>
      </c>
      <c r="I14" s="33">
        <v>0.55000000000000004</v>
      </c>
      <c r="J14" s="24">
        <f>IFERROR(K14/H14,"")</f>
        <v>0.53949824970828475</v>
      </c>
      <c r="K14" s="22">
        <v>27741</v>
      </c>
      <c r="L14" s="21">
        <v>5</v>
      </c>
      <c r="M14" s="21">
        <v>71</v>
      </c>
      <c r="N14" s="21">
        <v>19</v>
      </c>
      <c r="O14" s="21">
        <v>5</v>
      </c>
      <c r="P14" s="21"/>
      <c r="Q14" s="21"/>
      <c r="R14" s="21"/>
      <c r="S14" s="21"/>
      <c r="T14" s="21"/>
      <c r="U14" s="25">
        <v>240</v>
      </c>
      <c r="V14" s="25">
        <f>H14*U14*I14/15</f>
        <v>452496.00000000006</v>
      </c>
      <c r="W14" s="25">
        <v>253.44</v>
      </c>
      <c r="X14" s="25">
        <f>1008174.77/200*F14</f>
        <v>504087.38500000001</v>
      </c>
      <c r="Y14" s="25">
        <f>IF(B14="FRANCISCO CAMACHO",((F14*42)+(G14*42)),IF(B14="DANILO VIANA",((F14*60)+(G14*60)),0))</f>
        <v>6000</v>
      </c>
      <c r="Z14" s="264">
        <f>31734/150*F14</f>
        <v>21156</v>
      </c>
      <c r="AA14" s="25">
        <v>0</v>
      </c>
      <c r="AB14" s="264">
        <v>3000</v>
      </c>
      <c r="AC14" s="25">
        <f>38*F14</f>
        <v>3800</v>
      </c>
      <c r="AD14" s="25">
        <f>IF(F14="",G14*4.11,F14*4.11)</f>
        <v>411.00000000000006</v>
      </c>
      <c r="AE14" s="25">
        <f>2016.34/200*F14</f>
        <v>1008.17</v>
      </c>
      <c r="AF14" s="25">
        <f>V14+Y14+Z14+AA14+AB14+AC14+AD14</f>
        <v>486863.00000000006</v>
      </c>
      <c r="AG14" s="25">
        <f>IFERROR(IFERROR((H14*W14*J14/15)-AE14,""),"")</f>
        <v>467703.76600000006</v>
      </c>
      <c r="AH14" s="26">
        <f>IFERROR(AG14-AF14,0)</f>
        <v>-19159.233999999997</v>
      </c>
      <c r="AI14" s="25">
        <f>(AH14/$AH$78)*$AL$30</f>
        <v>-161.48633978149039</v>
      </c>
      <c r="AJ14" s="25">
        <f>(AH14-AI14)*70%</f>
        <v>-13298.423362152953</v>
      </c>
      <c r="AL14" s="14">
        <f>F4+G4+F9+G9+F14+G14+F19+G19+F24+G24+F29+G29+F34+G34+F39+G39+F44+G44+F49+G49+F54+G54+F59+G59+F69+G69+F74+G74+F64+G64</f>
        <v>1244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-191.59233999999998</v>
      </c>
      <c r="AL15" s="11">
        <f>AH78</f>
        <v>231579.39485904702</v>
      </c>
      <c r="AM15" s="11">
        <f>AL15*30%</f>
        <v>69473.818457714107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-4.0964463818322118E-2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45241</v>
      </c>
      <c r="B19" s="21" t="s">
        <v>419</v>
      </c>
      <c r="C19" s="21" t="s">
        <v>404</v>
      </c>
      <c r="D19" s="44">
        <v>1897578</v>
      </c>
      <c r="E19" s="44" t="s">
        <v>652</v>
      </c>
      <c r="F19" s="21">
        <v>50</v>
      </c>
      <c r="G19" s="21"/>
      <c r="H19" s="22">
        <v>25260</v>
      </c>
      <c r="I19" s="33">
        <v>0.55000000000000004</v>
      </c>
      <c r="J19" s="24">
        <f>IFERROR(K19/H19,"")</f>
        <v>0.54378463974663505</v>
      </c>
      <c r="K19" s="22">
        <v>13736</v>
      </c>
      <c r="L19" s="21">
        <v>3</v>
      </c>
      <c r="M19" s="21">
        <v>38</v>
      </c>
      <c r="N19" s="21">
        <v>8</v>
      </c>
      <c r="O19" s="21">
        <v>1</v>
      </c>
      <c r="P19" s="21"/>
      <c r="Q19" s="21"/>
      <c r="R19" s="21"/>
      <c r="S19" s="21"/>
      <c r="T19" s="21"/>
      <c r="U19" s="25">
        <v>240</v>
      </c>
      <c r="V19" s="25">
        <f>H19*U19*I19/15</f>
        <v>222288.00000000003</v>
      </c>
      <c r="W19" s="25">
        <v>257.36</v>
      </c>
      <c r="X19" s="25">
        <f>1017656.36/200*F19</f>
        <v>254414.09</v>
      </c>
      <c r="Y19" s="25">
        <f>IF(B19="FRANCISCO CAMACHO",((F19*42)+(G19*42)),IF(B19="DANILO VIANA",((F19*60)+(G19*60)),0))</f>
        <v>3000</v>
      </c>
      <c r="Z19" s="264">
        <f>31734/150*F19</f>
        <v>10578</v>
      </c>
      <c r="AA19" s="25">
        <v>0</v>
      </c>
      <c r="AB19" s="264">
        <v>1500</v>
      </c>
      <c r="AC19" s="25">
        <f>38*F19</f>
        <v>1900</v>
      </c>
      <c r="AD19" s="25">
        <f>IF(F19="",G19*4.11,F19*4.11)</f>
        <v>205.50000000000003</v>
      </c>
      <c r="AE19" s="25">
        <f>2035.31/200*F19</f>
        <v>508.82749999999993</v>
      </c>
      <c r="AF19" s="25">
        <f>V19+Y19+Z19+AA19+AB19+AC19+AD19</f>
        <v>239471.50000000003</v>
      </c>
      <c r="AG19" s="25">
        <f>IFERROR(IFERROR((H19*W19*J19/15)-AE19,""),"")</f>
        <v>235164.30316666668</v>
      </c>
      <c r="AH19" s="26">
        <f>IFERROR(AG19-AF19,0)</f>
        <v>-4307.1968333333498</v>
      </c>
      <c r="AI19" s="25">
        <f>(AH19/$AH$78)*$AL$30</f>
        <v>-36.303823594065861</v>
      </c>
      <c r="AJ19" s="25">
        <f>(AH19-AI19)*70%</f>
        <v>-2989.6251068174988</v>
      </c>
      <c r="AL19" s="178">
        <v>1716.9</v>
      </c>
      <c r="AM19" s="6" t="s">
        <v>814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-86.143936666667003</v>
      </c>
      <c r="AL20" s="178">
        <v>235</v>
      </c>
      <c r="AM20" s="6" t="s">
        <v>728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-1.8315691520071967E-2</v>
      </c>
      <c r="AL21" s="178"/>
      <c r="AM21" s="6"/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/>
      <c r="AM22" s="6"/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/>
      <c r="AM23" s="6"/>
      <c r="AN23" s="174"/>
    </row>
    <row r="24" spans="1:40" x14ac:dyDescent="0.35">
      <c r="A24" s="20">
        <v>45272</v>
      </c>
      <c r="B24" s="21" t="s">
        <v>632</v>
      </c>
      <c r="C24" s="21" t="s">
        <v>697</v>
      </c>
      <c r="D24" s="44">
        <v>1897591</v>
      </c>
      <c r="E24" s="44" t="s">
        <v>652</v>
      </c>
      <c r="F24" s="21">
        <v>50</v>
      </c>
      <c r="G24" s="21"/>
      <c r="H24" s="22">
        <v>28580</v>
      </c>
      <c r="I24" s="33">
        <v>0.55000000000000004</v>
      </c>
      <c r="J24" s="24">
        <f>IFERROR(K24/H24,"")</f>
        <v>0.55104968509447161</v>
      </c>
      <c r="K24" s="22">
        <v>15749</v>
      </c>
      <c r="L24" s="21">
        <v>16</v>
      </c>
      <c r="M24" s="21">
        <v>28</v>
      </c>
      <c r="N24" s="21">
        <v>6</v>
      </c>
      <c r="O24" s="21"/>
      <c r="P24" s="21"/>
      <c r="Q24" s="21"/>
      <c r="R24" s="21"/>
      <c r="S24" s="21"/>
      <c r="T24" s="21"/>
      <c r="U24" s="43">
        <v>215</v>
      </c>
      <c r="V24" s="25">
        <f>H24*U24*I24/15</f>
        <v>225305.66666666669</v>
      </c>
      <c r="W24" s="25">
        <v>256.81</v>
      </c>
      <c r="X24" s="25">
        <f>1021657.17/200*F24</f>
        <v>255414.29250000001</v>
      </c>
      <c r="Y24" s="25">
        <f>IF(B24="FRANCISCO CAMACHO",((F24*42)+(G24*42)),IF(B24="DANILO VIANA",((F24*60)+(G24*60)),0))</f>
        <v>2100</v>
      </c>
      <c r="Z24" s="264">
        <v>19904.3</v>
      </c>
      <c r="AA24" s="25">
        <v>0</v>
      </c>
      <c r="AB24" s="264">
        <v>1343.75</v>
      </c>
      <c r="AC24" s="25">
        <v>0</v>
      </c>
      <c r="AD24" s="25">
        <f>IF(F24="",G24*4.11,F24*4.11)</f>
        <v>205.50000000000003</v>
      </c>
      <c r="AE24" s="25">
        <f>2043.32/200*F24</f>
        <v>510.83</v>
      </c>
      <c r="AF24" s="25">
        <f>V24+Y24+Z24+AA24+AB24+AC24+AD24</f>
        <v>248859.21666666667</v>
      </c>
      <c r="AG24" s="25">
        <f>IFERROR(IFERROR((H24*W24*J24/15)-AE24,""),"")</f>
        <v>269122.54933333327</v>
      </c>
      <c r="AH24" s="26">
        <f>IFERROR(AG24-AF24,0)</f>
        <v>20263.332666666596</v>
      </c>
      <c r="AI24" s="25">
        <f>(AH24/$AH$78)*$AL$30</f>
        <v>170.79239306303666</v>
      </c>
      <c r="AJ24" s="25">
        <f>(AH24-AI24)*70%</f>
        <v>14064.778191522491</v>
      </c>
      <c r="AL24" s="178"/>
      <c r="AM24" s="6"/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5"/>
      <c r="W25" s="21"/>
      <c r="X25" s="25"/>
      <c r="Y25" s="21"/>
      <c r="Z25" s="3"/>
      <c r="AA25" s="21"/>
      <c r="AB25" s="21"/>
      <c r="AC25" s="21"/>
      <c r="AD25" s="21"/>
      <c r="AE25" s="21"/>
      <c r="AF25" s="25"/>
      <c r="AG25" s="21"/>
      <c r="AH25" s="26">
        <f>IFERROR(AH24/F24,0)+IFERROR(AH24/G24,0)</f>
        <v>405.26665333333193</v>
      </c>
      <c r="AL25" s="178"/>
      <c r="AM25" s="6"/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2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5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7.5294072224206587E-2</v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37" t="s">
        <v>1</v>
      </c>
      <c r="B28" s="37" t="s">
        <v>2</v>
      </c>
      <c r="C28" s="37" t="s">
        <v>110</v>
      </c>
      <c r="D28" s="37" t="s">
        <v>66</v>
      </c>
      <c r="E28" s="37" t="s">
        <v>638</v>
      </c>
      <c r="F28" s="37" t="s">
        <v>137</v>
      </c>
      <c r="G28" s="37" t="s">
        <v>138</v>
      </c>
      <c r="H28" s="37" t="s">
        <v>4</v>
      </c>
      <c r="I28" s="37" t="s">
        <v>5</v>
      </c>
      <c r="J28" s="37" t="s">
        <v>6</v>
      </c>
      <c r="K28" s="37" t="s">
        <v>7</v>
      </c>
      <c r="L28" s="37" t="s">
        <v>279</v>
      </c>
      <c r="M28" s="37" t="s">
        <v>280</v>
      </c>
      <c r="N28" s="37" t="s">
        <v>281</v>
      </c>
      <c r="O28" s="37" t="s">
        <v>282</v>
      </c>
      <c r="P28" s="37" t="s">
        <v>283</v>
      </c>
      <c r="Q28" s="37" t="s">
        <v>284</v>
      </c>
      <c r="R28" s="37" t="s">
        <v>904</v>
      </c>
      <c r="S28" s="37" t="s">
        <v>285</v>
      </c>
      <c r="T28" s="37" t="s">
        <v>289</v>
      </c>
      <c r="U28" s="37" t="s">
        <v>8</v>
      </c>
      <c r="V28" s="37" t="s">
        <v>9</v>
      </c>
      <c r="W28" s="37" t="s">
        <v>10</v>
      </c>
      <c r="X28" s="37" t="s">
        <v>100</v>
      </c>
      <c r="Y28" s="37" t="s">
        <v>106</v>
      </c>
      <c r="Z28" s="37" t="s">
        <v>12</v>
      </c>
      <c r="AA28" s="37" t="s">
        <v>258</v>
      </c>
      <c r="AB28" s="37" t="s">
        <v>13</v>
      </c>
      <c r="AC28" s="37" t="s">
        <v>74</v>
      </c>
      <c r="AD28" s="37" t="s">
        <v>21</v>
      </c>
      <c r="AE28" s="37" t="s">
        <v>14</v>
      </c>
      <c r="AF28" s="37" t="s">
        <v>15</v>
      </c>
      <c r="AG28" s="37" t="s">
        <v>16</v>
      </c>
      <c r="AH28" s="15" t="s">
        <v>17</v>
      </c>
      <c r="AI28" s="14" t="s">
        <v>679</v>
      </c>
      <c r="AJ28" s="14" t="s">
        <v>678</v>
      </c>
      <c r="AL28" s="178"/>
      <c r="AM28" s="6"/>
      <c r="AN28" s="174"/>
    </row>
    <row r="29" spans="1:40" x14ac:dyDescent="0.35">
      <c r="A29" s="38">
        <v>45272</v>
      </c>
      <c r="B29" s="39" t="s">
        <v>632</v>
      </c>
      <c r="C29" s="39" t="s">
        <v>763</v>
      </c>
      <c r="D29" s="45">
        <v>1897591</v>
      </c>
      <c r="E29" s="45" t="s">
        <v>652</v>
      </c>
      <c r="F29" s="39">
        <v>50</v>
      </c>
      <c r="G29" s="39"/>
      <c r="H29" s="40">
        <v>28300</v>
      </c>
      <c r="I29" s="53">
        <v>0.55000000000000004</v>
      </c>
      <c r="J29" s="42">
        <f>IFERROR(K29/H29,"")</f>
        <v>0.54593639575971731</v>
      </c>
      <c r="K29" s="40">
        <v>15450</v>
      </c>
      <c r="L29" s="39">
        <v>33</v>
      </c>
      <c r="M29" s="39">
        <v>14</v>
      </c>
      <c r="N29" s="39">
        <v>3</v>
      </c>
      <c r="O29" s="39"/>
      <c r="P29" s="39"/>
      <c r="Q29" s="39"/>
      <c r="R29" s="39"/>
      <c r="S29" s="39"/>
      <c r="T29" s="39"/>
      <c r="U29" s="43">
        <v>220</v>
      </c>
      <c r="V29" s="43">
        <f>H29*U29*I29/15</f>
        <v>228286.66666666669</v>
      </c>
      <c r="W29" s="43">
        <v>256.81</v>
      </c>
      <c r="X29" s="43">
        <f>1021657.17/200*F29</f>
        <v>255414.29250000001</v>
      </c>
      <c r="Y29" s="43">
        <f>IF(B29="FRANCISCO CAMACHO",((F29*42)+(G29*42)),IF(B29="DANILO VIANA",((F29*60)+(G29*60)),0))</f>
        <v>2100</v>
      </c>
      <c r="Z29" s="264">
        <v>23421.599999999999</v>
      </c>
      <c r="AA29" s="43">
        <v>0</v>
      </c>
      <c r="AB29" s="264">
        <v>1375</v>
      </c>
      <c r="AC29" s="43">
        <v>0</v>
      </c>
      <c r="AD29" s="43">
        <f>IF(F29="",G29*4.11,F29*4.11)</f>
        <v>205.50000000000003</v>
      </c>
      <c r="AE29" s="43">
        <f>2043.32/200*F29</f>
        <v>510.83</v>
      </c>
      <c r="AF29" s="43">
        <f>V29+Y29+Z29+AA29+AB29+AC29+AD29</f>
        <v>255388.76666666669</v>
      </c>
      <c r="AG29" s="43">
        <f>IFERROR(IFERROR((H29*W29*J29/15)-AE29,""),"")</f>
        <v>264003.46999999997</v>
      </c>
      <c r="AH29" s="26">
        <f>IFERROR(AG29-AF29,0)</f>
        <v>8614.7033333332802</v>
      </c>
      <c r="AI29" s="25">
        <f>(AH29/$AH$78)*$AL$30</f>
        <v>72.610257257852581</v>
      </c>
      <c r="AJ29" s="25">
        <f>(AH29-AI29)*70%</f>
        <v>5979.4651532527987</v>
      </c>
      <c r="AL29" s="178"/>
      <c r="AM29" s="6"/>
      <c r="AN29" s="174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5"/>
      <c r="W30" s="21"/>
      <c r="X30" s="25"/>
      <c r="Y30" s="21"/>
      <c r="Z30" s="3"/>
      <c r="AA30" s="21"/>
      <c r="AB30" s="21"/>
      <c r="AC30" s="21"/>
      <c r="AD30" s="21"/>
      <c r="AE30" s="21"/>
      <c r="AF30" s="25"/>
      <c r="AG30" s="21"/>
      <c r="AH30" s="26">
        <f>IFERROR(AH29/F29,0)+IFERROR(AH29/G29,0)</f>
        <v>172.2940666666656</v>
      </c>
      <c r="AL30" s="214">
        <f>SUM(AL19:AL29)</f>
        <v>1951.9</v>
      </c>
      <c r="AM30" s="189" t="s">
        <v>673</v>
      </c>
      <c r="AN30" s="191"/>
    </row>
    <row r="31" spans="1:40" x14ac:dyDescent="0.35">
      <c r="A31" s="21"/>
      <c r="B31" s="21"/>
      <c r="C31" s="21"/>
      <c r="D31" s="21"/>
      <c r="E31" s="21"/>
      <c r="F31" s="21"/>
      <c r="G31" s="21"/>
      <c r="H31" s="22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5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3.2631023120011572E-2</v>
      </c>
      <c r="AL31" s="57"/>
      <c r="AM31" s="6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118" t="s">
        <v>22</v>
      </c>
      <c r="AN32" s="12"/>
    </row>
    <row r="33" spans="1:41" x14ac:dyDescent="0.35">
      <c r="A33" s="37" t="s">
        <v>1</v>
      </c>
      <c r="B33" s="37" t="s">
        <v>2</v>
      </c>
      <c r="C33" s="37" t="s">
        <v>110</v>
      </c>
      <c r="D33" s="37" t="s">
        <v>66</v>
      </c>
      <c r="E33" s="37" t="s">
        <v>638</v>
      </c>
      <c r="F33" s="37" t="s">
        <v>137</v>
      </c>
      <c r="G33" s="37" t="s">
        <v>138</v>
      </c>
      <c r="H33" s="37" t="s">
        <v>4</v>
      </c>
      <c r="I33" s="37" t="s">
        <v>5</v>
      </c>
      <c r="J33" s="37" t="s">
        <v>6</v>
      </c>
      <c r="K33" s="37" t="s">
        <v>7</v>
      </c>
      <c r="L33" s="37" t="s">
        <v>279</v>
      </c>
      <c r="M33" s="37" t="s">
        <v>280</v>
      </c>
      <c r="N33" s="37" t="s">
        <v>281</v>
      </c>
      <c r="O33" s="37" t="s">
        <v>282</v>
      </c>
      <c r="P33" s="37" t="s">
        <v>283</v>
      </c>
      <c r="Q33" s="37" t="s">
        <v>284</v>
      </c>
      <c r="R33" s="37" t="s">
        <v>904</v>
      </c>
      <c r="S33" s="37" t="s">
        <v>285</v>
      </c>
      <c r="T33" s="37" t="s">
        <v>289</v>
      </c>
      <c r="U33" s="37" t="s">
        <v>8</v>
      </c>
      <c r="V33" s="37" t="s">
        <v>9</v>
      </c>
      <c r="W33" s="37" t="s">
        <v>10</v>
      </c>
      <c r="X33" s="37" t="s">
        <v>100</v>
      </c>
      <c r="Y33" s="37" t="s">
        <v>106</v>
      </c>
      <c r="Z33" s="37" t="s">
        <v>12</v>
      </c>
      <c r="AA33" s="37" t="s">
        <v>258</v>
      </c>
      <c r="AB33" s="37" t="s">
        <v>13</v>
      </c>
      <c r="AC33" s="37" t="s">
        <v>74</v>
      </c>
      <c r="AD33" s="37" t="s">
        <v>21</v>
      </c>
      <c r="AE33" s="37" t="s">
        <v>14</v>
      </c>
      <c r="AF33" s="37" t="s">
        <v>15</v>
      </c>
      <c r="AG33" s="37" t="s">
        <v>16</v>
      </c>
      <c r="AH33" s="15" t="s">
        <v>17</v>
      </c>
      <c r="AI33" s="14" t="s">
        <v>679</v>
      </c>
      <c r="AJ33" s="14" t="s">
        <v>678</v>
      </c>
      <c r="AL33" s="247">
        <f>AL15-AL30</f>
        <v>229627.49485904703</v>
      </c>
      <c r="AM33" s="248">
        <f>AL33*30%</f>
        <v>68888.2484577141</v>
      </c>
    </row>
    <row r="34" spans="1:41" x14ac:dyDescent="0.35">
      <c r="A34" s="38">
        <v>45272</v>
      </c>
      <c r="B34" s="39" t="s">
        <v>632</v>
      </c>
      <c r="C34" s="39" t="s">
        <v>676</v>
      </c>
      <c r="D34" s="45">
        <v>1897591</v>
      </c>
      <c r="E34" s="45" t="s">
        <v>652</v>
      </c>
      <c r="F34" s="39">
        <v>50</v>
      </c>
      <c r="G34" s="39"/>
      <c r="H34" s="40">
        <v>24360</v>
      </c>
      <c r="I34" s="53">
        <v>0.54</v>
      </c>
      <c r="J34" s="42">
        <f>IFERROR(K34/H34,"")</f>
        <v>0.54029146141215112</v>
      </c>
      <c r="K34" s="40">
        <v>13161.5</v>
      </c>
      <c r="L34" s="39">
        <v>12</v>
      </c>
      <c r="M34" s="39">
        <v>30</v>
      </c>
      <c r="N34" s="39">
        <v>8</v>
      </c>
      <c r="O34" s="39"/>
      <c r="P34" s="39"/>
      <c r="Q34" s="39"/>
      <c r="R34" s="39"/>
      <c r="S34" s="39"/>
      <c r="T34" s="39"/>
      <c r="U34" s="43">
        <v>220</v>
      </c>
      <c r="V34" s="43">
        <f>H34*U34*I34/15</f>
        <v>192931.20000000001</v>
      </c>
      <c r="W34" s="43">
        <v>256.81</v>
      </c>
      <c r="X34" s="43">
        <f>1021657.17/200*F34</f>
        <v>255414.29250000001</v>
      </c>
      <c r="Y34" s="43">
        <f>IF(B34="FRANCISCO CAMACHO",((F34*42)+(G34*42)),IF(B34="DANILO VIANA",((F34*60)+(G34*60)),0))</f>
        <v>2100</v>
      </c>
      <c r="Z34" s="264">
        <v>22503.8</v>
      </c>
      <c r="AA34" s="43">
        <v>0</v>
      </c>
      <c r="AB34" s="264">
        <v>1375</v>
      </c>
      <c r="AC34" s="43">
        <v>0</v>
      </c>
      <c r="AD34" s="43">
        <f>IF(F34="",G34*4.11,F34*4.11)</f>
        <v>205.50000000000003</v>
      </c>
      <c r="AE34" s="43">
        <f>2043.32/200*F34</f>
        <v>510.83</v>
      </c>
      <c r="AF34" s="43">
        <f>V34+Y34+Z34+AA34+AB34+AC34+AD34</f>
        <v>219115.5</v>
      </c>
      <c r="AG34" s="43">
        <f>IFERROR(IFERROR((H34*W34*J34/15)-AE34,""),"")</f>
        <v>224822.82433333335</v>
      </c>
      <c r="AH34" s="26">
        <f>IFERROR(AG34-AF34,0)</f>
        <v>5707.3243333333521</v>
      </c>
      <c r="AI34" s="25">
        <f>(AH34/$AH$78)*$AL$30</f>
        <v>48.10499817142157</v>
      </c>
      <c r="AJ34" s="25">
        <f>(AH34-AI34)*70%</f>
        <v>3961.4535346133512</v>
      </c>
      <c r="AL34" s="57"/>
      <c r="AM34" s="249"/>
      <c r="AN34" s="246"/>
    </row>
    <row r="35" spans="1:4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5"/>
      <c r="AC35" s="21"/>
      <c r="AD35" s="21"/>
      <c r="AE35" s="21"/>
      <c r="AF35" s="21"/>
      <c r="AG35" s="21"/>
      <c r="AH35" s="26">
        <f>IFERROR(AH34/F34,0)+IFERROR(AH34/G34,0)</f>
        <v>114.14648666666704</v>
      </c>
      <c r="AL35" s="57"/>
      <c r="AM35" s="248">
        <v>69113.850000000006</v>
      </c>
      <c r="AN35" s="12" t="s">
        <v>860</v>
      </c>
    </row>
    <row r="36" spans="1:4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2.5385875968141888E-2</v>
      </c>
    </row>
    <row r="37" spans="1:4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  <c r="AM37" s="126">
        <f>AM35-AM33</f>
        <v>225.60154228590545</v>
      </c>
      <c r="AN37" s="104" t="s">
        <v>861</v>
      </c>
      <c r="AO37" s="202"/>
    </row>
    <row r="38" spans="1:41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1" x14ac:dyDescent="0.35">
      <c r="A39" s="20">
        <v>45272</v>
      </c>
      <c r="B39" s="21" t="s">
        <v>419</v>
      </c>
      <c r="C39" s="21" t="s">
        <v>565</v>
      </c>
      <c r="D39" s="44">
        <v>1902805</v>
      </c>
      <c r="E39" s="44" t="s">
        <v>652</v>
      </c>
      <c r="F39" s="21">
        <v>50</v>
      </c>
      <c r="G39" s="21"/>
      <c r="H39" s="22">
        <f>59780/100*F39</f>
        <v>29889.999999999996</v>
      </c>
      <c r="I39" s="33">
        <v>0.54500000000000004</v>
      </c>
      <c r="J39" s="24">
        <f>IFERROR(K39/H39,"")</f>
        <v>0.55212445633991303</v>
      </c>
      <c r="K39" s="22">
        <v>16503</v>
      </c>
      <c r="L39" s="21">
        <v>12</v>
      </c>
      <c r="M39" s="21">
        <v>37</v>
      </c>
      <c r="N39" s="21">
        <v>1</v>
      </c>
      <c r="O39" s="21"/>
      <c r="P39" s="21"/>
      <c r="Q39" s="21"/>
      <c r="R39" s="21"/>
      <c r="S39" s="21"/>
      <c r="T39" s="21"/>
      <c r="U39" s="25">
        <v>230</v>
      </c>
      <c r="V39" s="25">
        <f>H39*U39*I39/15</f>
        <v>249780.76666666666</v>
      </c>
      <c r="W39" s="25">
        <v>259.3</v>
      </c>
      <c r="X39" s="25">
        <v>285280.15999999997</v>
      </c>
      <c r="Y39" s="25">
        <f>IF(B39="FRANCISCO CAMACHO",((F39*42)+(G39*42)),IF(B39="DANILO VIANA",((F39*60)+(G39*60)),0))</f>
        <v>3000</v>
      </c>
      <c r="Z39" s="264">
        <f>(20636+1504)/100*F39</f>
        <v>11070</v>
      </c>
      <c r="AA39" s="25">
        <v>0</v>
      </c>
      <c r="AB39" s="264">
        <f>2875/100*F39</f>
        <v>1437.5</v>
      </c>
      <c r="AC39" s="25">
        <f>38*F39</f>
        <v>1900</v>
      </c>
      <c r="AD39" s="25">
        <f>IF(F39="",G39*4.11,F39*4.11)</f>
        <v>205.50000000000003</v>
      </c>
      <c r="AE39" s="25">
        <v>570.55999999999995</v>
      </c>
      <c r="AF39" s="25">
        <f>V39+Y39+Z39+AA39+AB39+AC39+AD39</f>
        <v>267393.76666666666</v>
      </c>
      <c r="AG39" s="25">
        <f>IFERROR(IFERROR((H39*W39*J39/15)-AE39,""),"")</f>
        <v>284711.3</v>
      </c>
      <c r="AH39" s="26">
        <f>IFERROR(AG39-AF39,0)</f>
        <v>17317.533333333326</v>
      </c>
      <c r="AI39" s="25">
        <f>(AH39/$AH$78)*$AL$30</f>
        <v>145.96330271053381</v>
      </c>
      <c r="AJ39" s="25">
        <f>(AH39-AI39)*70%</f>
        <v>12020.099021435954</v>
      </c>
    </row>
    <row r="40" spans="1:41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5"/>
      <c r="AC40" s="21"/>
      <c r="AD40" s="21"/>
      <c r="AE40" s="21"/>
      <c r="AF40" s="21"/>
      <c r="AG40" s="21"/>
      <c r="AH40" s="26">
        <f>IFERROR(AH39/F39,0)+IFERROR(AH39/G39,0)</f>
        <v>346.35066666666648</v>
      </c>
    </row>
    <row r="41" spans="1:4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6.082488939965968E-2</v>
      </c>
    </row>
    <row r="42" spans="1:4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</row>
    <row r="43" spans="1:41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1" x14ac:dyDescent="0.35">
      <c r="A44" s="20">
        <v>45273</v>
      </c>
      <c r="B44" s="21" t="s">
        <v>632</v>
      </c>
      <c r="C44" s="21" t="s">
        <v>810</v>
      </c>
      <c r="D44" s="44">
        <v>1897591</v>
      </c>
      <c r="E44" s="44" t="s">
        <v>652</v>
      </c>
      <c r="F44" s="98">
        <v>50</v>
      </c>
      <c r="G44" s="21"/>
      <c r="H44" s="22">
        <f>53100/100*F44</f>
        <v>26550</v>
      </c>
      <c r="I44" s="33">
        <v>0.54</v>
      </c>
      <c r="J44" s="24">
        <f>IFERROR(K44/H44,"")</f>
        <v>0.57677966101694911</v>
      </c>
      <c r="K44" s="22">
        <v>15313.5</v>
      </c>
      <c r="L44" s="21">
        <v>4</v>
      </c>
      <c r="M44" s="21">
        <v>28</v>
      </c>
      <c r="N44" s="21">
        <v>11</v>
      </c>
      <c r="O44" s="21">
        <v>7</v>
      </c>
      <c r="P44" s="21"/>
      <c r="Q44" s="21"/>
      <c r="R44" s="21"/>
      <c r="S44" s="21"/>
      <c r="T44" s="21"/>
      <c r="U44" s="25">
        <v>225</v>
      </c>
      <c r="V44" s="25">
        <f>H44*U44*I44/15</f>
        <v>215055</v>
      </c>
      <c r="W44" s="25">
        <v>256.81</v>
      </c>
      <c r="X44" s="25">
        <f>1021657.17/200*F44</f>
        <v>255414.29250000001</v>
      </c>
      <c r="Y44" s="25">
        <f>IF(B44="FRANCISCO CAMACHO",((F44*42)+(G44*42)),IF(B44="DANILO VIANA",((F44*60)+(G44*60)),0))</f>
        <v>2100</v>
      </c>
      <c r="Z44" s="264">
        <f>(20032.94+20286.6)/100*F44</f>
        <v>20159.769999999997</v>
      </c>
      <c r="AA44" s="25">
        <v>0</v>
      </c>
      <c r="AB44" s="264">
        <f>3375/100*F44</f>
        <v>1687.5</v>
      </c>
      <c r="AC44" s="25">
        <v>0</v>
      </c>
      <c r="AD44" s="25">
        <f>IF(F44="",G44*4.11,F44*4.11)</f>
        <v>205.50000000000003</v>
      </c>
      <c r="AE44" s="25">
        <f>2043.32/200*F44</f>
        <v>510.83</v>
      </c>
      <c r="AF44" s="25">
        <f>V44+Y44+Z44+AA44+AB44+AC44+AD44</f>
        <v>239207.77</v>
      </c>
      <c r="AG44" s="25">
        <f>IFERROR(IFERROR((H44*W44*J44/15)-AE44,""),"")</f>
        <v>261666.49899999998</v>
      </c>
      <c r="AH44" s="26">
        <f>IFERROR(AG44-AF44,0)</f>
        <v>22458.728999999992</v>
      </c>
      <c r="AI44" s="25">
        <f>(AH44/$AH$78)*$AL$30</f>
        <v>189.29660456959871</v>
      </c>
      <c r="AJ44" s="25">
        <f>(AH44-AI44)*70%</f>
        <v>15588.602676801274</v>
      </c>
    </row>
    <row r="45" spans="1:41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5"/>
      <c r="AC45" s="21"/>
      <c r="AD45" s="21"/>
      <c r="AE45" s="21"/>
      <c r="AF45" s="21"/>
      <c r="AG45" s="21"/>
      <c r="AH45" s="26">
        <f>IFERROR(AH44/F44,0)+IFERROR(AH44/G44,0)</f>
        <v>449.17457999999982</v>
      </c>
    </row>
    <row r="46" spans="1:41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8.5829592576159297E-2</v>
      </c>
    </row>
    <row r="47" spans="1:4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1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45273</v>
      </c>
      <c r="B49" s="21" t="s">
        <v>632</v>
      </c>
      <c r="C49" s="21" t="s">
        <v>810</v>
      </c>
      <c r="D49" s="44">
        <v>1897600</v>
      </c>
      <c r="E49" s="44" t="s">
        <v>652</v>
      </c>
      <c r="F49" s="98">
        <v>50</v>
      </c>
      <c r="G49" s="21"/>
      <c r="H49" s="22">
        <f>53100/100*F49</f>
        <v>26550</v>
      </c>
      <c r="I49" s="33">
        <v>0.54</v>
      </c>
      <c r="J49" s="24">
        <f>IFERROR(K49/H49,"")</f>
        <v>0.54280602636534836</v>
      </c>
      <c r="K49" s="22">
        <v>14411.5</v>
      </c>
      <c r="L49" s="21">
        <v>5</v>
      </c>
      <c r="M49" s="21">
        <v>23</v>
      </c>
      <c r="N49" s="21">
        <v>21</v>
      </c>
      <c r="O49" s="21">
        <v>1</v>
      </c>
      <c r="P49" s="21"/>
      <c r="Q49" s="21"/>
      <c r="R49" s="21"/>
      <c r="S49" s="21"/>
      <c r="T49" s="21"/>
      <c r="U49" s="25">
        <v>225</v>
      </c>
      <c r="V49" s="25">
        <f>H49*U49*I49/15</f>
        <v>215055</v>
      </c>
      <c r="W49" s="25">
        <v>257.07</v>
      </c>
      <c r="X49" s="25">
        <f>512006.29/100*F49</f>
        <v>256003.14499999999</v>
      </c>
      <c r="Y49" s="25">
        <f>IF(B49="FRANCISCO CAMACHO",((F49*42)+(G49*42)),IF(B49="DANILO VIANA",((F49*60)+(G49*60)),0))</f>
        <v>2100</v>
      </c>
      <c r="Z49" s="264">
        <f>(20032.94+20286.6)/100*F49</f>
        <v>20159.769999999997</v>
      </c>
      <c r="AA49" s="25">
        <v>0</v>
      </c>
      <c r="AB49" s="264">
        <f>3375/100*F49</f>
        <v>1687.5</v>
      </c>
      <c r="AC49" s="25">
        <v>0</v>
      </c>
      <c r="AD49" s="25">
        <f>IF(F49="",G49*4.11,F49*4.11)</f>
        <v>205.50000000000003</v>
      </c>
      <c r="AE49" s="25">
        <f>1024.01/100*F49</f>
        <v>512.005</v>
      </c>
      <c r="AF49" s="25">
        <f>V49+Y49+Z49+AA49+AB49+AC49+AD49</f>
        <v>239207.77</v>
      </c>
      <c r="AG49" s="25">
        <f>IFERROR(IFERROR((H49*W49*J49/15)-AE49,""),"")</f>
        <v>246472.28199999998</v>
      </c>
      <c r="AH49" s="26">
        <f>IFERROR(AG49-AF49,0)</f>
        <v>7264.5119999999879</v>
      </c>
      <c r="AI49" s="25">
        <f>(AH49/$AH$78)*$AL$30</f>
        <v>61.2299767923244</v>
      </c>
      <c r="AJ49" s="25">
        <f>(AH49-AI49)*70%</f>
        <v>5042.2974162453647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5"/>
      <c r="AC50" s="21"/>
      <c r="AD50" s="21"/>
      <c r="AE50" s="21"/>
      <c r="AF50" s="21"/>
      <c r="AG50" s="21"/>
      <c r="AH50" s="26">
        <f>IFERROR(AH49/F49,0)+IFERROR(AH49/G49,0)</f>
        <v>145.29023999999976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2.9473951152040653E-2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3" spans="1:39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45273</v>
      </c>
      <c r="B54" s="21" t="s">
        <v>632</v>
      </c>
      <c r="C54" s="21" t="s">
        <v>697</v>
      </c>
      <c r="D54" s="44">
        <v>1897600</v>
      </c>
      <c r="E54" s="44" t="s">
        <v>652</v>
      </c>
      <c r="F54" s="21">
        <v>50</v>
      </c>
      <c r="G54" s="21"/>
      <c r="H54" s="22">
        <v>28240</v>
      </c>
      <c r="I54" s="33">
        <v>0.55000000000000004</v>
      </c>
      <c r="J54" s="24">
        <f>IFERROR(K54/H54,"")</f>
        <v>0.54760977337110484</v>
      </c>
      <c r="K54" s="22">
        <v>15464.5</v>
      </c>
      <c r="L54" s="21">
        <v>1</v>
      </c>
      <c r="M54" s="21">
        <v>17</v>
      </c>
      <c r="N54" s="21">
        <v>26</v>
      </c>
      <c r="O54" s="21">
        <v>6</v>
      </c>
      <c r="P54" s="21"/>
      <c r="Q54" s="21"/>
      <c r="R54" s="21"/>
      <c r="S54" s="21"/>
      <c r="T54" s="21"/>
      <c r="U54" s="25">
        <v>215</v>
      </c>
      <c r="V54" s="25">
        <f>H54*U54*I54/15</f>
        <v>222625.33333333337</v>
      </c>
      <c r="W54" s="25">
        <v>257.07</v>
      </c>
      <c r="X54" s="25">
        <f>512006.29/100*F54</f>
        <v>256003.14499999999</v>
      </c>
      <c r="Y54" s="25">
        <f>IF(B54="FRANCISCO CAMACHO",((F54*42)+(G54*42)),IF(B54="DANILO VIANA",((F54*60)+(G54*60)),0))</f>
        <v>2100</v>
      </c>
      <c r="Z54" s="264">
        <v>19925.560000000001</v>
      </c>
      <c r="AA54" s="25">
        <v>0</v>
      </c>
      <c r="AB54" s="264">
        <v>1343.75</v>
      </c>
      <c r="AC54" s="25">
        <v>0</v>
      </c>
      <c r="AD54" s="25">
        <f>IF(F54="",G54*4.11,F54*4.11)</f>
        <v>205.50000000000003</v>
      </c>
      <c r="AE54" s="25">
        <f>1024.01/100*F54</f>
        <v>512.005</v>
      </c>
      <c r="AF54" s="25">
        <f>V54+Y54+Z54+AA54+AB54+AC54+AD54</f>
        <v>246200.14333333337</v>
      </c>
      <c r="AG54" s="25">
        <f>IFERROR(IFERROR((H54*W54*J54/15)-AE54,""),"")</f>
        <v>264518.59600000002</v>
      </c>
      <c r="AH54" s="26">
        <f>IFERROR(AG54-AF54,0)</f>
        <v>18318.45266666665</v>
      </c>
      <c r="AI54" s="25">
        <f>(AH54/$AH$78)*$AL$30</f>
        <v>154.39969424667393</v>
      </c>
      <c r="AJ54" s="25">
        <f>(AH54-AI54)*70%</f>
        <v>12714.837080693984</v>
      </c>
      <c r="AL54" s="6"/>
      <c r="AM54" s="6"/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366.369053333333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6.9252041042387233E-2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45275</v>
      </c>
      <c r="B59" s="21" t="s">
        <v>632</v>
      </c>
      <c r="C59" s="21" t="s">
        <v>697</v>
      </c>
      <c r="D59" s="44">
        <v>1897701</v>
      </c>
      <c r="E59" s="44" t="s">
        <v>652</v>
      </c>
      <c r="F59" s="21">
        <v>100</v>
      </c>
      <c r="G59" s="21"/>
      <c r="H59" s="22">
        <v>56657</v>
      </c>
      <c r="I59" s="33">
        <v>0.55000000000000004</v>
      </c>
      <c r="J59" s="24">
        <f>IFERROR(K59/H59,"")</f>
        <v>0.54860829200275341</v>
      </c>
      <c r="K59" s="22">
        <v>31082.5</v>
      </c>
      <c r="L59" s="21">
        <v>9</v>
      </c>
      <c r="M59" s="21">
        <v>44</v>
      </c>
      <c r="N59" s="21">
        <v>40</v>
      </c>
      <c r="O59" s="21">
        <v>7</v>
      </c>
      <c r="P59" s="21"/>
      <c r="Q59" s="21"/>
      <c r="R59" s="21"/>
      <c r="S59" s="21"/>
      <c r="T59" s="21"/>
      <c r="U59" s="25">
        <v>220</v>
      </c>
      <c r="V59" s="25">
        <f>H59*U59*I59/15</f>
        <v>457033.13333333342</v>
      </c>
      <c r="W59" s="25">
        <v>258.19</v>
      </c>
      <c r="X59" s="25">
        <f>1275424/250*F59</f>
        <v>510169.59999999998</v>
      </c>
      <c r="Y59" s="25">
        <f>IF(B59="FRANCISCO CAMACHO",((F59*42)+(G59*42)),IF(B59="DANILO VIANA",((F59*60)+(G59*60)),0))</f>
        <v>4200</v>
      </c>
      <c r="Z59" s="264">
        <v>40976.699999999997</v>
      </c>
      <c r="AA59" s="25">
        <v>0</v>
      </c>
      <c r="AB59" s="264">
        <v>2750</v>
      </c>
      <c r="AC59" s="25">
        <v>0</v>
      </c>
      <c r="AD59" s="25">
        <f>IF(F59="",G59*4.11,F59*4.11)</f>
        <v>411.00000000000006</v>
      </c>
      <c r="AE59" s="25">
        <f>2550.85/250*F59</f>
        <v>1020.34</v>
      </c>
      <c r="AF59" s="25">
        <f>V59+Y59+Z59+AA59+AB59+AC59+AD59</f>
        <v>505370.83333333343</v>
      </c>
      <c r="AG59" s="25">
        <f>IFERROR(IFERROR((H59*W59*J59/15)-AE59,""),"")</f>
        <v>533992.3716666667</v>
      </c>
      <c r="AH59" s="26">
        <f>IFERROR(AG59-AF59,0)</f>
        <v>28621.538333333272</v>
      </c>
      <c r="AI59" s="25">
        <f>(AH59/$AH$78)*$AL$30</f>
        <v>241.24072310853398</v>
      </c>
      <c r="AJ59" s="25">
        <f>(AH59-AI59)*70%</f>
        <v>19866.208327157314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286.21538333333274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5.3599152070283984E-2</v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>
        <v>45275</v>
      </c>
      <c r="B64" s="21" t="s">
        <v>632</v>
      </c>
      <c r="C64" s="21" t="s">
        <v>747</v>
      </c>
      <c r="D64" s="44">
        <v>1897701</v>
      </c>
      <c r="E64" s="44" t="s">
        <v>652</v>
      </c>
      <c r="F64" s="21">
        <v>150</v>
      </c>
      <c r="G64" s="21"/>
      <c r="H64" s="22">
        <v>76964</v>
      </c>
      <c r="I64" s="33">
        <v>0.54</v>
      </c>
      <c r="J64" s="24">
        <f>IFERROR(K64/H64,"")</f>
        <v>0.55891767579647633</v>
      </c>
      <c r="K64" s="22">
        <v>43016.54</v>
      </c>
      <c r="L64" s="21">
        <v>64</v>
      </c>
      <c r="M64" s="21">
        <v>84</v>
      </c>
      <c r="N64" s="21">
        <v>2</v>
      </c>
      <c r="O64" s="21"/>
      <c r="P64" s="21"/>
      <c r="Q64" s="21"/>
      <c r="R64" s="21"/>
      <c r="S64" s="21"/>
      <c r="T64" s="21"/>
      <c r="U64" s="25">
        <v>220</v>
      </c>
      <c r="V64" s="25">
        <f>H64*U64*I64/15</f>
        <v>609554.88000000012</v>
      </c>
      <c r="W64" s="25">
        <v>258.19</v>
      </c>
      <c r="X64" s="25">
        <f>1275424/250*F64</f>
        <v>765254.4</v>
      </c>
      <c r="Y64" s="25">
        <f>IF(B64="FRANCISCO CAMACHO",((F64*42)+(G64*42)),IF(B64="DANILO VIANA",((F64*60)+(G64*60)),0))</f>
        <v>6300</v>
      </c>
      <c r="Z64" s="264">
        <f>24940+49976.35</f>
        <v>74916.350000000006</v>
      </c>
      <c r="AA64" s="25">
        <v>0</v>
      </c>
      <c r="AB64" s="264">
        <v>4125</v>
      </c>
      <c r="AC64" s="25">
        <v>0</v>
      </c>
      <c r="AD64" s="25">
        <f>IF(F64="",G64*4.11,F64*4.11)</f>
        <v>616.5</v>
      </c>
      <c r="AE64" s="25">
        <f>2550.85/250*F64</f>
        <v>1530.51</v>
      </c>
      <c r="AF64" s="25">
        <f>V64+Y64+Z64+AA64+AB64+AC64+AD64</f>
        <v>695512.7300000001</v>
      </c>
      <c r="AG64" s="25">
        <f>IFERROR(IFERROR((H64*W64*J64/15)-AE64,""),"")</f>
        <v>738898.8541733335</v>
      </c>
      <c r="AH64" s="26">
        <f>IFERROR(AG64-AF64,0)</f>
        <v>43386.124173333403</v>
      </c>
      <c r="AI64" s="25">
        <f>(AH64/$AH$78)*$AL$30</f>
        <v>365.68614330076309</v>
      </c>
      <c r="AJ64" s="25">
        <f>(AH64-AI64)*70%</f>
        <v>30114.306621022843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289.24082782222268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5.8717270879886534E-2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45276</v>
      </c>
      <c r="B69" s="21" t="s">
        <v>632</v>
      </c>
      <c r="C69" s="21" t="s">
        <v>848</v>
      </c>
      <c r="D69" s="44">
        <v>1897707</v>
      </c>
      <c r="E69" s="44" t="s">
        <v>652</v>
      </c>
      <c r="F69" s="21">
        <v>199</v>
      </c>
      <c r="G69" s="21"/>
      <c r="H69" s="22">
        <f>137192/250*F69</f>
        <v>109204.83200000001</v>
      </c>
      <c r="I69" s="33">
        <v>0.55000000000000004</v>
      </c>
      <c r="J69" s="24">
        <f>IFERROR(K69/H69,"")</f>
        <v>0.55965472297050001</v>
      </c>
      <c r="K69" s="22">
        <f>45838.5+15278.5</f>
        <v>61117</v>
      </c>
      <c r="L69" s="21">
        <f>51+17</f>
        <v>68</v>
      </c>
      <c r="M69" s="21">
        <f>93+28</f>
        <v>121</v>
      </c>
      <c r="N69" s="21">
        <f>2+4</f>
        <v>6</v>
      </c>
      <c r="O69" s="21">
        <f>2+1</f>
        <v>3</v>
      </c>
      <c r="P69" s="21">
        <f>1</f>
        <v>1</v>
      </c>
      <c r="Q69" s="21"/>
      <c r="R69" s="21"/>
      <c r="S69" s="21"/>
      <c r="T69" s="21"/>
      <c r="U69" s="25">
        <v>215</v>
      </c>
      <c r="V69" s="25">
        <f>H69*U69*I69/15</f>
        <v>860898.09226666694</v>
      </c>
      <c r="W69" s="25">
        <v>258.97000000000003</v>
      </c>
      <c r="X69" s="25">
        <v>1055157.32</v>
      </c>
      <c r="Y69" s="25">
        <f>IF(B69="FRANCISCO CAMACHO",((F69*42)+(G69*42)),IF(B69="DANILO VIANA",((F69*60)+(G69*60)),0))</f>
        <v>8358</v>
      </c>
      <c r="Z69" s="264">
        <f>(112712.65+28032.6)/250*F69</f>
        <v>112033.219</v>
      </c>
      <c r="AA69" s="25">
        <v>0</v>
      </c>
      <c r="AB69" s="264">
        <f>6718.75/250*F69</f>
        <v>5348.125</v>
      </c>
      <c r="AC69" s="25">
        <v>0</v>
      </c>
      <c r="AD69" s="25">
        <f>IF(F69="",G69*4.11,F69*4.11)</f>
        <v>817.8900000000001</v>
      </c>
      <c r="AE69" s="25">
        <v>2110.3200000000002</v>
      </c>
      <c r="AF69" s="25">
        <f>V69+Y69+Z69+AA69+AB69+AC69+AD69</f>
        <v>987455.32626666699</v>
      </c>
      <c r="AG69" s="25">
        <f>IFERROR(IFERROR((H69*W69*J69/15)-AE69,""),"")</f>
        <v>1053054.3126666667</v>
      </c>
      <c r="AH69" s="26">
        <f>IFERROR(AG69-AF69,0)</f>
        <v>65598.986399999703</v>
      </c>
      <c r="AI69" s="25">
        <f>(AH69/$AH$78)*$AL$30</f>
        <v>552.9104246605956</v>
      </c>
      <c r="AJ69" s="25">
        <f>(AH69-AI69)*70%</f>
        <v>45532.253182737375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329.64314773869199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6.2294019986378776E-2</v>
      </c>
    </row>
    <row r="72" spans="1:36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45276</v>
      </c>
      <c r="B74" s="21" t="s">
        <v>632</v>
      </c>
      <c r="C74" s="21" t="s">
        <v>848</v>
      </c>
      <c r="D74" s="44">
        <v>1897713</v>
      </c>
      <c r="E74" s="44" t="s">
        <v>652</v>
      </c>
      <c r="F74" s="21">
        <v>45</v>
      </c>
      <c r="G74" s="21"/>
      <c r="H74" s="22">
        <f>137192/250*F74</f>
        <v>24694.560000000001</v>
      </c>
      <c r="I74" s="33">
        <v>0.55000000000000004</v>
      </c>
      <c r="J74" s="24">
        <f>IFERROR(K74/H74,"")</f>
        <v>0.51657126103886841</v>
      </c>
      <c r="K74" s="22">
        <v>12756.5</v>
      </c>
      <c r="L74" s="21">
        <v>2</v>
      </c>
      <c r="M74" s="21">
        <v>9</v>
      </c>
      <c r="N74" s="21">
        <v>27</v>
      </c>
      <c r="O74" s="21">
        <v>6</v>
      </c>
      <c r="P74" s="21">
        <v>1</v>
      </c>
      <c r="Q74" s="21"/>
      <c r="R74" s="21"/>
      <c r="S74" s="21"/>
      <c r="T74" s="21"/>
      <c r="U74" s="25">
        <v>215</v>
      </c>
      <c r="V74" s="25">
        <f>H74*U74*I74/15</f>
        <v>194675.44800000003</v>
      </c>
      <c r="W74" s="25">
        <v>256.45</v>
      </c>
      <c r="X74" s="25">
        <f>1134703.44/196*F74</f>
        <v>260518.64693877549</v>
      </c>
      <c r="Y74" s="25">
        <f>IF(B74="FRANCISCO CAMACHO",((F74*42)+(G74*42)),IF(B74="DANILO VIANA",((F74*60)+(G74*60)),0))</f>
        <v>1890</v>
      </c>
      <c r="Z74" s="264">
        <f>(112712.65+28032.6)/250*F74</f>
        <v>25334.145</v>
      </c>
      <c r="AA74" s="25">
        <v>0</v>
      </c>
      <c r="AB74" s="264">
        <f>6718.75/250*F74</f>
        <v>1209.375</v>
      </c>
      <c r="AC74" s="25">
        <v>0</v>
      </c>
      <c r="AD74" s="25">
        <f>IF(F74="",G74*4.11,F74*4.11)</f>
        <v>184.95000000000002</v>
      </c>
      <c r="AE74" s="25">
        <f>2269.4/196*F74</f>
        <v>521.03571428571433</v>
      </c>
      <c r="AF74" s="25">
        <f>V74+Y74+Z74+AA74+AB74+AC74+AD74</f>
        <v>223293.91800000003</v>
      </c>
      <c r="AG74" s="25">
        <f>IFERROR(IFERROR((H74*W74*J74/15)-AE74,""),"")</f>
        <v>217572.59261904762</v>
      </c>
      <c r="AH74" s="26">
        <f>IFERROR(AG74-AF74,0)</f>
        <v>-5721.3253809524176</v>
      </c>
      <c r="AI74" s="25">
        <f>(AH74/$AH$78)*$AL$30</f>
        <v>-48.223008000682448</v>
      </c>
      <c r="AJ74" s="25">
        <f>(AH74-AI74)*70%</f>
        <v>-3971.1716610662147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-127.14056402116483</v>
      </c>
    </row>
    <row r="76" spans="1:36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-2.6296167693189213E-2</v>
      </c>
    </row>
    <row r="77" spans="1:36" ht="15" thickBot="1" x14ac:dyDescent="0.4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ht="16" thickBot="1" x14ac:dyDescent="0.4">
      <c r="A78" s="377" t="s">
        <v>857</v>
      </c>
      <c r="B78" s="378"/>
      <c r="C78" s="378"/>
      <c r="D78" s="378"/>
      <c r="E78" s="378"/>
      <c r="F78" s="163">
        <f>SUM(F4:F77)</f>
        <v>1244</v>
      </c>
      <c r="G78" s="163">
        <f>SUM(G4:G77)</f>
        <v>0</v>
      </c>
      <c r="H78" s="30"/>
      <c r="I78" s="30"/>
      <c r="J78" s="30"/>
      <c r="K78" s="30"/>
      <c r="L78" s="46"/>
      <c r="M78" s="46"/>
      <c r="N78" s="46"/>
      <c r="O78" s="46"/>
      <c r="P78" s="46"/>
      <c r="Q78" s="46"/>
      <c r="R78" s="46"/>
      <c r="S78" s="46"/>
      <c r="T78" s="46"/>
      <c r="U78" s="30"/>
      <c r="V78" s="31">
        <f>SUM(V4:V77)</f>
        <v>5533021.5869333334</v>
      </c>
      <c r="W78" s="31"/>
      <c r="X78" s="31"/>
      <c r="Y78" s="31">
        <f t="shared" ref="Y78:AG78" si="0">SUM(Y4:Y77)</f>
        <v>57648</v>
      </c>
      <c r="Z78" s="31">
        <f t="shared" si="0"/>
        <v>506543.46399999998</v>
      </c>
      <c r="AA78" s="31">
        <f t="shared" si="0"/>
        <v>0</v>
      </c>
      <c r="AB78" s="31">
        <f t="shared" si="0"/>
        <v>35307.5</v>
      </c>
      <c r="AC78" s="31">
        <f t="shared" si="0"/>
        <v>11400</v>
      </c>
      <c r="AD78" s="31">
        <f t="shared" si="0"/>
        <v>5112.84</v>
      </c>
      <c r="AE78" s="31">
        <f t="shared" si="0"/>
        <v>12871.745714285713</v>
      </c>
      <c r="AF78" s="31">
        <f t="shared" si="0"/>
        <v>6149033.3909333339</v>
      </c>
      <c r="AG78" s="31">
        <f t="shared" si="0"/>
        <v>6380612.7857923806</v>
      </c>
      <c r="AH78" s="161">
        <f>AH4+AH9+AH14+AH19+AH24+AH29+AH34+AH39+AH44+AH49+AH54+AH59+AH64+AH69+AH74</f>
        <v>231579.39485904702</v>
      </c>
      <c r="AI78" s="165">
        <f>SUM(AI4:AI77)</f>
        <v>1951.9</v>
      </c>
      <c r="AJ78" s="165">
        <f>SUM(AJ4:AJ77)</f>
        <v>160739.24640133293</v>
      </c>
    </row>
    <row r="80" spans="1:36" x14ac:dyDescent="0.35">
      <c r="V80" s="162"/>
      <c r="AI80" s="25"/>
    </row>
  </sheetData>
  <mergeCells count="2">
    <mergeCell ref="U2:AC2"/>
    <mergeCell ref="A78:E78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5"/>
  <sheetViews>
    <sheetView zoomScale="85" zoomScaleNormal="85" workbookViewId="0">
      <pane xSplit="7" ySplit="3" topLeftCell="AJ16" activePane="bottomRight" state="frozen"/>
      <selection activeCell="X39" sqref="X39"/>
      <selection pane="topRight" activeCell="X39" sqref="X39"/>
      <selection pane="bottomLeft" activeCell="X39" sqref="X39"/>
      <selection pane="bottomRight" activeCell="X39" sqref="X39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23.269531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AF73</f>
        <v>4234850.4589688489</v>
      </c>
      <c r="AM3" s="164">
        <f>AH73-AI73</f>
        <v>35173.837811596939</v>
      </c>
    </row>
    <row r="4" spans="1:40" x14ac:dyDescent="0.35">
      <c r="A4" s="20">
        <v>45278</v>
      </c>
      <c r="B4" s="21" t="s">
        <v>632</v>
      </c>
      <c r="C4" s="21" t="s">
        <v>633</v>
      </c>
      <c r="D4" s="44">
        <v>1897720</v>
      </c>
      <c r="E4" s="44" t="s">
        <v>652</v>
      </c>
      <c r="F4" s="21">
        <v>50</v>
      </c>
      <c r="G4" s="21"/>
      <c r="H4" s="22">
        <v>27720</v>
      </c>
      <c r="I4" s="33">
        <v>0.55000000000000004</v>
      </c>
      <c r="J4" s="24">
        <f>IFERROR(K4/H4,"")</f>
        <v>0.53317099567099568</v>
      </c>
      <c r="K4" s="22">
        <v>14779.5</v>
      </c>
      <c r="L4" s="21">
        <v>3</v>
      </c>
      <c r="M4" s="21">
        <v>26</v>
      </c>
      <c r="N4" s="21">
        <v>19</v>
      </c>
      <c r="O4" s="21">
        <v>2</v>
      </c>
      <c r="P4" s="21"/>
      <c r="Q4" s="21"/>
      <c r="R4" s="21"/>
      <c r="S4" s="21"/>
      <c r="T4" s="21"/>
      <c r="U4" s="25">
        <v>220</v>
      </c>
      <c r="V4" s="25">
        <f>H4*U4*I4/15</f>
        <v>223608.00000000003</v>
      </c>
      <c r="W4" s="25">
        <v>254.33</v>
      </c>
      <c r="X4" s="25">
        <f>518199.57/98*F4</f>
        <v>264387.53571428568</v>
      </c>
      <c r="Y4" s="25">
        <f>IF(B4="FRANCISCO CAMACHO",((F4*42)+(G4*42)),IF(B4="DANILO VIANA",((F4*60)+(G4*60)),0))</f>
        <v>2100</v>
      </c>
      <c r="Z4" s="264">
        <v>22711.8</v>
      </c>
      <c r="AA4" s="25">
        <v>0</v>
      </c>
      <c r="AB4" s="264">
        <v>1375</v>
      </c>
      <c r="AC4" s="25">
        <v>0</v>
      </c>
      <c r="AD4" s="25">
        <f>IF(F4="",G4*4.11,F4*4.11)</f>
        <v>205.50000000000003</v>
      </c>
      <c r="AE4" s="25">
        <f>1036.4/98*F4</f>
        <v>528.77551020408168</v>
      </c>
      <c r="AF4" s="25">
        <f>V4+Y4+Z4+AA4+AB4+AC4+AD4</f>
        <v>250000.30000000002</v>
      </c>
      <c r="AG4" s="25">
        <f>IFERROR(IFERROR((H4*W4*J4/15)-AE4,""),"")</f>
        <v>250062.57348979593</v>
      </c>
      <c r="AH4" s="26">
        <f>IFERROR(AG4-AF4,0)</f>
        <v>62.273489795916248</v>
      </c>
      <c r="AI4" s="25">
        <f>(AH4/$AH$73)*$AL$30</f>
        <v>5.6445723035546136</v>
      </c>
      <c r="AJ4" s="25">
        <f>(AH4-AI4)*70%</f>
        <v>39.640242244653145</v>
      </c>
      <c r="AL4" s="166" t="s">
        <v>749</v>
      </c>
      <c r="AM4" s="167">
        <f>AM3/AL3</f>
        <v>8.3058039834921302E-3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1.245469795918325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2.4903162807151302E-4</v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45278</v>
      </c>
      <c r="B9" s="21" t="s">
        <v>849</v>
      </c>
      <c r="C9" s="21" t="s">
        <v>842</v>
      </c>
      <c r="D9" s="44">
        <v>1897713</v>
      </c>
      <c r="E9" s="44" t="s">
        <v>652</v>
      </c>
      <c r="F9" s="21">
        <v>99</v>
      </c>
      <c r="G9" s="21"/>
      <c r="H9" s="22">
        <f>69212/100*F9</f>
        <v>68519.88</v>
      </c>
      <c r="I9" s="33">
        <v>0.55000000000000004</v>
      </c>
      <c r="J9" s="24">
        <f>IFERROR(K9/H9,"")</f>
        <v>0.55522572427155448</v>
      </c>
      <c r="K9" s="22">
        <v>38044</v>
      </c>
      <c r="L9" s="21">
        <v>14</v>
      </c>
      <c r="M9" s="21">
        <v>63</v>
      </c>
      <c r="N9" s="21">
        <v>22</v>
      </c>
      <c r="O9" s="21"/>
      <c r="P9" s="21"/>
      <c r="Q9" s="21"/>
      <c r="R9" s="21"/>
      <c r="S9" s="21"/>
      <c r="T9" s="21"/>
      <c r="U9" s="25">
        <v>245</v>
      </c>
      <c r="V9" s="25">
        <f>H9*U9*I9/15</f>
        <v>615536.92200000014</v>
      </c>
      <c r="W9" s="25">
        <v>256.45</v>
      </c>
      <c r="X9" s="25">
        <f>1134703.44/196*F9</f>
        <v>573141.02326530602</v>
      </c>
      <c r="Y9" s="25">
        <f>IF(B9="FRANCISCO CAMACHO",((F9*42)+(G9*42)),IF(B9="DANILO VIANA",((F9*60)+(G9*60)),0))</f>
        <v>0</v>
      </c>
      <c r="Z9" s="264">
        <v>10329.299999999999</v>
      </c>
      <c r="AA9" s="25">
        <v>0</v>
      </c>
      <c r="AB9" s="264">
        <v>3062.5</v>
      </c>
      <c r="AC9" s="25">
        <f>38*F9</f>
        <v>3762</v>
      </c>
      <c r="AD9" s="25">
        <f>IF(F9="",G9*4.11,F9*4.11)</f>
        <v>406.89000000000004</v>
      </c>
      <c r="AE9" s="25">
        <f>2269.4/196*F9</f>
        <v>1146.2785714285715</v>
      </c>
      <c r="AF9" s="25">
        <f>V9+Y9+Z9+AA9+AB9+AC9+AD9</f>
        <v>633097.6120000002</v>
      </c>
      <c r="AG9" s="25">
        <f>IFERROR(IFERROR((H9*W9*J9/15)-AE9,""),"")</f>
        <v>649279.30809523806</v>
      </c>
      <c r="AH9" s="26">
        <f>IFERROR(AG9-AF9,0)</f>
        <v>16181.696095237858</v>
      </c>
      <c r="AI9" s="25">
        <f>(AH9/$AH$73)*$AL$30</f>
        <v>1466.7357474754408</v>
      </c>
      <c r="AJ9" s="25">
        <f>(AH9-AI9)*70%</f>
        <v>10300.472243433691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163.4514757094733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2.4922550115926815E-2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45278</v>
      </c>
      <c r="B14" s="21" t="s">
        <v>850</v>
      </c>
      <c r="C14" s="21" t="s">
        <v>842</v>
      </c>
      <c r="D14" s="44"/>
      <c r="E14" s="44" t="s">
        <v>652</v>
      </c>
      <c r="F14" s="21">
        <v>2</v>
      </c>
      <c r="G14" s="21"/>
      <c r="H14" s="22">
        <f>19400/36*F14</f>
        <v>1077.7777777777778</v>
      </c>
      <c r="I14" s="33">
        <v>0.53</v>
      </c>
      <c r="J14" s="24">
        <f>IFERROR(K14/H14,"")</f>
        <v>0</v>
      </c>
      <c r="K14" s="22"/>
      <c r="L14" s="21"/>
      <c r="M14" s="21"/>
      <c r="N14" s="21"/>
      <c r="O14" s="21"/>
      <c r="P14" s="21"/>
      <c r="Q14" s="21"/>
      <c r="R14" s="21"/>
      <c r="S14" s="21"/>
      <c r="T14" s="21"/>
      <c r="U14" s="25">
        <v>240</v>
      </c>
      <c r="V14" s="25">
        <f>H14*U14*I14/15</f>
        <v>9139.5555555555566</v>
      </c>
      <c r="W14" s="25"/>
      <c r="X14" s="25"/>
      <c r="Y14" s="25">
        <f>IF(B14="FRANCISCO CAMACHO",((F14*42)+(G14*42)),IF(B14="DANILO VIANA",((F14*60)+(G14*60)),0))</f>
        <v>0</v>
      </c>
      <c r="Z14" s="264">
        <f>5271.2/54*F14</f>
        <v>195.22962962962961</v>
      </c>
      <c r="AA14" s="25">
        <v>0</v>
      </c>
      <c r="AB14" s="264">
        <f>1620/54*F14</f>
        <v>60</v>
      </c>
      <c r="AC14" s="25">
        <f>38*F14</f>
        <v>76</v>
      </c>
      <c r="AD14" s="25">
        <v>0</v>
      </c>
      <c r="AE14" s="25">
        <v>0</v>
      </c>
      <c r="AF14" s="25">
        <f>V14+Y14+Z14+AA14+AB14+AC14+AD14</f>
        <v>9470.7851851851865</v>
      </c>
      <c r="AG14" s="25">
        <f>IFERROR(IFERROR((H14*W14*J14/15)-AE14,""),"")</f>
        <v>0</v>
      </c>
      <c r="AH14" s="26">
        <f>IFERROR(AG14-AF14,0)</f>
        <v>-9470.7851851851865</v>
      </c>
      <c r="AI14" s="25">
        <f>(AH14/$AH$73)*$AL$30</f>
        <v>-858.44766247093071</v>
      </c>
      <c r="AJ14" s="25">
        <f>(AH14-AI14)*70%</f>
        <v>-6028.6362658999778</v>
      </c>
      <c r="AL14" s="14">
        <f>F4+G4+F9+G9+F14+G14+F19+G19+F24+G24+F29+G29+F34+G34+F39+G39+F44+G44+F49+G49+F54+G54+F59+G59+F64+G64+F69+G69</f>
        <v>851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-4735.3925925925932</v>
      </c>
      <c r="AL15" s="11">
        <f>AH73</f>
        <v>38620.763510601559</v>
      </c>
      <c r="AM15" s="11">
        <f>AL15*30%</f>
        <v>11586.229053180467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 t="str">
        <f>IFERROR(AH14/AG14,"")</f>
        <v/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45278</v>
      </c>
      <c r="B19" s="21" t="s">
        <v>850</v>
      </c>
      <c r="C19" s="21" t="s">
        <v>842</v>
      </c>
      <c r="D19" s="44">
        <v>1897713</v>
      </c>
      <c r="E19" s="44" t="s">
        <v>652</v>
      </c>
      <c r="F19" s="21">
        <v>35</v>
      </c>
      <c r="G19" s="21"/>
      <c r="H19" s="22">
        <f>19400/36*F19</f>
        <v>18861.111111111113</v>
      </c>
      <c r="I19" s="33">
        <v>0.53</v>
      </c>
      <c r="J19" s="24">
        <f>IFERROR(K19/H19,"")</f>
        <v>0.5555729976209357</v>
      </c>
      <c r="K19" s="22">
        <f>15568.39/52*F19</f>
        <v>10478.724038461538</v>
      </c>
      <c r="L19" s="21">
        <v>7</v>
      </c>
      <c r="M19" s="21">
        <v>18</v>
      </c>
      <c r="N19" s="21">
        <v>7</v>
      </c>
      <c r="O19" s="21">
        <v>3</v>
      </c>
      <c r="P19" s="21"/>
      <c r="Q19" s="21"/>
      <c r="R19" s="21"/>
      <c r="S19" s="21"/>
      <c r="T19" s="21"/>
      <c r="U19" s="25">
        <v>240</v>
      </c>
      <c r="V19" s="25">
        <f>H19*U19*I19/15</f>
        <v>159942.22222222222</v>
      </c>
      <c r="W19" s="25">
        <v>256.45</v>
      </c>
      <c r="X19" s="25">
        <f>1134703.44/196*F19</f>
        <v>202625.61428571425</v>
      </c>
      <c r="Y19" s="25">
        <f>IF(B19="FRANCISCO CAMACHO",((F19*42)+(G19*42)),IF(B19="DANILO VIANA",((F19*60)+(G19*60)),0))</f>
        <v>0</v>
      </c>
      <c r="Z19" s="264">
        <f>5271.2/54*F19</f>
        <v>3416.5185185185182</v>
      </c>
      <c r="AA19" s="25">
        <v>0</v>
      </c>
      <c r="AB19" s="264">
        <f>1620/54*F19</f>
        <v>1050</v>
      </c>
      <c r="AC19" s="25">
        <f>38*F19</f>
        <v>1330</v>
      </c>
      <c r="AD19" s="25">
        <f>IF(F19="",G19*4.11,F19*4.11)</f>
        <v>143.85000000000002</v>
      </c>
      <c r="AE19" s="25">
        <f>2269.4/196*F19</f>
        <v>405.25</v>
      </c>
      <c r="AF19" s="25">
        <f>V19+Y19+Z19+AA19+AB19+AC19+AD19</f>
        <v>165882.59074074074</v>
      </c>
      <c r="AG19" s="25">
        <f>IFERROR(IFERROR((H19*W19*J19/15)-AE19,""),"")</f>
        <v>178746.00197756413</v>
      </c>
      <c r="AH19" s="26">
        <f>IFERROR(AG19-AF19,0)</f>
        <v>12863.411236823391</v>
      </c>
      <c r="AI19" s="25">
        <f>(AH19/$AH$73)*$AL$30</f>
        <v>1165.9609094425284</v>
      </c>
      <c r="AJ19" s="25">
        <f>(AH19-AI19)*70%</f>
        <v>8188.2152291666034</v>
      </c>
      <c r="AL19" s="178">
        <v>518.04999999999995</v>
      </c>
      <c r="AM19" s="6" t="s">
        <v>854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367.52603533781115</v>
      </c>
      <c r="AL20" s="178">
        <v>906</v>
      </c>
      <c r="AM20" s="6" t="s">
        <v>862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7.196474939024361E-2</v>
      </c>
      <c r="AL21" s="178">
        <v>438</v>
      </c>
      <c r="AM21" s="6" t="s">
        <v>863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300</v>
      </c>
      <c r="AM22" s="6" t="s">
        <v>864</v>
      </c>
      <c r="AN22" s="174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>
        <v>1338.6</v>
      </c>
      <c r="AM23" s="6" t="s">
        <v>814</v>
      </c>
      <c r="AN23" s="174"/>
    </row>
    <row r="24" spans="1:40" x14ac:dyDescent="0.35">
      <c r="A24" s="20">
        <v>45278</v>
      </c>
      <c r="B24" s="21" t="s">
        <v>851</v>
      </c>
      <c r="C24" s="21" t="s">
        <v>842</v>
      </c>
      <c r="D24" s="44">
        <v>1897713</v>
      </c>
      <c r="E24" s="44" t="s">
        <v>652</v>
      </c>
      <c r="F24" s="21">
        <v>17</v>
      </c>
      <c r="G24" s="21"/>
      <c r="H24" s="22">
        <f>9330/18*F24</f>
        <v>8811.6666666666679</v>
      </c>
      <c r="I24" s="33">
        <v>0.52</v>
      </c>
      <c r="J24" s="24">
        <f>IFERROR(K24/H24,"")</f>
        <v>0.57760536730150858</v>
      </c>
      <c r="K24" s="22">
        <f>15568.39/52*F24</f>
        <v>5089.6659615384606</v>
      </c>
      <c r="L24" s="21">
        <v>3</v>
      </c>
      <c r="M24" s="21">
        <v>11</v>
      </c>
      <c r="N24" s="21">
        <v>3</v>
      </c>
      <c r="O24" s="21"/>
      <c r="P24" s="21"/>
      <c r="Q24" s="21"/>
      <c r="R24" s="21"/>
      <c r="S24" s="21"/>
      <c r="T24" s="21"/>
      <c r="U24" s="25">
        <v>240</v>
      </c>
      <c r="V24" s="25">
        <f>H24*U24*I24/15</f>
        <v>73313.06666666668</v>
      </c>
      <c r="W24" s="25">
        <v>256.45</v>
      </c>
      <c r="X24" s="25">
        <f>1134703.44/196*F24</f>
        <v>98418.155510204073</v>
      </c>
      <c r="Y24" s="25">
        <f>IF(B24="FRANCISCO CAMACHO",((F24*42)+(G24*42)),IF(B24="DANILO VIANA",((F24*60)+(G24*60)),0))</f>
        <v>0</v>
      </c>
      <c r="Z24" s="264">
        <f>5271.2/54*F24</f>
        <v>1659.4518518518516</v>
      </c>
      <c r="AA24" s="25">
        <v>0</v>
      </c>
      <c r="AB24" s="264">
        <f>1620/54*F24</f>
        <v>510</v>
      </c>
      <c r="AC24" s="25">
        <f>38*F24</f>
        <v>646</v>
      </c>
      <c r="AD24" s="25">
        <f>IF(F24="",G24*4.11,F24*4.11)</f>
        <v>69.87</v>
      </c>
      <c r="AE24" s="25">
        <f>2269.4/196*F24</f>
        <v>196.83571428571429</v>
      </c>
      <c r="AF24" s="25">
        <f>V24+Y24+Z24+AA24+AB24+AC24+AD24</f>
        <v>76198.388518518521</v>
      </c>
      <c r="AG24" s="25">
        <f>IFERROR(IFERROR((H24*W24*J24/15)-AE24,""),"")</f>
        <v>86819.486674816828</v>
      </c>
      <c r="AH24" s="26">
        <f>IFERROR(AG24-AF24,0)</f>
        <v>10621.098156298307</v>
      </c>
      <c r="AI24" s="25">
        <f>(AH24/$AH$73)*$AL$30</f>
        <v>962.71393626486429</v>
      </c>
      <c r="AJ24" s="25">
        <f>(AH24-AI24)*70%</f>
        <v>6760.8689540234091</v>
      </c>
      <c r="AL24" s="178"/>
      <c r="AM24" s="6"/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624.77047978225335</v>
      </c>
      <c r="AL25" s="178"/>
      <c r="AM25" s="6"/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0.1223354175783108</v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178"/>
      <c r="AM28" s="6"/>
      <c r="AN28" s="174"/>
    </row>
    <row r="29" spans="1:40" x14ac:dyDescent="0.35">
      <c r="A29" s="20">
        <v>45279</v>
      </c>
      <c r="B29" s="21" t="s">
        <v>622</v>
      </c>
      <c r="C29" s="21" t="s">
        <v>623</v>
      </c>
      <c r="D29" s="44">
        <v>1897726</v>
      </c>
      <c r="E29" s="44" t="s">
        <v>652</v>
      </c>
      <c r="F29" s="21">
        <v>50</v>
      </c>
      <c r="G29" s="21"/>
      <c r="H29" s="22">
        <v>25610</v>
      </c>
      <c r="I29" s="33">
        <v>0.55000000000000004</v>
      </c>
      <c r="J29" s="24">
        <f>IFERROR(K29/H29,"")</f>
        <v>0.53594299101913312</v>
      </c>
      <c r="K29" s="22">
        <v>13725.5</v>
      </c>
      <c r="L29" s="21">
        <v>46</v>
      </c>
      <c r="M29" s="21">
        <v>4</v>
      </c>
      <c r="N29" s="21"/>
      <c r="O29" s="21"/>
      <c r="P29" s="21"/>
      <c r="Q29" s="21"/>
      <c r="R29" s="21"/>
      <c r="S29" s="21"/>
      <c r="T29" s="21"/>
      <c r="U29" s="25">
        <v>220</v>
      </c>
      <c r="V29" s="25">
        <f>H29*U29*I29/15</f>
        <v>206587.33333333337</v>
      </c>
      <c r="W29" s="25">
        <v>258.20999999999998</v>
      </c>
      <c r="X29" s="25">
        <f>957304.97/200*F29</f>
        <v>239326.24249999999</v>
      </c>
      <c r="Y29" s="25">
        <f>IF(B29="FRANCISCO CAMACHO",((F29*42)+(G29*42)),IF(B29="DANILO VIANA",((F29*60)+(G29*60)),0))</f>
        <v>0</v>
      </c>
      <c r="Z29" s="264">
        <v>19712.8</v>
      </c>
      <c r="AA29" s="43">
        <v>1210</v>
      </c>
      <c r="AB29" s="264">
        <v>1375</v>
      </c>
      <c r="AC29" s="25">
        <v>0</v>
      </c>
      <c r="AD29" s="25">
        <f>IF(F29="",G29*4.11,F29*4.11)</f>
        <v>205.50000000000003</v>
      </c>
      <c r="AE29" s="25">
        <f>1914.61/200*F29</f>
        <v>478.65250000000003</v>
      </c>
      <c r="AF29" s="25">
        <f>V29+Y29+Z29+AA29+AB29+AC29+AD29</f>
        <v>229090.63333333336</v>
      </c>
      <c r="AG29" s="25">
        <f>IFERROR(IFERROR((H29*W29*J29/15)-AE29,""),"")</f>
        <v>235792.10449999996</v>
      </c>
      <c r="AH29" s="26">
        <f>IFERROR(AG29-AF29,0)</f>
        <v>6701.4711666665971</v>
      </c>
      <c r="AI29" s="25">
        <f>(AH29/$AH$73)*$AL$30</f>
        <v>607.43245102214757</v>
      </c>
      <c r="AJ29" s="25">
        <f>(AH29-AI29)*70%</f>
        <v>4265.8271009511145</v>
      </c>
      <c r="AL29" s="178"/>
      <c r="AM29" s="6"/>
      <c r="AN29" s="174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5"/>
      <c r="W30" s="21"/>
      <c r="X30" s="25"/>
      <c r="Y30" s="21"/>
      <c r="Z30" s="3"/>
      <c r="AA30" s="21"/>
      <c r="AB30" s="21"/>
      <c r="AC30" s="21"/>
      <c r="AD30" s="21"/>
      <c r="AE30" s="21"/>
      <c r="AF30" s="25"/>
      <c r="AG30" s="21"/>
      <c r="AH30" s="26">
        <f>IFERROR(AH29/F29,0)+IFERROR(AH29/G29,0)</f>
        <v>134.02942333333195</v>
      </c>
      <c r="AL30" s="214">
        <f>SUM(AL19:AL29)</f>
        <v>3500.65</v>
      </c>
      <c r="AM30" s="189" t="s">
        <v>673</v>
      </c>
      <c r="AN30" s="191"/>
    </row>
    <row r="31" spans="1:40" x14ac:dyDescent="0.35">
      <c r="A31" s="21"/>
      <c r="B31" s="21"/>
      <c r="C31" s="21"/>
      <c r="D31" s="21"/>
      <c r="E31" s="21"/>
      <c r="F31" s="21"/>
      <c r="G31" s="21"/>
      <c r="H31" s="22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5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2.8421100786547322E-2</v>
      </c>
      <c r="AL31" s="57"/>
      <c r="AM31" s="6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118" t="s">
        <v>22</v>
      </c>
      <c r="AN32" s="12"/>
    </row>
    <row r="33" spans="1:4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248">
        <f>AL15-AL30</f>
        <v>35120.113510601557</v>
      </c>
      <c r="AM33" s="248">
        <f>AL33*30%</f>
        <v>10536.034053180467</v>
      </c>
      <c r="AN33" s="12"/>
    </row>
    <row r="34" spans="1:41" x14ac:dyDescent="0.35">
      <c r="A34" s="20">
        <v>45279</v>
      </c>
      <c r="B34" s="21" t="s">
        <v>852</v>
      </c>
      <c r="C34" s="21" t="s">
        <v>842</v>
      </c>
      <c r="D34" s="44">
        <v>1897720</v>
      </c>
      <c r="E34" s="44" t="s">
        <v>652</v>
      </c>
      <c r="F34" s="21">
        <v>29</v>
      </c>
      <c r="G34" s="21"/>
      <c r="H34" s="22">
        <v>18520</v>
      </c>
      <c r="I34" s="33">
        <v>0.53</v>
      </c>
      <c r="J34" s="24">
        <f>IFERROR(K34/H34,"")</f>
        <v>0.53139848812095036</v>
      </c>
      <c r="K34" s="22">
        <v>9841.5</v>
      </c>
      <c r="L34" s="21">
        <v>1</v>
      </c>
      <c r="M34" s="21">
        <v>4</v>
      </c>
      <c r="N34" s="21">
        <v>17</v>
      </c>
      <c r="O34" s="21">
        <v>7</v>
      </c>
      <c r="P34" s="21"/>
      <c r="Q34" s="21"/>
      <c r="R34" s="21"/>
      <c r="S34" s="21"/>
      <c r="T34" s="21"/>
      <c r="U34" s="25">
        <v>240</v>
      </c>
      <c r="V34" s="25">
        <f>H34*U34*I34/15</f>
        <v>157049.60000000001</v>
      </c>
      <c r="W34" s="25">
        <v>254.33</v>
      </c>
      <c r="X34" s="25">
        <f>518199.57/98*F34</f>
        <v>153344.7707142857</v>
      </c>
      <c r="Y34" s="25">
        <f>IF(B34="FRANCISCO CAMACHO",((F34*42)+(G34*42)),IF(B34="DANILO VIANA",((F34*60)+(G34*60)),0))</f>
        <v>0</v>
      </c>
      <c r="Z34" s="264">
        <v>4620</v>
      </c>
      <c r="AA34" s="25">
        <v>0</v>
      </c>
      <c r="AB34" s="264">
        <v>870</v>
      </c>
      <c r="AC34" s="25">
        <f>38*F34</f>
        <v>1102</v>
      </c>
      <c r="AD34" s="25">
        <f>IF(F34="",G34*4.11,F34*4.11)</f>
        <v>119.19000000000001</v>
      </c>
      <c r="AE34" s="25">
        <f>1036.4/98*F34</f>
        <v>306.68979591836734</v>
      </c>
      <c r="AF34" s="25">
        <f>V34+Y34+Z34+AA34+AB34+AC34+AD34</f>
        <v>163760.79</v>
      </c>
      <c r="AG34" s="25">
        <f>IFERROR(IFERROR((H34*W34*J34/15)-AE34,""),"")</f>
        <v>166559.22320408167</v>
      </c>
      <c r="AH34" s="26">
        <f>IFERROR(AG34-AF34,0)</f>
        <v>2798.4332040816662</v>
      </c>
      <c r="AI34" s="25">
        <f>(AH34/$AH$73)*$AL$30</f>
        <v>253.65462267930957</v>
      </c>
      <c r="AJ34" s="25">
        <f>(AH34-AI34)*70%</f>
        <v>1781.3450069816495</v>
      </c>
      <c r="AL34" s="57"/>
      <c r="AM34" s="249"/>
      <c r="AN34" s="246"/>
    </row>
    <row r="35" spans="1:4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5"/>
      <c r="W35" s="21"/>
      <c r="X35" s="25"/>
      <c r="Y35" s="21"/>
      <c r="Z35" s="3"/>
      <c r="AA35" s="21"/>
      <c r="AB35" s="21"/>
      <c r="AC35" s="21"/>
      <c r="AD35" s="21"/>
      <c r="AE35" s="21"/>
      <c r="AF35" s="25"/>
      <c r="AG35" s="21"/>
      <c r="AH35" s="26">
        <f>IFERROR(AH34/F34,0)+IFERROR(AH34/G34,0)</f>
        <v>96.497696692471251</v>
      </c>
      <c r="AL35" s="57"/>
      <c r="AM35" s="248"/>
      <c r="AN35" s="1"/>
    </row>
    <row r="36" spans="1:41" x14ac:dyDescent="0.35">
      <c r="A36" s="21"/>
      <c r="B36" s="21"/>
      <c r="C36" s="21"/>
      <c r="D36" s="21"/>
      <c r="E36" s="21"/>
      <c r="F36" s="21"/>
      <c r="G36" s="21"/>
      <c r="H36" s="22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5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1.6801430447672069E-2</v>
      </c>
      <c r="AM36" s="126">
        <v>225.60154228590545</v>
      </c>
      <c r="AN36" s="104" t="s">
        <v>861</v>
      </c>
    </row>
    <row r="37" spans="1:4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</row>
    <row r="38" spans="1:41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  <c r="AM38" s="313">
        <f>AM33-AM36</f>
        <v>10310.432510894561</v>
      </c>
      <c r="AN38" s="361" t="s">
        <v>920</v>
      </c>
      <c r="AO38" t="s">
        <v>940</v>
      </c>
    </row>
    <row r="39" spans="1:41" x14ac:dyDescent="0.35">
      <c r="A39" s="20">
        <v>45280</v>
      </c>
      <c r="B39" s="21" t="s">
        <v>855</v>
      </c>
      <c r="C39" s="21" t="s">
        <v>856</v>
      </c>
      <c r="D39" s="44">
        <v>1897720</v>
      </c>
      <c r="E39" s="44" t="s">
        <v>652</v>
      </c>
      <c r="F39" s="21">
        <v>19</v>
      </c>
      <c r="G39" s="21"/>
      <c r="H39" s="22">
        <v>10590</v>
      </c>
      <c r="I39" s="33">
        <v>0.54</v>
      </c>
      <c r="J39" s="24">
        <f>IFERROR(K39/H39,"")</f>
        <v>0.56109537299338996</v>
      </c>
      <c r="K39" s="22">
        <v>5942</v>
      </c>
      <c r="L39" s="21">
        <v>9</v>
      </c>
      <c r="M39" s="21">
        <v>10</v>
      </c>
      <c r="N39" s="21"/>
      <c r="O39" s="21"/>
      <c r="P39" s="21"/>
      <c r="Q39" s="21"/>
      <c r="R39" s="21"/>
      <c r="S39" s="21"/>
      <c r="T39" s="21"/>
      <c r="U39" s="25">
        <v>245</v>
      </c>
      <c r="V39" s="25">
        <f>H39*U39*I39/15</f>
        <v>93403.8</v>
      </c>
      <c r="W39" s="25">
        <v>254.33</v>
      </c>
      <c r="X39" s="25">
        <f>518199.57/98*F39</f>
        <v>100467.26357142857</v>
      </c>
      <c r="Y39" s="25">
        <f>IF(B39="FRANCISCO CAMACHO",((F39*42)+(G39*42)),IF(B39="DANILO VIANA",((F39*60)+(G39*60)),0))</f>
        <v>0</v>
      </c>
      <c r="Z39" s="264">
        <v>1116</v>
      </c>
      <c r="AA39" s="25">
        <v>0</v>
      </c>
      <c r="AB39" s="264">
        <v>581.88</v>
      </c>
      <c r="AC39" s="25">
        <v>0</v>
      </c>
      <c r="AD39" s="25">
        <f>IF(F39="",G39*4.11,F39*4.11)</f>
        <v>78.09</v>
      </c>
      <c r="AE39" s="25">
        <f>1036.4/98*F39</f>
        <v>200.93469387755101</v>
      </c>
      <c r="AF39" s="25">
        <f>V39+Y39+Z39+AA39+AB39+AC39+AD39</f>
        <v>95179.77</v>
      </c>
      <c r="AG39" s="25">
        <f>IFERROR(IFERROR((H39*W39*J39/15)-AE39,""),"")</f>
        <v>100547.65597278911</v>
      </c>
      <c r="AH39" s="26">
        <f>IFERROR(AG39-AF39,0)</f>
        <v>5367.8859727891104</v>
      </c>
      <c r="AI39" s="25">
        <f>(AH39/$AH$73)*$AL$30</f>
        <v>486.55407927101101</v>
      </c>
      <c r="AJ39" s="25">
        <f>(AH39-AI39)*70%</f>
        <v>3416.9323254626697</v>
      </c>
    </row>
    <row r="40" spans="1:41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5"/>
      <c r="AC40" s="21"/>
      <c r="AD40" s="21"/>
      <c r="AE40" s="21"/>
      <c r="AF40" s="21"/>
      <c r="AG40" s="21"/>
      <c r="AH40" s="26">
        <f>IFERROR(AH39/F39,0)+IFERROR(AH39/G39,0)</f>
        <v>282.52031435732158</v>
      </c>
    </row>
    <row r="41" spans="1:4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5.3386485451652935E-2</v>
      </c>
    </row>
    <row r="42" spans="1:4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1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1" x14ac:dyDescent="0.35">
      <c r="A44" s="20">
        <v>45280</v>
      </c>
      <c r="B44" s="21" t="s">
        <v>849</v>
      </c>
      <c r="C44" s="21" t="s">
        <v>842</v>
      </c>
      <c r="D44" s="44">
        <v>1897726</v>
      </c>
      <c r="E44" s="44" t="s">
        <v>652</v>
      </c>
      <c r="F44" s="21">
        <v>150</v>
      </c>
      <c r="G44" s="21"/>
      <c r="H44" s="22">
        <f>80326/153*F44</f>
        <v>78750.980392156867</v>
      </c>
      <c r="I44" s="33">
        <v>0.55000000000000004</v>
      </c>
      <c r="J44" s="24">
        <f>IFERROR(K44/H44,"")</f>
        <v>0.53188544182456488</v>
      </c>
      <c r="K44" s="22">
        <v>41886.5</v>
      </c>
      <c r="L44" s="21">
        <v>129</v>
      </c>
      <c r="M44" s="21">
        <v>17</v>
      </c>
      <c r="N44" s="21">
        <v>4</v>
      </c>
      <c r="O44" s="21"/>
      <c r="P44" s="21"/>
      <c r="Q44" s="21"/>
      <c r="R44" s="21"/>
      <c r="S44" s="21"/>
      <c r="T44" s="21"/>
      <c r="U44" s="25">
        <v>245</v>
      </c>
      <c r="V44" s="25">
        <f>H44*U44*I44/15</f>
        <v>707446.30718954257</v>
      </c>
      <c r="W44" s="25">
        <v>258.20999999999998</v>
      </c>
      <c r="X44" s="25">
        <f>957304.97/200*F44</f>
        <v>717978.72749999992</v>
      </c>
      <c r="Y44" s="25">
        <f>IF(B44="FRANCISCO CAMACHO",((F44*42)+(G44*42)),IF(B44="DANILO VIANA",((F44*60)+(G44*60)),0))</f>
        <v>0</v>
      </c>
      <c r="Z44" s="264">
        <f>15491.1/154*F44</f>
        <v>15088.733766233767</v>
      </c>
      <c r="AA44" s="25">
        <v>0</v>
      </c>
      <c r="AB44" s="264">
        <f>4685.63/153*F44</f>
        <v>4593.7549019607841</v>
      </c>
      <c r="AC44" s="25">
        <f>38*F44</f>
        <v>5700</v>
      </c>
      <c r="AD44" s="25">
        <f>IF(F44="",G44*4.11,F44*4.11)</f>
        <v>616.5</v>
      </c>
      <c r="AE44" s="25">
        <f>1914.61/200*F44</f>
        <v>1435.9575</v>
      </c>
      <c r="AF44" s="25">
        <f>V44+Y44+Z44+AA44+AB44+AC44+AD44</f>
        <v>733445.29585773719</v>
      </c>
      <c r="AG44" s="25">
        <f>IFERROR(IFERROR((H44*W44*J44/15)-AE44,""),"")</f>
        <v>719598.25349999988</v>
      </c>
      <c r="AH44" s="26">
        <f>IFERROR(AG44-AF44,0)</f>
        <v>-13847.042357737315</v>
      </c>
      <c r="AI44" s="25">
        <f>(AH44/$AH$73)*$AL$30</f>
        <v>-1255.1188641391545</v>
      </c>
      <c r="AJ44" s="25">
        <f>(AH44-AI44)*70%</f>
        <v>-8814.3464455187113</v>
      </c>
    </row>
    <row r="45" spans="1:41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5"/>
      <c r="AC45" s="21"/>
      <c r="AD45" s="21"/>
      <c r="AE45" s="21"/>
      <c r="AF45" s="21"/>
      <c r="AG45" s="21"/>
      <c r="AH45" s="26">
        <f>IFERROR(AH44/F44,0)+IFERROR(AH44/G44,0)</f>
        <v>-92.313615718248769</v>
      </c>
    </row>
    <row r="46" spans="1:41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-1.9242740362956312E-2</v>
      </c>
    </row>
    <row r="47" spans="1:4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1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45282</v>
      </c>
      <c r="B49" s="21" t="s">
        <v>622</v>
      </c>
      <c r="C49" s="21" t="s">
        <v>623</v>
      </c>
      <c r="D49" s="44">
        <v>1897741</v>
      </c>
      <c r="E49" s="44" t="s">
        <v>652</v>
      </c>
      <c r="F49" s="21">
        <v>100</v>
      </c>
      <c r="G49" s="21"/>
      <c r="H49" s="22">
        <v>49730</v>
      </c>
      <c r="I49" s="33">
        <v>0.55000000000000004</v>
      </c>
      <c r="J49" s="24">
        <f>IFERROR(K49/H49,"")</f>
        <v>0.54388698974462091</v>
      </c>
      <c r="K49" s="22">
        <v>27047.5</v>
      </c>
      <c r="L49" s="21">
        <v>64</v>
      </c>
      <c r="M49" s="21">
        <v>30</v>
      </c>
      <c r="N49" s="21">
        <v>6</v>
      </c>
      <c r="O49" s="21"/>
      <c r="P49" s="21"/>
      <c r="Q49" s="21"/>
      <c r="R49" s="21"/>
      <c r="S49" s="21"/>
      <c r="T49" s="21"/>
      <c r="U49" s="25">
        <v>220</v>
      </c>
      <c r="V49" s="25">
        <f>H49*U49*I49/15</f>
        <v>401155.33333333337</v>
      </c>
      <c r="W49" s="25">
        <v>254.42</v>
      </c>
      <c r="X49" s="25">
        <f>1884247.19/399*F49</f>
        <v>472242.40350877191</v>
      </c>
      <c r="Y49" s="25">
        <f>IF(B49="FRANCISCO CAMACHO",((F49*42)+(G49*42)),IF(B49="DANILO VIANA",((F49*60)+(G49*60)),0))</f>
        <v>0</v>
      </c>
      <c r="Z49" s="264">
        <f>19712.8+20015.6</f>
        <v>39728.399999999994</v>
      </c>
      <c r="AA49" s="264">
        <v>1210</v>
      </c>
      <c r="AB49" s="264">
        <v>2750</v>
      </c>
      <c r="AC49" s="25">
        <v>0</v>
      </c>
      <c r="AD49" s="25">
        <f>IF(F49="",G49*4.11,F49*4.11)</f>
        <v>411.00000000000006</v>
      </c>
      <c r="AE49" s="25">
        <f>3768.5/399*F49</f>
        <v>944.48621553884709</v>
      </c>
      <c r="AF49" s="25">
        <f>V49+Y49+Z49+AA49+AB49+AC49+AD49</f>
        <v>445254.7333333334</v>
      </c>
      <c r="AG49" s="25">
        <f>IFERROR(IFERROR((H49*W49*J49/15)-AE49,""),"")</f>
        <v>457817.1771177944</v>
      </c>
      <c r="AH49" s="26">
        <f>IFERROR(AG49-AF49,0)</f>
        <v>12562.443784461007</v>
      </c>
      <c r="AI49" s="25">
        <f>(AH49/$AH$73)*$AL$30</f>
        <v>1138.6807208511461</v>
      </c>
      <c r="AJ49" s="25">
        <f>(AH49-AI49)*70%</f>
        <v>7996.6341445269027</v>
      </c>
    </row>
    <row r="50" spans="1:3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5"/>
      <c r="AC50" s="21"/>
      <c r="AD50" s="21"/>
      <c r="AE50" s="21"/>
      <c r="AF50" s="21"/>
      <c r="AG50" s="21"/>
      <c r="AH50" s="26">
        <f>IFERROR(AH49/F49,0)+IFERROR(AH49/G49,0)</f>
        <v>125.62443784461007</v>
      </c>
    </row>
    <row r="51" spans="1:3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2.7439869913899594E-2</v>
      </c>
    </row>
    <row r="52" spans="1:3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3" spans="1:39" x14ac:dyDescent="0.35">
      <c r="A53" s="37" t="s">
        <v>1</v>
      </c>
      <c r="B53" s="37" t="s">
        <v>2</v>
      </c>
      <c r="C53" s="37" t="s">
        <v>110</v>
      </c>
      <c r="D53" s="37" t="s">
        <v>66</v>
      </c>
      <c r="E53" s="37" t="s">
        <v>638</v>
      </c>
      <c r="F53" s="37" t="s">
        <v>137</v>
      </c>
      <c r="G53" s="37" t="s">
        <v>138</v>
      </c>
      <c r="H53" s="37" t="s">
        <v>4</v>
      </c>
      <c r="I53" s="37" t="s">
        <v>5</v>
      </c>
      <c r="J53" s="37" t="s">
        <v>6</v>
      </c>
      <c r="K53" s="37" t="s">
        <v>7</v>
      </c>
      <c r="L53" s="37" t="s">
        <v>279</v>
      </c>
      <c r="M53" s="37" t="s">
        <v>280</v>
      </c>
      <c r="N53" s="37" t="s">
        <v>281</v>
      </c>
      <c r="O53" s="37" t="s">
        <v>282</v>
      </c>
      <c r="P53" s="37" t="s">
        <v>283</v>
      </c>
      <c r="Q53" s="37" t="s">
        <v>284</v>
      </c>
      <c r="R53" s="37" t="s">
        <v>904</v>
      </c>
      <c r="S53" s="37" t="s">
        <v>285</v>
      </c>
      <c r="T53" s="37" t="s">
        <v>289</v>
      </c>
      <c r="U53" s="37" t="s">
        <v>8</v>
      </c>
      <c r="V53" s="37" t="s">
        <v>9</v>
      </c>
      <c r="W53" s="37" t="s">
        <v>10</v>
      </c>
      <c r="X53" s="37" t="s">
        <v>100</v>
      </c>
      <c r="Y53" s="37" t="s">
        <v>106</v>
      </c>
      <c r="Z53" s="37" t="s">
        <v>12</v>
      </c>
      <c r="AA53" s="37" t="s">
        <v>258</v>
      </c>
      <c r="AB53" s="37" t="s">
        <v>13</v>
      </c>
      <c r="AC53" s="37" t="s">
        <v>74</v>
      </c>
      <c r="AD53" s="37" t="s">
        <v>21</v>
      </c>
      <c r="AE53" s="37" t="s">
        <v>14</v>
      </c>
      <c r="AF53" s="37" t="s">
        <v>15</v>
      </c>
      <c r="AG53" s="37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38">
        <v>45282</v>
      </c>
      <c r="B54" s="39" t="s">
        <v>632</v>
      </c>
      <c r="C54" s="39" t="s">
        <v>723</v>
      </c>
      <c r="D54" s="45">
        <v>1897741</v>
      </c>
      <c r="E54" s="45" t="s">
        <v>652</v>
      </c>
      <c r="F54" s="39">
        <v>100</v>
      </c>
      <c r="G54" s="39"/>
      <c r="H54" s="40">
        <v>52779</v>
      </c>
      <c r="I54" s="53">
        <v>0.55000000000000004</v>
      </c>
      <c r="J54" s="42">
        <f>IFERROR(K54/H54,"")</f>
        <v>0.54451581121279302</v>
      </c>
      <c r="K54" s="40">
        <v>28739</v>
      </c>
      <c r="L54" s="39">
        <v>69</v>
      </c>
      <c r="M54" s="39">
        <v>29</v>
      </c>
      <c r="N54" s="39">
        <v>1</v>
      </c>
      <c r="O54" s="39">
        <v>1</v>
      </c>
      <c r="P54" s="39"/>
      <c r="Q54" s="39"/>
      <c r="R54" s="39"/>
      <c r="S54" s="39"/>
      <c r="T54" s="39"/>
      <c r="U54" s="43">
        <v>220</v>
      </c>
      <c r="V54" s="43">
        <f>H54*U54*I54/15</f>
        <v>425750.60000000003</v>
      </c>
      <c r="W54" s="43">
        <v>254.42</v>
      </c>
      <c r="X54" s="43">
        <f>1884247.19/399*F54</f>
        <v>472242.40350877191</v>
      </c>
      <c r="Y54" s="43">
        <f>IF(B54="FRANCISCO CAMACHO",((F54*42)+(G54*42)),IF(B54="DANILO VIANA",((F54*60)+(G54*60)),0))</f>
        <v>4200</v>
      </c>
      <c r="Z54" s="264">
        <v>38907.919999999998</v>
      </c>
      <c r="AA54" s="43">
        <v>0</v>
      </c>
      <c r="AB54" s="264">
        <v>3300</v>
      </c>
      <c r="AC54" s="43">
        <v>0</v>
      </c>
      <c r="AD54" s="43">
        <f>IF(F54="",G54*4.11,F54*4.11)</f>
        <v>411.00000000000006</v>
      </c>
      <c r="AE54" s="43">
        <f>3768.5/399*F54</f>
        <v>944.48621553884709</v>
      </c>
      <c r="AF54" s="43">
        <f>V54+Y54+Z54+AA54+AB54+AC54+AD54</f>
        <v>472569.52</v>
      </c>
      <c r="AG54" s="43">
        <f>IFERROR(IFERROR((H54*W54*J54/15)-AE54,""),"")</f>
        <v>486507.27245112788</v>
      </c>
      <c r="AH54" s="26">
        <f>IFERROR(AG54-AF54,0)</f>
        <v>13937.752451127861</v>
      </c>
      <c r="AI54" s="25">
        <f>(AH54/$AH$73)*$AL$30</f>
        <v>1263.3409773125632</v>
      </c>
      <c r="AJ54" s="25">
        <f>(AH54-AI54)*70%</f>
        <v>8872.0880316707062</v>
      </c>
      <c r="AL54" s="6"/>
      <c r="AM54" s="6"/>
    </row>
    <row r="55" spans="1:3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139.37752451127861</v>
      </c>
    </row>
    <row r="56" spans="1:3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2.8648600422572262E-2</v>
      </c>
    </row>
    <row r="57" spans="1:3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45282</v>
      </c>
      <c r="B59" s="21" t="s">
        <v>419</v>
      </c>
      <c r="C59" s="21" t="s">
        <v>858</v>
      </c>
      <c r="D59" s="44">
        <v>1897741</v>
      </c>
      <c r="E59" s="44" t="s">
        <v>652</v>
      </c>
      <c r="F59" s="21">
        <v>150</v>
      </c>
      <c r="G59" s="21"/>
      <c r="H59" s="22">
        <v>75900</v>
      </c>
      <c r="I59" s="33">
        <v>0.54</v>
      </c>
      <c r="J59" s="24">
        <f>IFERROR(K59/H59,"")</f>
        <v>0.52959156785243744</v>
      </c>
      <c r="K59" s="22">
        <v>40196</v>
      </c>
      <c r="L59" s="21">
        <v>3</v>
      </c>
      <c r="M59" s="21">
        <v>31</v>
      </c>
      <c r="N59" s="21">
        <v>76</v>
      </c>
      <c r="O59" s="21">
        <v>33</v>
      </c>
      <c r="P59" s="21">
        <v>7</v>
      </c>
      <c r="Q59" s="21"/>
      <c r="R59" s="21"/>
      <c r="S59" s="21"/>
      <c r="T59" s="21"/>
      <c r="U59" s="25">
        <v>240</v>
      </c>
      <c r="V59" s="25">
        <f>H59*U59*I59/15</f>
        <v>655776</v>
      </c>
      <c r="W59" s="25">
        <v>254.42</v>
      </c>
      <c r="X59" s="25">
        <f>1884247.19/399*F59</f>
        <v>708363.60526315786</v>
      </c>
      <c r="Y59" s="25">
        <f>IF(B59="FRANCISCO CAMACHO",((F59*42)+(G59*42)),IF(B59="DANILO VIANA",((F59*60)+(G59*60)),0))</f>
        <v>9000</v>
      </c>
      <c r="Z59" s="264">
        <v>37033.5</v>
      </c>
      <c r="AA59" s="25">
        <v>0</v>
      </c>
      <c r="AB59" s="264">
        <v>4500</v>
      </c>
      <c r="AC59" s="25">
        <f>38*F59</f>
        <v>5700</v>
      </c>
      <c r="AD59" s="25">
        <f>IF(F59="",G59*4.11,F59*4.11)</f>
        <v>616.5</v>
      </c>
      <c r="AE59" s="25">
        <f>3768.5/399*F59</f>
        <v>1416.7293233082705</v>
      </c>
      <c r="AF59" s="25">
        <f>V59+Y59+Z59+AA59+AB59+AC59+AD59</f>
        <v>712626</v>
      </c>
      <c r="AG59" s="25">
        <f>IFERROR(IFERROR((H59*W59*J59/15)-AE59,""),"")</f>
        <v>680361.02534335852</v>
      </c>
      <c r="AH59" s="26">
        <f>IFERROR(AG59-AF59,0)</f>
        <v>-32264.974656641483</v>
      </c>
      <c r="AI59" s="25">
        <f>(AH59/$AH$73)*$AL$30</f>
        <v>-2924.5507666042699</v>
      </c>
      <c r="AJ59" s="25">
        <f>(AH59-AI59)*70%</f>
        <v>-20538.296723026047</v>
      </c>
    </row>
    <row r="60" spans="1:3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-215.09983104427656</v>
      </c>
    </row>
    <row r="61" spans="1:3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-4.7423314174056756E-2</v>
      </c>
    </row>
    <row r="62" spans="1:3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9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>
        <v>45283</v>
      </c>
      <c r="B64" s="21" t="s">
        <v>632</v>
      </c>
      <c r="C64" s="21" t="s">
        <v>859</v>
      </c>
      <c r="D64" s="44">
        <v>1897741</v>
      </c>
      <c r="E64" s="44" t="s">
        <v>652</v>
      </c>
      <c r="F64" s="21">
        <v>49</v>
      </c>
      <c r="G64" s="21"/>
      <c r="H64" s="22">
        <f>28320/50*F64</f>
        <v>27753.599999999999</v>
      </c>
      <c r="I64" s="33">
        <v>0.55000000000000004</v>
      </c>
      <c r="J64" s="24">
        <f>IFERROR(K64/H64,"")</f>
        <v>0.5444338752450133</v>
      </c>
      <c r="K64" s="22">
        <v>15110</v>
      </c>
      <c r="L64" s="21">
        <v>13</v>
      </c>
      <c r="M64" s="21">
        <v>12</v>
      </c>
      <c r="N64" s="21">
        <v>17</v>
      </c>
      <c r="O64" s="21">
        <v>7</v>
      </c>
      <c r="P64" s="21"/>
      <c r="Q64" s="21"/>
      <c r="R64" s="21"/>
      <c r="S64" s="21"/>
      <c r="T64" s="21"/>
      <c r="U64" s="25">
        <v>220</v>
      </c>
      <c r="V64" s="25">
        <f>H64*U64*I64/15</f>
        <v>223879.04000000001</v>
      </c>
      <c r="W64" s="25">
        <v>254.42</v>
      </c>
      <c r="X64" s="25">
        <f>1884247.19/399*F64</f>
        <v>231398.77771929823</v>
      </c>
      <c r="Y64" s="25">
        <f>IF(B64="FRANCISCO CAMACHO",((F64*42)+(G64*42)),IF(B64="DANILO VIANA",((F64*60)+(G64*60)),0))</f>
        <v>2058</v>
      </c>
      <c r="Z64" s="264">
        <f>15870.54/50*F64</f>
        <v>15553.129199999999</v>
      </c>
      <c r="AA64" s="25">
        <v>0</v>
      </c>
      <c r="AB64" s="264">
        <f>1650/50*F64</f>
        <v>1617</v>
      </c>
      <c r="AC64" s="25">
        <v>0</v>
      </c>
      <c r="AD64" s="25">
        <f>IF(F64="",G64*4.11,F64*4.11)</f>
        <v>201.39000000000001</v>
      </c>
      <c r="AE64" s="25">
        <f>3768.5/399*F64</f>
        <v>462.79824561403507</v>
      </c>
      <c r="AF64" s="25">
        <f>V64+Y64+Z64+AA64+AB64+AC64+AD64</f>
        <v>243308.55920000002</v>
      </c>
      <c r="AG64" s="25">
        <f>IFERROR(IFERROR((H64*W64*J64/15)-AE64,""),"")</f>
        <v>255822.94842105263</v>
      </c>
      <c r="AH64" s="26">
        <f>IFERROR(AG64-AF64,0)</f>
        <v>12514.38922105261</v>
      </c>
      <c r="AI64" s="25">
        <f>(AH64/$AH$73)*$AL$30</f>
        <v>1134.3249755964098</v>
      </c>
      <c r="AJ64" s="25">
        <f>(AH64-AI64)*70%</f>
        <v>7966.0449718193395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255.39569838882878</v>
      </c>
    </row>
    <row r="66" spans="1:36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4.8918165075853511E-2</v>
      </c>
    </row>
    <row r="67" spans="1:36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45283</v>
      </c>
      <c r="B69" s="21" t="s">
        <v>632</v>
      </c>
      <c r="C69" s="21" t="s">
        <v>859</v>
      </c>
      <c r="D69" s="44">
        <v>1905501</v>
      </c>
      <c r="E69" s="44" t="s">
        <v>652</v>
      </c>
      <c r="F69" s="21">
        <v>1</v>
      </c>
      <c r="G69" s="21"/>
      <c r="H69" s="22">
        <f>28320/50*F69</f>
        <v>566.4</v>
      </c>
      <c r="I69" s="33">
        <v>0.55000000000000004</v>
      </c>
      <c r="J69" s="24">
        <f>IFERROR(K69/H69,"")</f>
        <v>0.57411910862098092</v>
      </c>
      <c r="K69" s="22">
        <f>97879.5/301*F69</f>
        <v>325.1810631229236</v>
      </c>
      <c r="L69" s="21">
        <v>1</v>
      </c>
      <c r="M69" s="21"/>
      <c r="N69" s="21"/>
      <c r="O69" s="21"/>
      <c r="P69" s="21"/>
      <c r="Q69" s="21"/>
      <c r="R69" s="21"/>
      <c r="S69" s="21"/>
      <c r="T69" s="21"/>
      <c r="U69" s="25">
        <v>220</v>
      </c>
      <c r="V69" s="25">
        <f>H69*U69*I69/15</f>
        <v>4568.9600000000009</v>
      </c>
      <c r="W69" s="25">
        <v>256.89</v>
      </c>
      <c r="X69" s="25">
        <f>2177260.62/401*F69</f>
        <v>5429.5776059850377</v>
      </c>
      <c r="Y69" s="25">
        <f>IF(B69="FRANCISCO CAMACHO",((F69*42)+(G69*42)),IF(B69="DANILO VIANA",((F69*60)+(G69*60)),0))</f>
        <v>42</v>
      </c>
      <c r="Z69" s="264">
        <f>15870.54/50*F69</f>
        <v>317.41079999999999</v>
      </c>
      <c r="AA69" s="25">
        <v>0</v>
      </c>
      <c r="AB69" s="264">
        <f>1650/50*F69</f>
        <v>33</v>
      </c>
      <c r="AC69" s="25">
        <v>0</v>
      </c>
      <c r="AD69" s="25">
        <f>IF(F69="",G69*4.11,F69*4.11)</f>
        <v>4.1100000000000003</v>
      </c>
      <c r="AE69" s="25">
        <f>X69*0.2%</f>
        <v>10.859155211970076</v>
      </c>
      <c r="AF69" s="25">
        <f>V69+Y69+Z69+AA69+AB69+AC69+AD69</f>
        <v>4965.4808000000003</v>
      </c>
      <c r="AG69" s="25">
        <f>IFERROR(IFERROR((H69*W69*J69/15)-AE69,""),"")</f>
        <v>5558.1917318312198</v>
      </c>
      <c r="AH69" s="26">
        <f>IFERROR(AG69-AF69,0)</f>
        <v>592.71093183121957</v>
      </c>
      <c r="AI69" s="25">
        <f>(AH69/$AH$73)*$AL$30</f>
        <v>53.724300995380304</v>
      </c>
      <c r="AJ69" s="25">
        <f>(AH69-AI69)*70%</f>
        <v>377.29064158508749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592.71093183121957</v>
      </c>
    </row>
    <row r="71" spans="1:36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0.10663736704813943</v>
      </c>
    </row>
    <row r="72" spans="1:36" ht="15" thickBot="1" x14ac:dyDescent="0.4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ht="16" thickBot="1" x14ac:dyDescent="0.4">
      <c r="A73" s="377" t="s">
        <v>870</v>
      </c>
      <c r="B73" s="378"/>
      <c r="C73" s="378"/>
      <c r="D73" s="378"/>
      <c r="E73" s="378"/>
      <c r="F73" s="163">
        <f>SUM(F4:F72)</f>
        <v>851</v>
      </c>
      <c r="G73" s="163">
        <f>SUM(G4:G72)</f>
        <v>0</v>
      </c>
      <c r="H73" s="30"/>
      <c r="I73" s="30"/>
      <c r="J73" s="30"/>
      <c r="K73" s="30"/>
      <c r="L73" s="46"/>
      <c r="M73" s="46"/>
      <c r="N73" s="46"/>
      <c r="O73" s="46"/>
      <c r="P73" s="46"/>
      <c r="Q73" s="46"/>
      <c r="R73" s="46"/>
      <c r="S73" s="46"/>
      <c r="T73" s="46"/>
      <c r="U73" s="30"/>
      <c r="V73" s="31">
        <f>SUM(V4:V72)</f>
        <v>3957156.7403006544</v>
      </c>
      <c r="W73" s="31"/>
      <c r="X73" s="31"/>
      <c r="Y73" s="31">
        <f t="shared" ref="Y73:AG73" si="0">SUM(Y4:Y72)</f>
        <v>17400</v>
      </c>
      <c r="Z73" s="31">
        <f t="shared" si="0"/>
        <v>210390.19376623377</v>
      </c>
      <c r="AA73" s="31">
        <f t="shared" si="0"/>
        <v>2420</v>
      </c>
      <c r="AB73" s="31">
        <f t="shared" si="0"/>
        <v>25678.134901960784</v>
      </c>
      <c r="AC73" s="31">
        <f t="shared" si="0"/>
        <v>18316</v>
      </c>
      <c r="AD73" s="31">
        <f t="shared" si="0"/>
        <v>3489.3900000000003</v>
      </c>
      <c r="AE73" s="31">
        <f t="shared" si="0"/>
        <v>8478.7334409262567</v>
      </c>
      <c r="AF73" s="31">
        <f t="shared" si="0"/>
        <v>4234850.4589688489</v>
      </c>
      <c r="AG73" s="31">
        <f t="shared" si="0"/>
        <v>4273471.2224794496</v>
      </c>
      <c r="AH73" s="165">
        <f>AH4+AH9+AH14+AH19+AH24+AH29+AH34+AH39+AH44+AH49+AH54+AH59+AH64+AH69</f>
        <v>38620.763510601559</v>
      </c>
      <c r="AI73" s="165">
        <f>SUM(AI4:AI67)</f>
        <v>3446.9256990046201</v>
      </c>
      <c r="AJ73" s="165">
        <f>SUM(AJ4:AJ67)</f>
        <v>24206.788815836007</v>
      </c>
    </row>
    <row r="75" spans="1:36" x14ac:dyDescent="0.35">
      <c r="V75" s="162"/>
      <c r="AI75" s="25"/>
    </row>
  </sheetData>
  <mergeCells count="2">
    <mergeCell ref="U2:AC2"/>
    <mergeCell ref="A73:E7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50"/>
  <sheetViews>
    <sheetView zoomScale="85" zoomScaleNormal="85" workbookViewId="0">
      <pane xSplit="7" ySplit="3" topLeftCell="AH4" activePane="bottomRight" state="frozen"/>
      <selection activeCell="X39" sqref="X39"/>
      <selection pane="topRight" activeCell="X39" sqref="X39"/>
      <selection pane="bottomLeft" activeCell="X39" sqref="X39"/>
      <selection pane="bottomRight" activeCell="A44" sqref="A44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23.269531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AF48</f>
        <v>4943661.6833333336</v>
      </c>
      <c r="AM3" s="164">
        <f>AH48-AI48</f>
        <v>34371.717182834895</v>
      </c>
    </row>
    <row r="4" spans="1:40" x14ac:dyDescent="0.35">
      <c r="A4" s="20">
        <v>45279</v>
      </c>
      <c r="B4" s="21" t="s">
        <v>849</v>
      </c>
      <c r="C4" s="21" t="s">
        <v>842</v>
      </c>
      <c r="D4" s="44"/>
      <c r="E4" s="44" t="s">
        <v>652</v>
      </c>
      <c r="F4" s="21">
        <v>1</v>
      </c>
      <c r="G4" s="21"/>
      <c r="H4" s="22">
        <f>60368/100*F4</f>
        <v>603.67999999999995</v>
      </c>
      <c r="I4" s="33">
        <v>0.55000000000000004</v>
      </c>
      <c r="J4" s="24">
        <f>IFERROR(K4/H4,"")</f>
        <v>0</v>
      </c>
      <c r="K4" s="22"/>
      <c r="L4" s="21"/>
      <c r="M4" s="21"/>
      <c r="N4" s="21"/>
      <c r="O4" s="21"/>
      <c r="P4" s="21"/>
      <c r="Q4" s="21"/>
      <c r="R4" s="21"/>
      <c r="S4" s="21"/>
      <c r="T4" s="21"/>
      <c r="U4" s="25">
        <v>245</v>
      </c>
      <c r="V4" s="25">
        <f>H4*U4*I4/15</f>
        <v>5423.0586666666659</v>
      </c>
      <c r="W4" s="25"/>
      <c r="X4" s="25"/>
      <c r="Y4" s="25">
        <f>IF(B4="FRANCISCO CAMACHO",((F4*42)+(G4*42)),IF(B4="DANILO VIANA",((F4*60)+(G4*60)),0))</f>
        <v>0</v>
      </c>
      <c r="Z4" s="264">
        <f>8946.9/100*F4</f>
        <v>89.468999999999994</v>
      </c>
      <c r="AA4" s="25">
        <v>0</v>
      </c>
      <c r="AB4" s="264">
        <f>3062.5/100*F4</f>
        <v>30.625</v>
      </c>
      <c r="AC4" s="25">
        <v>0</v>
      </c>
      <c r="AD4" s="25">
        <v>0</v>
      </c>
      <c r="AE4" s="25">
        <v>0</v>
      </c>
      <c r="AF4" s="25">
        <f>V4+Y4+Z4+AA4+AB4+AC4+AD4</f>
        <v>5543.1526666666659</v>
      </c>
      <c r="AG4" s="25">
        <f>IFERROR(IFERROR((H4*W4*J4/15)-AE4,""),"")</f>
        <v>0</v>
      </c>
      <c r="AH4" s="26">
        <f>IFERROR(AG4-AF4,0)</f>
        <v>-5543.1526666666659</v>
      </c>
      <c r="AI4" s="25">
        <f>(AH4/$AH$48)*$AL$30</f>
        <v>-3813.1299314440585</v>
      </c>
      <c r="AJ4" s="25">
        <f>(AH4-AI4)*70%</f>
        <v>-1211.0159146558251</v>
      </c>
      <c r="AL4" s="166" t="s">
        <v>749</v>
      </c>
      <c r="AM4" s="167">
        <f>AM3/AL3</f>
        <v>6.9526839384484902E-3</v>
      </c>
    </row>
    <row r="5" spans="1:40" ht="14.5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-5543.1526666666659</v>
      </c>
      <c r="AM5" s="63"/>
    </row>
    <row r="6" spans="1:40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 t="str">
        <f>IFERROR(AH4/AG4,"")</f>
        <v/>
      </c>
      <c r="AM6" s="63"/>
    </row>
    <row r="7" spans="1:40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45279</v>
      </c>
      <c r="B9" s="21" t="s">
        <v>849</v>
      </c>
      <c r="C9" s="21" t="s">
        <v>842</v>
      </c>
      <c r="D9" s="44">
        <v>1906413</v>
      </c>
      <c r="E9" s="44" t="s">
        <v>652</v>
      </c>
      <c r="F9" s="21">
        <v>99</v>
      </c>
      <c r="G9" s="21"/>
      <c r="H9" s="22">
        <f>60368/100*F9</f>
        <v>59764.319999999992</v>
      </c>
      <c r="I9" s="33">
        <v>0.55000000000000004</v>
      </c>
      <c r="J9" s="24">
        <f>IFERROR(K9/H9,"")</f>
        <v>0.539310076647739</v>
      </c>
      <c r="K9" s="22">
        <v>32231.5</v>
      </c>
      <c r="L9" s="21">
        <v>31</v>
      </c>
      <c r="M9" s="21">
        <v>61</v>
      </c>
      <c r="N9" s="21">
        <v>7</v>
      </c>
      <c r="O9" s="21"/>
      <c r="P9" s="21"/>
      <c r="Q9" s="21"/>
      <c r="R9" s="21"/>
      <c r="S9" s="21"/>
      <c r="T9" s="21"/>
      <c r="U9" s="25">
        <v>245</v>
      </c>
      <c r="V9" s="25">
        <f>H9*U9*I9/15</f>
        <v>536882.80799999996</v>
      </c>
      <c r="W9" s="25">
        <v>261.14999999999998</v>
      </c>
      <c r="X9" s="25">
        <v>561150.42000000004</v>
      </c>
      <c r="Y9" s="25">
        <f>IF(B9="FRANCISCO CAMACHO",((F9*42)+(G9*42)),IF(B9="DANILO VIANA",((F9*60)+(G9*60)),0))</f>
        <v>0</v>
      </c>
      <c r="Z9" s="264">
        <f>8946.9/100*F9</f>
        <v>8857.4309999999987</v>
      </c>
      <c r="AA9" s="25">
        <v>0</v>
      </c>
      <c r="AB9" s="264">
        <f>3062.5/100*F9</f>
        <v>3031.875</v>
      </c>
      <c r="AC9" s="25">
        <f>38*F9</f>
        <v>3762</v>
      </c>
      <c r="AD9" s="25">
        <f>IF(F9="",G9*4.11,F9*4.11)</f>
        <v>406.89000000000004</v>
      </c>
      <c r="AE9" s="25">
        <v>1122.3</v>
      </c>
      <c r="AF9" s="25">
        <f>V9+Y9+Z9+AA9+AB9+AC9+AD9</f>
        <v>552941.00399999996</v>
      </c>
      <c r="AG9" s="25">
        <f>IFERROR(IFERROR((H9*W9*J9/15)-AE9,""),"")</f>
        <v>560028.11499999976</v>
      </c>
      <c r="AH9" s="26">
        <f>IFERROR(AG9-AF9,0)</f>
        <v>7087.1109999998007</v>
      </c>
      <c r="AI9" s="25">
        <f>(AH9/$AH$48)*$AL$30</f>
        <v>4875.2175353338052</v>
      </c>
      <c r="AJ9" s="25">
        <f>(AH9-AI9)*70%</f>
        <v>1548.3254252661968</v>
      </c>
    </row>
    <row r="10" spans="1:4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71.58697979797779</v>
      </c>
    </row>
    <row r="11" spans="1:40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1.2654920012363671E-2</v>
      </c>
    </row>
    <row r="12" spans="1:4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45286</v>
      </c>
      <c r="B14" s="21" t="s">
        <v>419</v>
      </c>
      <c r="C14" s="21" t="s">
        <v>577</v>
      </c>
      <c r="D14" s="44">
        <v>1906412</v>
      </c>
      <c r="E14" s="44" t="s">
        <v>652</v>
      </c>
      <c r="F14" s="21">
        <v>100</v>
      </c>
      <c r="G14" s="21"/>
      <c r="H14" s="22">
        <v>52650</v>
      </c>
      <c r="I14" s="33">
        <v>0.55000000000000004</v>
      </c>
      <c r="J14" s="24">
        <f>IFERROR(K14/H14,"")</f>
        <v>0.5756220322886989</v>
      </c>
      <c r="K14" s="22">
        <v>30306.5</v>
      </c>
      <c r="L14" s="21">
        <v>12</v>
      </c>
      <c r="M14" s="21">
        <v>49</v>
      </c>
      <c r="N14" s="21">
        <v>34</v>
      </c>
      <c r="O14" s="21">
        <v>5</v>
      </c>
      <c r="P14" s="21"/>
      <c r="Q14" s="21"/>
      <c r="R14" s="21"/>
      <c r="S14" s="21"/>
      <c r="T14" s="21"/>
      <c r="U14" s="25">
        <v>240</v>
      </c>
      <c r="V14" s="25">
        <f>H14*U14*I14/15</f>
        <v>463320.00000000006</v>
      </c>
      <c r="W14" s="25">
        <v>259.29000000000002</v>
      </c>
      <c r="X14" s="25">
        <v>523872.67</v>
      </c>
      <c r="Y14" s="25">
        <f>IF(B14="FRANCISCO CAMACHO",((F14*42)+(G14*42)),IF(B14="DANILO VIANA",((F14*60)+(G14*60)),0))</f>
        <v>6000</v>
      </c>
      <c r="Z14" s="264">
        <v>19510</v>
      </c>
      <c r="AA14" s="25">
        <v>0</v>
      </c>
      <c r="AB14" s="264">
        <v>3000</v>
      </c>
      <c r="AC14" s="25">
        <f>38*F14</f>
        <v>3800</v>
      </c>
      <c r="AD14" s="25">
        <f>IF(F14="",G14*4.11,F14*4.11)</f>
        <v>411.00000000000006</v>
      </c>
      <c r="AE14" s="25">
        <v>1047.74</v>
      </c>
      <c r="AF14" s="25">
        <f>V14+Y14+Z14+AA14+AB14+AC14+AD14</f>
        <v>496041.00000000006</v>
      </c>
      <c r="AG14" s="25">
        <f>IFERROR(IFERROR((H14*W14*J14/15)-AE14,""),"")</f>
        <v>522830.41900000005</v>
      </c>
      <c r="AH14" s="26">
        <f>IFERROR(AG14-AF14,0)</f>
        <v>26789.418999999994</v>
      </c>
      <c r="AI14" s="25">
        <f>(AH14/$AH$48)*$AL$30</f>
        <v>18428.418190459874</v>
      </c>
      <c r="AJ14" s="25">
        <f>(AH14-AI14)*70%</f>
        <v>5852.7005666780842</v>
      </c>
      <c r="AL14" s="14">
        <f>F4+G4+F9+G9+F14+G14+F19+G19+F24+G24+F29+G29+F34+G34+F39+G39+F44+G44</f>
        <v>1000</v>
      </c>
      <c r="AM14" s="118" t="s">
        <v>22</v>
      </c>
    </row>
    <row r="15" spans="1:4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267.89418999999992</v>
      </c>
      <c r="AL15" s="11">
        <f>AH48</f>
        <v>110130.1571828349</v>
      </c>
      <c r="AM15" s="11">
        <f>AL15*30%</f>
        <v>33039.047154850465</v>
      </c>
      <c r="AN15" s="2"/>
    </row>
    <row r="16" spans="1:40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5.1239212613602717E-2</v>
      </c>
      <c r="AL16" s="11"/>
      <c r="AM16" s="11"/>
    </row>
    <row r="17" spans="1:40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x14ac:dyDescent="0.35">
      <c r="A18" s="37" t="s">
        <v>1</v>
      </c>
      <c r="B18" s="37" t="s">
        <v>2</v>
      </c>
      <c r="C18" s="37" t="s">
        <v>110</v>
      </c>
      <c r="D18" s="37" t="s">
        <v>66</v>
      </c>
      <c r="E18" s="37" t="s">
        <v>638</v>
      </c>
      <c r="F18" s="37" t="s">
        <v>137</v>
      </c>
      <c r="G18" s="37" t="s">
        <v>138</v>
      </c>
      <c r="H18" s="37" t="s">
        <v>4</v>
      </c>
      <c r="I18" s="37" t="s">
        <v>5</v>
      </c>
      <c r="J18" s="37" t="s">
        <v>6</v>
      </c>
      <c r="K18" s="37" t="s">
        <v>7</v>
      </c>
      <c r="L18" s="37" t="s">
        <v>279</v>
      </c>
      <c r="M18" s="37" t="s">
        <v>280</v>
      </c>
      <c r="N18" s="37" t="s">
        <v>281</v>
      </c>
      <c r="O18" s="37" t="s">
        <v>282</v>
      </c>
      <c r="P18" s="37" t="s">
        <v>283</v>
      </c>
      <c r="Q18" s="37" t="s">
        <v>284</v>
      </c>
      <c r="R18" s="37" t="s">
        <v>904</v>
      </c>
      <c r="S18" s="37" t="s">
        <v>285</v>
      </c>
      <c r="T18" s="37" t="s">
        <v>289</v>
      </c>
      <c r="U18" s="37" t="s">
        <v>8</v>
      </c>
      <c r="V18" s="37" t="s">
        <v>9</v>
      </c>
      <c r="W18" s="37" t="s">
        <v>10</v>
      </c>
      <c r="X18" s="37" t="s">
        <v>100</v>
      </c>
      <c r="Y18" s="37" t="s">
        <v>106</v>
      </c>
      <c r="Z18" s="37" t="s">
        <v>12</v>
      </c>
      <c r="AA18" s="37" t="s">
        <v>258</v>
      </c>
      <c r="AB18" s="37" t="s">
        <v>13</v>
      </c>
      <c r="AC18" s="37" t="s">
        <v>74</v>
      </c>
      <c r="AD18" s="37" t="s">
        <v>21</v>
      </c>
      <c r="AE18" s="37" t="s">
        <v>14</v>
      </c>
      <c r="AF18" s="37" t="s">
        <v>15</v>
      </c>
      <c r="AG18" s="37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38">
        <v>45287</v>
      </c>
      <c r="B19" s="39" t="s">
        <v>632</v>
      </c>
      <c r="C19" s="39" t="s">
        <v>697</v>
      </c>
      <c r="D19" s="45">
        <v>1905501</v>
      </c>
      <c r="E19" s="45" t="s">
        <v>652</v>
      </c>
      <c r="F19" s="39">
        <v>55</v>
      </c>
      <c r="G19" s="39"/>
      <c r="H19" s="40">
        <v>29898</v>
      </c>
      <c r="I19" s="53">
        <v>0.55000000000000004</v>
      </c>
      <c r="J19" s="42">
        <f>IFERROR(K19/H19,"")</f>
        <v>0.53807947019867552</v>
      </c>
      <c r="K19" s="40">
        <f>(29250/100)*F19</f>
        <v>16087.5</v>
      </c>
      <c r="L19" s="39">
        <v>6</v>
      </c>
      <c r="M19" s="39">
        <v>24</v>
      </c>
      <c r="N19" s="39">
        <v>19</v>
      </c>
      <c r="O19" s="39">
        <v>6</v>
      </c>
      <c r="P19" s="39"/>
      <c r="Q19" s="39"/>
      <c r="R19" s="39"/>
      <c r="S19" s="39"/>
      <c r="T19" s="39"/>
      <c r="U19" s="43">
        <v>220</v>
      </c>
      <c r="V19" s="43">
        <f>H19*U19*I19/15</f>
        <v>241177.20000000004</v>
      </c>
      <c r="W19" s="43">
        <v>256.89</v>
      </c>
      <c r="X19" s="43">
        <f>2177260.62/401*F19</f>
        <v>298626.76832917705</v>
      </c>
      <c r="Y19" s="43">
        <f>IF(B19="FRANCISCO CAMACHO",((F19*42)+(G19*42)),IF(B19="DANILO VIANA",((F19*60)+(G19*60)),0))</f>
        <v>2310</v>
      </c>
      <c r="Z19" s="264">
        <f>40664/100*F19</f>
        <v>22365.200000000001</v>
      </c>
      <c r="AA19" s="43">
        <v>0</v>
      </c>
      <c r="AB19" s="264">
        <v>1512.5</v>
      </c>
      <c r="AC19" s="43">
        <v>0</v>
      </c>
      <c r="AD19" s="43">
        <f>IF(F19="",G19*4.11,F19*4.11)</f>
        <v>226.05</v>
      </c>
      <c r="AE19" s="43">
        <f>X19*0.2%</f>
        <v>597.25353665835416</v>
      </c>
      <c r="AF19" s="43">
        <f>V19+Y19+Z19+AA19+AB19+AC19+AD19</f>
        <v>267590.95</v>
      </c>
      <c r="AG19" s="43">
        <f>IFERROR(IFERROR((H19*W19*J19/15)-AE19,""),"")</f>
        <v>274917.27146334166</v>
      </c>
      <c r="AH19" s="26">
        <f>IFERROR(AG19-AF19,0)</f>
        <v>7326.3214633416501</v>
      </c>
      <c r="AI19" s="25">
        <f>(AH19/$AH$48)*$AL$30</f>
        <v>5039.77020644613</v>
      </c>
      <c r="AJ19" s="25">
        <f>(AH19-AI19)*70%</f>
        <v>1600.5858798268639</v>
      </c>
      <c r="AL19" s="178">
        <v>400</v>
      </c>
      <c r="AM19" s="6" t="s">
        <v>865</v>
      </c>
      <c r="AN19" s="174"/>
    </row>
    <row r="20" spans="1:40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133.20584478802999</v>
      </c>
      <c r="AL20" s="178">
        <v>193.75</v>
      </c>
      <c r="AM20" s="6" t="s">
        <v>866</v>
      </c>
      <c r="AN20" s="174"/>
    </row>
    <row r="21" spans="1:40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2.6649185859967204E-2</v>
      </c>
      <c r="AL21" s="178">
        <v>164.69</v>
      </c>
      <c r="AM21" s="6" t="s">
        <v>867</v>
      </c>
      <c r="AN21" s="245"/>
    </row>
    <row r="22" spans="1:40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75000</v>
      </c>
      <c r="AM22" s="6" t="s">
        <v>868</v>
      </c>
      <c r="AN22" s="174"/>
    </row>
    <row r="23" spans="1:40" x14ac:dyDescent="0.35">
      <c r="A23" s="37" t="s">
        <v>1</v>
      </c>
      <c r="B23" s="37" t="s">
        <v>2</v>
      </c>
      <c r="C23" s="37" t="s">
        <v>110</v>
      </c>
      <c r="D23" s="37" t="s">
        <v>66</v>
      </c>
      <c r="E23" s="37" t="s">
        <v>638</v>
      </c>
      <c r="F23" s="37" t="s">
        <v>137</v>
      </c>
      <c r="G23" s="37" t="s">
        <v>138</v>
      </c>
      <c r="H23" s="37" t="s">
        <v>4</v>
      </c>
      <c r="I23" s="37" t="s">
        <v>5</v>
      </c>
      <c r="J23" s="37" t="s">
        <v>6</v>
      </c>
      <c r="K23" s="37" t="s">
        <v>7</v>
      </c>
      <c r="L23" s="37" t="s">
        <v>279</v>
      </c>
      <c r="M23" s="37" t="s">
        <v>280</v>
      </c>
      <c r="N23" s="37" t="s">
        <v>281</v>
      </c>
      <c r="O23" s="37" t="s">
        <v>282</v>
      </c>
      <c r="P23" s="37" t="s">
        <v>283</v>
      </c>
      <c r="Q23" s="37" t="s">
        <v>284</v>
      </c>
      <c r="R23" s="37" t="s">
        <v>904</v>
      </c>
      <c r="S23" s="37" t="s">
        <v>285</v>
      </c>
      <c r="T23" s="37" t="s">
        <v>289</v>
      </c>
      <c r="U23" s="37" t="s">
        <v>8</v>
      </c>
      <c r="V23" s="37" t="s">
        <v>9</v>
      </c>
      <c r="W23" s="37" t="s">
        <v>10</v>
      </c>
      <c r="X23" s="37" t="s">
        <v>100</v>
      </c>
      <c r="Y23" s="37" t="s">
        <v>106</v>
      </c>
      <c r="Z23" s="37" t="s">
        <v>12</v>
      </c>
      <c r="AA23" s="37" t="s">
        <v>258</v>
      </c>
      <c r="AB23" s="37" t="s">
        <v>13</v>
      </c>
      <c r="AC23" s="37" t="s">
        <v>74</v>
      </c>
      <c r="AD23" s="37" t="s">
        <v>21</v>
      </c>
      <c r="AE23" s="37" t="s">
        <v>14</v>
      </c>
      <c r="AF23" s="37" t="s">
        <v>15</v>
      </c>
      <c r="AG23" s="37" t="s">
        <v>16</v>
      </c>
      <c r="AH23" s="15" t="s">
        <v>17</v>
      </c>
      <c r="AI23" s="14" t="s">
        <v>679</v>
      </c>
      <c r="AJ23" s="14" t="s">
        <v>678</v>
      </c>
      <c r="AL23" s="178"/>
      <c r="AM23" s="6"/>
      <c r="AN23" s="174"/>
    </row>
    <row r="24" spans="1:40" x14ac:dyDescent="0.35">
      <c r="A24" s="38">
        <v>45287</v>
      </c>
      <c r="B24" s="39" t="s">
        <v>632</v>
      </c>
      <c r="C24" s="39" t="s">
        <v>697</v>
      </c>
      <c r="D24" s="45">
        <v>1905501</v>
      </c>
      <c r="E24" s="45" t="s">
        <v>652</v>
      </c>
      <c r="F24" s="39">
        <v>45</v>
      </c>
      <c r="G24" s="39"/>
      <c r="H24" s="40">
        <v>24778</v>
      </c>
      <c r="I24" s="53">
        <v>0.53</v>
      </c>
      <c r="J24" s="42">
        <f>IFERROR(K24/H24,"")</f>
        <v>0.5312172088142707</v>
      </c>
      <c r="K24" s="40">
        <f>(29250/100)*F24</f>
        <v>13162.5</v>
      </c>
      <c r="L24" s="39">
        <v>5</v>
      </c>
      <c r="M24" s="39">
        <v>20</v>
      </c>
      <c r="N24" s="39">
        <v>15</v>
      </c>
      <c r="O24" s="39">
        <v>5</v>
      </c>
      <c r="P24" s="39"/>
      <c r="Q24" s="39"/>
      <c r="R24" s="39"/>
      <c r="S24" s="39"/>
      <c r="T24" s="39"/>
      <c r="U24" s="43">
        <v>220</v>
      </c>
      <c r="V24" s="43">
        <f>H24*U24*I24/15</f>
        <v>192607.65333333335</v>
      </c>
      <c r="W24" s="43">
        <v>256.89</v>
      </c>
      <c r="X24" s="43">
        <f>2177260.62/401*F24</f>
        <v>244330.9922693267</v>
      </c>
      <c r="Y24" s="43">
        <f>IF(B24="FRANCISCO CAMACHO",((F24*42)+(G24*42)),IF(B24="DANILO VIANA",((F24*60)+(G24*60)),0))</f>
        <v>1890</v>
      </c>
      <c r="Z24" s="264">
        <f>40664/100*F24</f>
        <v>18298.8</v>
      </c>
      <c r="AA24" s="43">
        <v>0</v>
      </c>
      <c r="AB24" s="264">
        <v>1237.5</v>
      </c>
      <c r="AC24" s="43">
        <v>0</v>
      </c>
      <c r="AD24" s="43">
        <f>IF(F24="",G24*4.11,F24*4.11)</f>
        <v>184.95000000000002</v>
      </c>
      <c r="AE24" s="43">
        <f>X24*0.2%</f>
        <v>488.66198453865343</v>
      </c>
      <c r="AF24" s="43">
        <f>V24+Y24+Z24+AA24+AB24+AC24+AD24</f>
        <v>214218.90333333335</v>
      </c>
      <c r="AG24" s="43">
        <f>IFERROR(IFERROR((H24*W24*J24/15)-AE24,""),"")</f>
        <v>224932.31301546135</v>
      </c>
      <c r="AH24" s="26">
        <f>IFERROR(AG24-AF24,0)</f>
        <v>10713.409682127996</v>
      </c>
      <c r="AI24" s="25">
        <f>(AH24/$AH$48)*$AL$30</f>
        <v>7369.7452665164756</v>
      </c>
      <c r="AJ24" s="25">
        <f>(AH24-AI24)*70%</f>
        <v>2340.5650909280644</v>
      </c>
      <c r="AL24" s="178"/>
      <c r="AM24" s="6"/>
      <c r="AN24" s="174"/>
    </row>
    <row r="25" spans="1:40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238.07577071395548</v>
      </c>
      <c r="AL25" s="178"/>
      <c r="AM25" s="6"/>
      <c r="AN25" s="174"/>
    </row>
    <row r="26" spans="1:40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4.762948256968122E-2</v>
      </c>
      <c r="AL26" s="178"/>
      <c r="AM26" s="6"/>
      <c r="AN26" s="174"/>
    </row>
    <row r="27" spans="1:40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178"/>
      <c r="AM28" s="6"/>
      <c r="AN28" s="174"/>
    </row>
    <row r="29" spans="1:40" x14ac:dyDescent="0.35">
      <c r="A29" s="20">
        <v>45287</v>
      </c>
      <c r="B29" s="21" t="s">
        <v>419</v>
      </c>
      <c r="C29" s="21" t="s">
        <v>305</v>
      </c>
      <c r="D29" s="44">
        <v>1897782</v>
      </c>
      <c r="E29" s="44" t="s">
        <v>652</v>
      </c>
      <c r="F29" s="21">
        <v>200</v>
      </c>
      <c r="G29" s="21"/>
      <c r="H29" s="22">
        <v>91360</v>
      </c>
      <c r="I29" s="33">
        <v>0.52</v>
      </c>
      <c r="J29" s="24">
        <f>IFERROR(K29/H29,"")</f>
        <v>0.4990094133099825</v>
      </c>
      <c r="K29" s="22">
        <v>45589.5</v>
      </c>
      <c r="L29" s="21">
        <v>10</v>
      </c>
      <c r="M29" s="21">
        <v>79</v>
      </c>
      <c r="N29" s="21">
        <v>87</v>
      </c>
      <c r="O29" s="21">
        <v>23</v>
      </c>
      <c r="P29" s="21">
        <v>1</v>
      </c>
      <c r="Q29" s="21"/>
      <c r="R29" s="21"/>
      <c r="S29" s="21"/>
      <c r="T29" s="21"/>
      <c r="U29" s="25">
        <v>235</v>
      </c>
      <c r="V29" s="25">
        <f>H29*U29*I29/15</f>
        <v>744279.46666666667</v>
      </c>
      <c r="W29" s="25">
        <v>252.82</v>
      </c>
      <c r="X29" s="25">
        <v>768394.02</v>
      </c>
      <c r="Y29" s="25">
        <f>IF(B29="FRANCISCO CAMACHO",((F29*42)+(G29*42)),IF(B29="DANILO VIANA",((F29*60)+(G29*60)),0))</f>
        <v>12000</v>
      </c>
      <c r="Z29" s="264">
        <f>16086.4+15609.2</f>
        <v>31695.599999999999</v>
      </c>
      <c r="AA29" s="25">
        <v>0</v>
      </c>
      <c r="AB29" s="264">
        <v>5875</v>
      </c>
      <c r="AC29" s="25">
        <f>38*F29</f>
        <v>7600</v>
      </c>
      <c r="AD29" s="25">
        <f>IF(F29="",G29*4.11,F29*4.11)</f>
        <v>822.00000000000011</v>
      </c>
      <c r="AE29" s="25">
        <v>1536.79</v>
      </c>
      <c r="AF29" s="25">
        <f>V29+Y29+Z29+AA29+AB29+AC29+AD29</f>
        <v>802272.06666666665</v>
      </c>
      <c r="AG29" s="25">
        <f>IFERROR(IFERROR((H29*W29*J29/15)-AE29,""),"")</f>
        <v>766859.03599999996</v>
      </c>
      <c r="AH29" s="26">
        <f>IFERROR(AG29-AF29,0)</f>
        <v>-35413.030666666687</v>
      </c>
      <c r="AI29" s="25">
        <f>(AH29/$AH$48)*$AL$30</f>
        <v>-24360.593207225353</v>
      </c>
      <c r="AJ29" s="25">
        <f>(AH29-AI29)*70%</f>
        <v>-7736.7062216089334</v>
      </c>
      <c r="AL29" s="178"/>
      <c r="AM29" s="6"/>
      <c r="AN29" s="174"/>
    </row>
    <row r="30" spans="1:40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5"/>
      <c r="W30" s="21"/>
      <c r="X30" s="25"/>
      <c r="Y30" s="21"/>
      <c r="Z30" s="3"/>
      <c r="AA30" s="21"/>
      <c r="AB30" s="21"/>
      <c r="AC30" s="21"/>
      <c r="AD30" s="21"/>
      <c r="AE30" s="21"/>
      <c r="AF30" s="25"/>
      <c r="AG30" s="21"/>
      <c r="AH30" s="26">
        <f>IFERROR(AH29/F29,0)+IFERROR(AH29/G29,0)</f>
        <v>-177.06515333333343</v>
      </c>
      <c r="AL30" s="214">
        <f>SUM(AL19:AL29)</f>
        <v>75758.44</v>
      </c>
      <c r="AM30" s="189" t="s">
        <v>673</v>
      </c>
      <c r="AN30" s="191"/>
    </row>
    <row r="31" spans="1:40" x14ac:dyDescent="0.35">
      <c r="A31" s="21"/>
      <c r="B31" s="21"/>
      <c r="C31" s="21"/>
      <c r="D31" s="21"/>
      <c r="E31" s="21"/>
      <c r="F31" s="21"/>
      <c r="G31" s="21"/>
      <c r="H31" s="22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5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-4.6179322410261965E-2</v>
      </c>
      <c r="AL31" s="57"/>
      <c r="AM31" s="6"/>
    </row>
    <row r="32" spans="1:40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118" t="s">
        <v>22</v>
      </c>
      <c r="AN32" s="12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248">
        <f>AL15-AL30</f>
        <v>34371.717182834895</v>
      </c>
      <c r="AM33" s="360">
        <f>AL33*30%</f>
        <v>10311.515154850467</v>
      </c>
      <c r="AN33" s="361" t="s">
        <v>920</v>
      </c>
    </row>
    <row r="34" spans="1:40" x14ac:dyDescent="0.35">
      <c r="A34" s="20">
        <v>45287</v>
      </c>
      <c r="B34" s="21" t="s">
        <v>632</v>
      </c>
      <c r="C34" s="21" t="s">
        <v>611</v>
      </c>
      <c r="D34" s="44">
        <v>1905501</v>
      </c>
      <c r="E34" s="44" t="s">
        <v>652</v>
      </c>
      <c r="F34" s="21">
        <v>250</v>
      </c>
      <c r="G34" s="21"/>
      <c r="H34" s="22">
        <v>152218</v>
      </c>
      <c r="I34" s="33">
        <v>0.55000000000000004</v>
      </c>
      <c r="J34" s="24">
        <f>IFERROR(K34/H34,"")</f>
        <v>0.53407130418696147</v>
      </c>
      <c r="K34" s="22">
        <f>97879.5/301*F34</f>
        <v>81295.265780730901</v>
      </c>
      <c r="L34" s="21">
        <v>15</v>
      </c>
      <c r="M34" s="21">
        <v>96</v>
      </c>
      <c r="N34" s="21">
        <v>103</v>
      </c>
      <c r="O34" s="21">
        <v>34</v>
      </c>
      <c r="P34" s="21">
        <v>2</v>
      </c>
      <c r="Q34" s="21"/>
      <c r="R34" s="21"/>
      <c r="S34" s="21"/>
      <c r="T34" s="21"/>
      <c r="U34" s="25">
        <v>220</v>
      </c>
      <c r="V34" s="25">
        <f>H34*U34*I34/15</f>
        <v>1227891.8666666667</v>
      </c>
      <c r="W34" s="25">
        <v>256.89</v>
      </c>
      <c r="X34" s="25">
        <f>2177260.62/401*F34</f>
        <v>1357394.4014962595</v>
      </c>
      <c r="Y34" s="25">
        <f>IF(B34="FRANCISCO CAMACHO",((F34*42)+(G34*42)),IF(B34="DANILO VIANA",((F34*60)+(G34*60)),0))</f>
        <v>10500</v>
      </c>
      <c r="Z34" s="264">
        <f>(58606.28+59318.86)/300*F34</f>
        <v>98270.95</v>
      </c>
      <c r="AA34" s="25">
        <v>0</v>
      </c>
      <c r="AB34" s="264">
        <v>6875</v>
      </c>
      <c r="AC34" s="25">
        <v>0</v>
      </c>
      <c r="AD34" s="25">
        <f>IF(F34="",G34*4.11,F34*4.11)</f>
        <v>1027.5</v>
      </c>
      <c r="AE34" s="25">
        <f>X34*0.2%</f>
        <v>2714.7888029925189</v>
      </c>
      <c r="AF34" s="25">
        <f>V34+Y34+Z34+AA34+AB34+AC34+AD34</f>
        <v>1344565.3166666667</v>
      </c>
      <c r="AG34" s="25">
        <f>IFERROR(IFERROR((H34*W34*J34/15)-AE34,""),"")</f>
        <v>1389547.9329578048</v>
      </c>
      <c r="AH34" s="26">
        <f>IFERROR(AG34-AF34,0)</f>
        <v>44982.616291138111</v>
      </c>
      <c r="AI34" s="25">
        <f>(AH34/$AH$48)*$AL$30</f>
        <v>30943.502892469834</v>
      </c>
      <c r="AJ34" s="25">
        <f>(AH34-AI34)*70%</f>
        <v>9827.3793790677919</v>
      </c>
      <c r="AL34" s="57"/>
      <c r="AM34" s="249"/>
      <c r="AN34" s="246"/>
    </row>
    <row r="35" spans="1:40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5"/>
      <c r="W35" s="21"/>
      <c r="X35" s="25"/>
      <c r="Y35" s="21"/>
      <c r="Z35" s="3"/>
      <c r="AA35" s="21"/>
      <c r="AB35" s="21"/>
      <c r="AC35" s="21"/>
      <c r="AD35" s="21"/>
      <c r="AE35" s="21"/>
      <c r="AF35" s="25"/>
      <c r="AG35" s="21"/>
      <c r="AH35" s="26">
        <f>IFERROR(AH34/F34,0)+IFERROR(AH34/G34,0)</f>
        <v>179.93046516455243</v>
      </c>
      <c r="AL35" s="57"/>
      <c r="AM35" s="248"/>
      <c r="AN35" s="1"/>
    </row>
    <row r="36" spans="1:40" x14ac:dyDescent="0.35">
      <c r="A36" s="21"/>
      <c r="B36" s="21"/>
      <c r="C36" s="21"/>
      <c r="D36" s="21"/>
      <c r="E36" s="21"/>
      <c r="F36" s="21"/>
      <c r="G36" s="21"/>
      <c r="H36" s="22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5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3.2372122777648768E-2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45287</v>
      </c>
      <c r="B39" s="21" t="s">
        <v>632</v>
      </c>
      <c r="C39" s="21" t="s">
        <v>611</v>
      </c>
      <c r="D39" s="44">
        <v>1905501</v>
      </c>
      <c r="E39" s="44" t="s">
        <v>652</v>
      </c>
      <c r="F39" s="21">
        <v>50</v>
      </c>
      <c r="G39" s="21"/>
      <c r="H39" s="22">
        <v>27734</v>
      </c>
      <c r="I39" s="33">
        <v>0.55000000000000004</v>
      </c>
      <c r="J39" s="24">
        <f>IFERROR(K39/H39,"")</f>
        <v>0.58624984337442054</v>
      </c>
      <c r="K39" s="22">
        <f>97879.5/301*F39</f>
        <v>16259.053156146179</v>
      </c>
      <c r="L39" s="21">
        <v>3</v>
      </c>
      <c r="M39" s="21">
        <v>19</v>
      </c>
      <c r="N39" s="21">
        <v>21</v>
      </c>
      <c r="O39" s="21">
        <v>7</v>
      </c>
      <c r="P39" s="21"/>
      <c r="Q39" s="21"/>
      <c r="R39" s="21"/>
      <c r="S39" s="21"/>
      <c r="T39" s="21"/>
      <c r="U39" s="25">
        <v>220</v>
      </c>
      <c r="V39" s="25">
        <f>H39*U39*I39/15</f>
        <v>223720.93333333338</v>
      </c>
      <c r="W39" s="25">
        <v>256.89</v>
      </c>
      <c r="X39" s="25">
        <f>2177260.62/401*F39</f>
        <v>271478.88029925188</v>
      </c>
      <c r="Y39" s="25">
        <f>IF(B39="FRANCISCO CAMACHO",((F39*42)+(G39*42)),IF(B39="DANILO VIANA",((F39*60)+(G39*60)),0))</f>
        <v>2100</v>
      </c>
      <c r="Z39" s="264">
        <f>(58606.28+59318.86)/300*F39</f>
        <v>19654.189999999999</v>
      </c>
      <c r="AA39" s="25">
        <v>0</v>
      </c>
      <c r="AB39" s="264">
        <v>1375</v>
      </c>
      <c r="AC39" s="25">
        <v>0</v>
      </c>
      <c r="AD39" s="25">
        <f>IF(F39="",G39*4.11,F39*4.11)</f>
        <v>205.50000000000003</v>
      </c>
      <c r="AE39" s="25">
        <f>X39*0.2%</f>
        <v>542.9577605985038</v>
      </c>
      <c r="AF39" s="25">
        <f>V39+Y39+Z39+AA39+AB39+AC39+AD39</f>
        <v>247055.62333333338</v>
      </c>
      <c r="AG39" s="25">
        <f>IFERROR(IFERROR((H39*W39*J39/15)-AE39,""),"")</f>
        <v>277909.58659156098</v>
      </c>
      <c r="AH39" s="26">
        <f>IFERROR(AG39-AF39,0)</f>
        <v>30853.963258227595</v>
      </c>
      <c r="AI39" s="25">
        <f>(AH39/$AH$48)*$AL$30</f>
        <v>21224.414674902135</v>
      </c>
      <c r="AJ39" s="25">
        <f>(AH39-AI39)*70%</f>
        <v>6740.6840083278221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5"/>
      <c r="AC40" s="21"/>
      <c r="AD40" s="21"/>
      <c r="AE40" s="21"/>
      <c r="AF40" s="21"/>
      <c r="AG40" s="21"/>
      <c r="AH40" s="26">
        <f>IFERROR(AH39/F39,0)+IFERROR(AH39/G39,0)</f>
        <v>617.07926516455188</v>
      </c>
    </row>
    <row r="41" spans="1:40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0.11102158668449658</v>
      </c>
    </row>
    <row r="42" spans="1:40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45288</v>
      </c>
      <c r="B44" s="21" t="s">
        <v>632</v>
      </c>
      <c r="C44" s="21" t="s">
        <v>757</v>
      </c>
      <c r="D44" s="44">
        <v>66853</v>
      </c>
      <c r="E44" s="44" t="s">
        <v>832</v>
      </c>
      <c r="F44" s="21">
        <v>200</v>
      </c>
      <c r="G44" s="21"/>
      <c r="H44" s="22">
        <v>112546</v>
      </c>
      <c r="I44" s="33">
        <v>0.55000000000000004</v>
      </c>
      <c r="J44" s="24">
        <f>IFERROR(K44/H44,"")</f>
        <v>0.53800401613562454</v>
      </c>
      <c r="K44" s="22">
        <v>60550.2</v>
      </c>
      <c r="L44" s="21">
        <v>58</v>
      </c>
      <c r="M44" s="21">
        <v>107</v>
      </c>
      <c r="N44" s="21">
        <v>33</v>
      </c>
      <c r="O44" s="21">
        <v>2</v>
      </c>
      <c r="P44" s="21"/>
      <c r="Q44" s="21"/>
      <c r="R44" s="21"/>
      <c r="S44" s="21"/>
      <c r="T44" s="21"/>
      <c r="U44" s="25">
        <v>220</v>
      </c>
      <c r="V44" s="25">
        <f>H44*U44*I44/15</f>
        <v>907871.06666666677</v>
      </c>
      <c r="W44" s="25">
        <v>256.83659999999998</v>
      </c>
      <c r="X44" s="25">
        <v>1036767.03</v>
      </c>
      <c r="Y44" s="25">
        <f>IF(B44="FRANCISCO CAMACHO",((F44*42)+(G44*42)),IF(B44="DANILO VIANA",((F44*60)+(G44*60)),0))</f>
        <v>8400</v>
      </c>
      <c r="Z44" s="264">
        <v>89740.6</v>
      </c>
      <c r="AA44" s="25">
        <v>0</v>
      </c>
      <c r="AB44" s="264">
        <v>6600</v>
      </c>
      <c r="AC44" s="25">
        <v>0</v>
      </c>
      <c r="AD44" s="25">
        <f>IF(F44="",G44*4.11,F44*4.11)</f>
        <v>822.00000000000011</v>
      </c>
      <c r="AE44" s="25">
        <v>0</v>
      </c>
      <c r="AF44" s="25">
        <f>V44+Y44+Z44+AA44+AB44+AC44+AD44</f>
        <v>1013433.6666666667</v>
      </c>
      <c r="AG44" s="25">
        <f>IFERROR(IFERROR((H44*W44*J44/15)-AE44,""),"")</f>
        <v>1036767.1664879998</v>
      </c>
      <c r="AH44" s="26">
        <f>IFERROR(AG44-AF44,0)</f>
        <v>23333.499821333098</v>
      </c>
      <c r="AI44" s="25">
        <f>(AH44/$AH$48)*$AL$30</f>
        <v>16051.094372541156</v>
      </c>
      <c r="AJ44" s="25">
        <f>(AH44-AI44)*70%</f>
        <v>5097.6838141543594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5"/>
      <c r="AC45" s="21"/>
      <c r="AD45" s="21"/>
      <c r="AE45" s="21"/>
      <c r="AF45" s="21"/>
      <c r="AG45" s="21"/>
      <c r="AH45" s="26">
        <f>IFERROR(AH44/F44,0)+IFERROR(AH44/G44,0)</f>
        <v>116.66749910666549</v>
      </c>
    </row>
    <row r="46" spans="1:40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2.2506017334995507E-2</v>
      </c>
    </row>
    <row r="47" spans="1:40" ht="15" thickBot="1" x14ac:dyDescent="0.4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  <c r="AI47" s="47"/>
      <c r="AJ47" s="47"/>
    </row>
    <row r="48" spans="1:40" ht="16" thickBot="1" x14ac:dyDescent="0.4">
      <c r="A48" s="377" t="s">
        <v>869</v>
      </c>
      <c r="B48" s="378"/>
      <c r="C48" s="378"/>
      <c r="D48" s="378"/>
      <c r="E48" s="378"/>
      <c r="F48" s="163">
        <f>SUM(F4:F47)</f>
        <v>1000</v>
      </c>
      <c r="G48" s="163">
        <f>SUM(G4:G47)</f>
        <v>0</v>
      </c>
      <c r="H48" s="30"/>
      <c r="I48" s="30"/>
      <c r="J48" s="30"/>
      <c r="K48" s="30"/>
      <c r="L48" s="46"/>
      <c r="M48" s="46"/>
      <c r="N48" s="46"/>
      <c r="O48" s="46"/>
      <c r="P48" s="46"/>
      <c r="Q48" s="46"/>
      <c r="R48" s="46"/>
      <c r="S48" s="46"/>
      <c r="T48" s="46"/>
      <c r="U48" s="30"/>
      <c r="V48" s="31">
        <f>SUM(V4:V42)</f>
        <v>3635302.9866666668</v>
      </c>
      <c r="W48" s="31"/>
      <c r="X48" s="31"/>
      <c r="Y48" s="31">
        <f t="shared" ref="Y48:AG48" si="0">SUM(Y4:Y47)</f>
        <v>43200</v>
      </c>
      <c r="Z48" s="31">
        <f t="shared" si="0"/>
        <v>308482.24</v>
      </c>
      <c r="AA48" s="31">
        <f t="shared" si="0"/>
        <v>0</v>
      </c>
      <c r="AB48" s="31">
        <f t="shared" si="0"/>
        <v>29537.5</v>
      </c>
      <c r="AC48" s="31">
        <f t="shared" si="0"/>
        <v>15162</v>
      </c>
      <c r="AD48" s="31">
        <f t="shared" si="0"/>
        <v>4105.8900000000003</v>
      </c>
      <c r="AE48" s="31">
        <f t="shared" si="0"/>
        <v>8050.4920847880312</v>
      </c>
      <c r="AF48" s="31">
        <f t="shared" si="0"/>
        <v>4943661.6833333336</v>
      </c>
      <c r="AG48" s="31">
        <f t="shared" si="0"/>
        <v>5053791.8405161686</v>
      </c>
      <c r="AH48" s="161">
        <f>AH4+AH9+AH14+AH19+AH24+AH29+AH34+AH39+AH44</f>
        <v>110130.1571828349</v>
      </c>
      <c r="AI48" s="165">
        <f>SUM(AI4:AI46)</f>
        <v>75758.44</v>
      </c>
      <c r="AJ48" s="165">
        <f>SUM(AJ4:AJ46)</f>
        <v>24060.202027984426</v>
      </c>
    </row>
    <row r="50" spans="22:35" x14ac:dyDescent="0.35">
      <c r="V50" s="162"/>
      <c r="AI50" s="25"/>
    </row>
  </sheetData>
  <mergeCells count="2">
    <mergeCell ref="U2:AC2"/>
    <mergeCell ref="A48:E48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N113"/>
  <sheetViews>
    <sheetView zoomScale="87" zoomScaleNormal="87" workbookViewId="0">
      <pane xSplit="7" ySplit="3" topLeftCell="AG4" activePane="bottomRight" state="frozen"/>
      <selection pane="topRight" activeCell="H1" sqref="H1"/>
      <selection pane="bottomLeft" activeCell="A4" sqref="A4"/>
      <selection pane="bottomRight" activeCell="A3" sqref="A3:AJ29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32.269531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AF33</f>
        <v>1945065.8399999999</v>
      </c>
      <c r="AM3" s="164">
        <f>AH33-AI33</f>
        <v>-239803.40359488505</v>
      </c>
    </row>
    <row r="4" spans="1:40" x14ac:dyDescent="0.35">
      <c r="A4" s="20">
        <v>45296</v>
      </c>
      <c r="B4" s="21" t="s">
        <v>632</v>
      </c>
      <c r="C4" s="21" t="s">
        <v>633</v>
      </c>
      <c r="D4" s="44">
        <v>1905520</v>
      </c>
      <c r="E4" s="44" t="s">
        <v>652</v>
      </c>
      <c r="F4" s="21">
        <v>150</v>
      </c>
      <c r="G4" s="21"/>
      <c r="H4" s="22">
        <f>138920/250*F4</f>
        <v>83351.999999999985</v>
      </c>
      <c r="I4" s="33">
        <v>0.55000000000000004</v>
      </c>
      <c r="J4" s="24">
        <f>IFERROR(K4/H4,"")</f>
        <v>0.55060466455513979</v>
      </c>
      <c r="K4" s="22">
        <f>76490/250*F4</f>
        <v>45894</v>
      </c>
      <c r="L4" s="21">
        <v>25</v>
      </c>
      <c r="M4" s="21">
        <v>78</v>
      </c>
      <c r="N4" s="21">
        <v>30</v>
      </c>
      <c r="O4" s="21">
        <v>17</v>
      </c>
      <c r="P4" s="21"/>
      <c r="Q4" s="21"/>
      <c r="R4" s="21"/>
      <c r="S4" s="21"/>
      <c r="T4" s="21"/>
      <c r="U4" s="25">
        <v>220</v>
      </c>
      <c r="V4" s="25">
        <f>H4*U4*I4/15</f>
        <v>672372.79999999993</v>
      </c>
      <c r="W4" s="25">
        <v>259.8</v>
      </c>
      <c r="X4" s="25">
        <f>1562175.72/300*F4</f>
        <v>781087.8600000001</v>
      </c>
      <c r="Y4" s="25">
        <f>IF(B4="FRANCISCO CAMACHO",((F4*42)+(G4*42)),IF(B4="DANILO VIANA",((F4*60)+(G4*60)),0))</f>
        <v>6300</v>
      </c>
      <c r="Z4" s="264">
        <f>116273.2/250*F4</f>
        <v>69763.92</v>
      </c>
      <c r="AA4" s="25">
        <v>0</v>
      </c>
      <c r="AB4" s="264">
        <f>6875/250*F4</f>
        <v>4125</v>
      </c>
      <c r="AC4" s="25">
        <v>0</v>
      </c>
      <c r="AD4" s="25">
        <f>IF(F4="",G4*4.11,F4*4.11)</f>
        <v>616.5</v>
      </c>
      <c r="AE4" s="25">
        <f>3124.36/300*F4</f>
        <v>1562.1799999999998</v>
      </c>
      <c r="AF4" s="25">
        <f>V4+Y4+Z4+AA4+AB4+AC4+AD4</f>
        <v>753178.22</v>
      </c>
      <c r="AG4" s="25">
        <f>IFERROR(IFERROR((H4*W4*J4/15)-AE4,""),"")</f>
        <v>793321.9</v>
      </c>
      <c r="AH4" s="26">
        <f>IFERROR(AG4-AF4,0)</f>
        <v>40143.680000000051</v>
      </c>
      <c r="AI4" s="25">
        <f>(AH4/$AH$33)*$AL$30</f>
        <v>153246.87125515449</v>
      </c>
      <c r="AJ4" s="25">
        <f>(AH4-AI4)*70%</f>
        <v>-79172.233878608095</v>
      </c>
      <c r="AL4" s="166" t="s">
        <v>749</v>
      </c>
      <c r="AM4" s="167">
        <f>AM3/AL3</f>
        <v>-0.12328806494020021</v>
      </c>
    </row>
    <row r="5" spans="1:40" ht="14.5" hidden="1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267.62453333333366</v>
      </c>
      <c r="AM5" s="63"/>
    </row>
    <row r="6" spans="1:40" hidden="1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5.0602006575136839E-2</v>
      </c>
      <c r="AM6" s="63"/>
    </row>
    <row r="7" spans="1:40" hidden="1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hidden="1" x14ac:dyDescent="0.35">
      <c r="A8" s="37" t="s">
        <v>1</v>
      </c>
      <c r="B8" s="37" t="s">
        <v>2</v>
      </c>
      <c r="C8" s="37" t="s">
        <v>110</v>
      </c>
      <c r="D8" s="37" t="s">
        <v>66</v>
      </c>
      <c r="E8" s="37" t="s">
        <v>638</v>
      </c>
      <c r="F8" s="37" t="s">
        <v>137</v>
      </c>
      <c r="G8" s="37" t="s">
        <v>138</v>
      </c>
      <c r="H8" s="37" t="s">
        <v>4</v>
      </c>
      <c r="I8" s="37" t="s">
        <v>5</v>
      </c>
      <c r="J8" s="37" t="s">
        <v>6</v>
      </c>
      <c r="K8" s="37" t="s">
        <v>7</v>
      </c>
      <c r="L8" s="37" t="s">
        <v>279</v>
      </c>
      <c r="M8" s="37" t="s">
        <v>280</v>
      </c>
      <c r="N8" s="37" t="s">
        <v>281</v>
      </c>
      <c r="O8" s="37" t="s">
        <v>282</v>
      </c>
      <c r="P8" s="37" t="s">
        <v>283</v>
      </c>
      <c r="Q8" s="37" t="s">
        <v>284</v>
      </c>
      <c r="R8" s="37" t="s">
        <v>904</v>
      </c>
      <c r="S8" s="37" t="s">
        <v>285</v>
      </c>
      <c r="T8" s="37" t="s">
        <v>289</v>
      </c>
      <c r="U8" s="37" t="s">
        <v>8</v>
      </c>
      <c r="V8" s="37" t="s">
        <v>9</v>
      </c>
      <c r="W8" s="37" t="s">
        <v>10</v>
      </c>
      <c r="X8" s="37" t="s">
        <v>100</v>
      </c>
      <c r="Y8" s="37" t="s">
        <v>106</v>
      </c>
      <c r="Z8" s="37" t="s">
        <v>12</v>
      </c>
      <c r="AA8" s="37" t="s">
        <v>258</v>
      </c>
      <c r="AB8" s="37" t="s">
        <v>13</v>
      </c>
      <c r="AC8" s="37" t="s">
        <v>74</v>
      </c>
      <c r="AD8" s="37" t="s">
        <v>21</v>
      </c>
      <c r="AE8" s="37" t="s">
        <v>14</v>
      </c>
      <c r="AF8" s="37" t="s">
        <v>15</v>
      </c>
      <c r="AG8" s="37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38">
        <v>45296</v>
      </c>
      <c r="B9" s="39" t="s">
        <v>632</v>
      </c>
      <c r="C9" s="39" t="s">
        <v>633</v>
      </c>
      <c r="D9" s="45">
        <v>1905520</v>
      </c>
      <c r="E9" s="45" t="s">
        <v>652</v>
      </c>
      <c r="F9" s="39">
        <v>100</v>
      </c>
      <c r="G9" s="39"/>
      <c r="H9" s="40">
        <f>138920/250*F9</f>
        <v>55567.999999999993</v>
      </c>
      <c r="I9" s="53">
        <v>0.55000000000000004</v>
      </c>
      <c r="J9" s="42">
        <f>IFERROR(K9/H9,"")</f>
        <v>0.55060466455513968</v>
      </c>
      <c r="K9" s="40">
        <f>76490/250*F9</f>
        <v>30595.999999999996</v>
      </c>
      <c r="L9" s="39">
        <v>25</v>
      </c>
      <c r="M9" s="39">
        <v>45</v>
      </c>
      <c r="N9" s="39">
        <v>30</v>
      </c>
      <c r="O9" s="39"/>
      <c r="P9" s="39"/>
      <c r="Q9" s="39"/>
      <c r="R9" s="39"/>
      <c r="S9" s="39"/>
      <c r="T9" s="39"/>
      <c r="U9" s="43">
        <v>220</v>
      </c>
      <c r="V9" s="43">
        <f>H9*U9*I9/15</f>
        <v>448248.53333333327</v>
      </c>
      <c r="W9" s="43">
        <v>259.8</v>
      </c>
      <c r="X9" s="43">
        <f>1562175.72/300*F9</f>
        <v>520725.24000000005</v>
      </c>
      <c r="Y9" s="43">
        <f>IF(B9="FRANCISCO CAMACHO",((F9*42)+(G9*42)),IF(B9="DANILO VIANA",((F9*60)+(G9*60)),0))</f>
        <v>4200</v>
      </c>
      <c r="Z9" s="264">
        <f>116273.2/250*F9</f>
        <v>46509.279999999999</v>
      </c>
      <c r="AA9" s="43">
        <v>0</v>
      </c>
      <c r="AB9" s="264">
        <f>6875/250*F9</f>
        <v>2750</v>
      </c>
      <c r="AC9" s="43">
        <v>0</v>
      </c>
      <c r="AD9" s="43">
        <f>IF(F9="",G9*4.11,F9*4.11)</f>
        <v>411.00000000000006</v>
      </c>
      <c r="AE9" s="43">
        <f>3124.36/300*F9</f>
        <v>1041.4533333333334</v>
      </c>
      <c r="AF9" s="43">
        <f>V9+Y9+Z9+AA9+AB9+AC9+AD9</f>
        <v>502118.81333333324</v>
      </c>
      <c r="AG9" s="43">
        <f>IFERROR(IFERROR((H9*W9*J9/15)-AE9,""),"")</f>
        <v>528881.2666666666</v>
      </c>
      <c r="AH9" s="26">
        <f>IFERROR(AG9-AF9,0)</f>
        <v>26762.453333333367</v>
      </c>
      <c r="AI9" s="25">
        <f>(AH9/$AH$33)*$AL$30</f>
        <v>102164.58083676967</v>
      </c>
      <c r="AJ9" s="25">
        <f>(AH9-AI9)*70%</f>
        <v>-52781.489252405408</v>
      </c>
    </row>
    <row r="10" spans="1:40" hidden="1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267.62453333333366</v>
      </c>
    </row>
    <row r="11" spans="1:40" hidden="1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5.0602006575136846E-2</v>
      </c>
    </row>
    <row r="12" spans="1:40" hidden="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hidden="1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45296</v>
      </c>
      <c r="B14" s="21" t="s">
        <v>419</v>
      </c>
      <c r="C14" s="21" t="s">
        <v>871</v>
      </c>
      <c r="D14" s="44">
        <v>1905522</v>
      </c>
      <c r="E14" s="44" t="s">
        <v>652</v>
      </c>
      <c r="F14" s="21">
        <v>49</v>
      </c>
      <c r="G14" s="21"/>
      <c r="H14" s="22">
        <f>24040/50*F14</f>
        <v>23559.200000000001</v>
      </c>
      <c r="I14" s="33">
        <v>0.51</v>
      </c>
      <c r="J14" s="24">
        <f>IFERROR(K14/H14,"")</f>
        <v>0.52319263812013994</v>
      </c>
      <c r="K14" s="22">
        <v>12326</v>
      </c>
      <c r="L14" s="21"/>
      <c r="M14" s="21">
        <v>2</v>
      </c>
      <c r="N14" s="21">
        <v>17</v>
      </c>
      <c r="O14" s="21">
        <v>27</v>
      </c>
      <c r="P14" s="21">
        <v>3</v>
      </c>
      <c r="Q14" s="21"/>
      <c r="R14" s="21"/>
      <c r="S14" s="21"/>
      <c r="T14" s="21"/>
      <c r="U14" s="25">
        <v>230</v>
      </c>
      <c r="V14" s="25">
        <f>H14*U14*I14/15</f>
        <v>184232.94400000002</v>
      </c>
      <c r="W14" s="25">
        <v>253.15</v>
      </c>
      <c r="X14" s="25">
        <f>694271.29/149*F14</f>
        <v>228317.40409395972</v>
      </c>
      <c r="Y14" s="25">
        <f>IF(B14="FRANCISCO CAMACHO",((F14*42)+(G14*42)),IF(B14="DANILO VIANA",((F14*60)+(G14*60)),0))</f>
        <v>2940</v>
      </c>
      <c r="Z14" s="264">
        <f>9513.8/50*F14</f>
        <v>9323.5239999999994</v>
      </c>
      <c r="AA14" s="25">
        <v>0</v>
      </c>
      <c r="AB14" s="264">
        <f>1437.5/50*F14</f>
        <v>1408.75</v>
      </c>
      <c r="AC14" s="25">
        <f>F14*38</f>
        <v>1862</v>
      </c>
      <c r="AD14" s="25">
        <f>IF(F14="",G14*4.11,F14*4.11)</f>
        <v>201.39000000000001</v>
      </c>
      <c r="AE14" s="25">
        <f>1388.55/149*F14</f>
        <v>456.63724832214768</v>
      </c>
      <c r="AF14" s="25">
        <f>V14+Y14+Z14+AA14+AB14+AC14+AD14</f>
        <v>199968.60800000004</v>
      </c>
      <c r="AG14" s="25">
        <f>IFERROR(IFERROR((H14*W14*J14/15)-AE14,""),"")</f>
        <v>207565.15608501123</v>
      </c>
      <c r="AH14" s="26">
        <f>IFERROR(AG14-AF14,0)</f>
        <v>7596.5480850111926</v>
      </c>
      <c r="AI14" s="25">
        <f>(AH14/$AH$33)*$AL$30</f>
        <v>28999.514403445301</v>
      </c>
      <c r="AJ14" s="25">
        <f>(AH14-AI14)*70%</f>
        <v>-14982.076422903874</v>
      </c>
      <c r="AL14" s="14">
        <f>F4+G4+F9+G9+F14+G14+F19+G19+F24+G24+F29+G29</f>
        <v>400</v>
      </c>
      <c r="AM14" s="118" t="s">
        <v>22</v>
      </c>
    </row>
    <row r="15" spans="1:40" hidden="1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155.031593571657</v>
      </c>
      <c r="AL15" s="11">
        <f>AH33</f>
        <v>85113.346405114949</v>
      </c>
      <c r="AM15" s="11">
        <f>AL15*30%</f>
        <v>25534.003921534484</v>
      </c>
      <c r="AN15" s="2"/>
    </row>
    <row r="16" spans="1:40" hidden="1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3.6598378207081728E-2</v>
      </c>
      <c r="AL16" s="11"/>
      <c r="AM16" s="11"/>
    </row>
    <row r="17" spans="1:40" hidden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hidden="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45296</v>
      </c>
      <c r="B19" s="21" t="s">
        <v>419</v>
      </c>
      <c r="C19" s="21" t="s">
        <v>871</v>
      </c>
      <c r="D19" s="44">
        <v>1905550</v>
      </c>
      <c r="E19" s="44" t="s">
        <v>652</v>
      </c>
      <c r="F19" s="21">
        <v>1</v>
      </c>
      <c r="G19" s="21"/>
      <c r="H19" s="22">
        <f>24040/50*F19</f>
        <v>480.8</v>
      </c>
      <c r="I19" s="33">
        <v>0.51</v>
      </c>
      <c r="J19" s="24">
        <f>IFERROR(K19/H19,"")</f>
        <v>0.62669183202125811</v>
      </c>
      <c r="K19" s="22">
        <f>60564/201*F19</f>
        <v>301.31343283582089</v>
      </c>
      <c r="L19" s="21">
        <v>1</v>
      </c>
      <c r="M19" s="21"/>
      <c r="N19" s="21"/>
      <c r="O19" s="21"/>
      <c r="P19" s="21"/>
      <c r="Q19" s="21"/>
      <c r="R19" s="21"/>
      <c r="S19" s="21"/>
      <c r="T19" s="21"/>
      <c r="U19" s="25">
        <v>230</v>
      </c>
      <c r="V19" s="25">
        <f>H19*U19*I19/15</f>
        <v>3759.8560000000002</v>
      </c>
      <c r="W19" s="25">
        <v>249.62</v>
      </c>
      <c r="X19" s="25">
        <f>1220559.04/251*F19</f>
        <v>4862.7850199203185</v>
      </c>
      <c r="Y19" s="25">
        <f>IF(B19="FRANCISCO CAMACHO",((F19*42)+(G19*42)),IF(B19="DANILO VIANA",((F19*60)+(G19*60)),0))</f>
        <v>60</v>
      </c>
      <c r="Z19" s="264">
        <f>9513.8/50*F19</f>
        <v>190.27599999999998</v>
      </c>
      <c r="AA19" s="25">
        <v>0</v>
      </c>
      <c r="AB19" s="264">
        <f>1437.5/50*F19</f>
        <v>28.75</v>
      </c>
      <c r="AC19" s="25">
        <f>F19*38</f>
        <v>38</v>
      </c>
      <c r="AD19" s="25">
        <f>IF(F19="",G19*4.11,F19*4.11)</f>
        <v>4.1100000000000003</v>
      </c>
      <c r="AE19" s="25">
        <f>2441.12/251*F19</f>
        <v>9.7255776892430266</v>
      </c>
      <c r="AF19" s="25">
        <f>V19+Y19+Z19+AA19+AB19+AC19+AD19</f>
        <v>4080.9920000000002</v>
      </c>
      <c r="AG19" s="25">
        <f>IFERROR(IFERROR((H19*W19*J19/15)-AE19,""),"")</f>
        <v>5004.5316959425973</v>
      </c>
      <c r="AH19" s="26">
        <f>IFERROR(AG19-AF19,0)</f>
        <v>923.53969594259706</v>
      </c>
      <c r="AI19" s="25">
        <f>(AH19/$AH$33)*$AL$30</f>
        <v>3525.5753554018843</v>
      </c>
      <c r="AJ19" s="25">
        <f>(AH19-AI19)*70%</f>
        <v>-1821.4249616215009</v>
      </c>
      <c r="AL19" s="178">
        <v>18452.7</v>
      </c>
      <c r="AM19" s="6" t="s">
        <v>876</v>
      </c>
      <c r="AN19" s="174"/>
    </row>
    <row r="20" spans="1:40" hidden="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923.53969594259706</v>
      </c>
      <c r="AL20" s="178">
        <v>298439.27</v>
      </c>
      <c r="AM20" s="6" t="s">
        <v>877</v>
      </c>
      <c r="AN20" s="174"/>
    </row>
    <row r="21" spans="1:40" hidden="1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0.18454068273587976</v>
      </c>
      <c r="AL21" s="178">
        <v>200</v>
      </c>
      <c r="AM21" s="6" t="s">
        <v>742</v>
      </c>
      <c r="AN21" s="245"/>
    </row>
    <row r="22" spans="1:40" hidden="1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1330.3</v>
      </c>
      <c r="AM22" s="6" t="s">
        <v>839</v>
      </c>
      <c r="AN22" s="174"/>
    </row>
    <row r="23" spans="1:40" hidden="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>
        <v>2400</v>
      </c>
      <c r="AM23" s="6" t="s">
        <v>787</v>
      </c>
      <c r="AN23" s="174"/>
    </row>
    <row r="24" spans="1:40" x14ac:dyDescent="0.35">
      <c r="A24" s="20">
        <v>45297</v>
      </c>
      <c r="B24" s="21" t="s">
        <v>632</v>
      </c>
      <c r="C24" s="21" t="s">
        <v>763</v>
      </c>
      <c r="D24" s="44">
        <v>1905522</v>
      </c>
      <c r="E24" s="44" t="s">
        <v>652</v>
      </c>
      <c r="F24" s="21">
        <v>50</v>
      </c>
      <c r="G24" s="21"/>
      <c r="H24" s="22">
        <v>27760</v>
      </c>
      <c r="I24" s="33">
        <v>0.55000000000000004</v>
      </c>
      <c r="J24" s="24">
        <f>IFERROR(K24/H24,"")</f>
        <v>0.55293587896253604</v>
      </c>
      <c r="K24" s="22">
        <v>15349.5</v>
      </c>
      <c r="L24" s="21">
        <v>34</v>
      </c>
      <c r="M24" s="21">
        <v>13</v>
      </c>
      <c r="N24" s="21">
        <v>3</v>
      </c>
      <c r="O24" s="21"/>
      <c r="P24" s="21"/>
      <c r="Q24" s="21"/>
      <c r="R24" s="21"/>
      <c r="S24" s="21"/>
      <c r="T24" s="21"/>
      <c r="U24" s="25">
        <v>220</v>
      </c>
      <c r="V24" s="25">
        <f>H24*U24*I24/15</f>
        <v>223930.66666666669</v>
      </c>
      <c r="W24" s="25">
        <v>253.15</v>
      </c>
      <c r="X24" s="25">
        <f>694271.29/149*F24</f>
        <v>232976.94295302013</v>
      </c>
      <c r="Y24" s="25">
        <f>IF(B24="FRANCISCO CAMACHO",((F24*42)+(G24*42)),IF(B24="DANILO VIANA",((F24*60)+(G24*60)),0))</f>
        <v>2100</v>
      </c>
      <c r="Z24" s="264">
        <v>23245.4</v>
      </c>
      <c r="AA24" s="25">
        <v>0</v>
      </c>
      <c r="AB24" s="264">
        <v>1375</v>
      </c>
      <c r="AC24" s="25">
        <v>0</v>
      </c>
      <c r="AD24" s="25">
        <f>IF(F24="",G24*4.11,F24*4.11)</f>
        <v>205.50000000000003</v>
      </c>
      <c r="AE24" s="25">
        <f>1388.55/149*F24</f>
        <v>465.95637583892619</v>
      </c>
      <c r="AF24" s="25">
        <f>V24+Y24+Z24+AA24+AB24+AC24+AD24</f>
        <v>250856.56666666668</v>
      </c>
      <c r="AG24" s="25">
        <f>IFERROR(IFERROR((H24*W24*J24/15)-AE24,""),"")</f>
        <v>258582.43862416109</v>
      </c>
      <c r="AH24" s="26">
        <f>IFERROR(AG24-AF24,0)</f>
        <v>7725.8719574944116</v>
      </c>
      <c r="AI24" s="25">
        <f>(AH24/$AH$33)*$AL$30</f>
        <v>29493.203044762042</v>
      </c>
      <c r="AJ24" s="25">
        <f>(AH24-AI24)*70%</f>
        <v>-15237.131761087339</v>
      </c>
      <c r="AL24" s="178">
        <v>1458.3</v>
      </c>
      <c r="AM24" s="6" t="s">
        <v>883</v>
      </c>
      <c r="AN24" s="174"/>
    </row>
    <row r="25" spans="1:40" hidden="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154.51743914988822</v>
      </c>
      <c r="AL25" s="178">
        <v>1100</v>
      </c>
      <c r="AM25" s="6" t="s">
        <v>884</v>
      </c>
      <c r="AN25" s="174"/>
    </row>
    <row r="26" spans="1:40" hidden="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2.9877790613320219E-2</v>
      </c>
      <c r="AL26" s="178">
        <v>1396.68</v>
      </c>
      <c r="AM26" s="6" t="s">
        <v>885</v>
      </c>
      <c r="AN26" s="174"/>
    </row>
    <row r="27" spans="1:40" hidden="1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>
        <v>139.5</v>
      </c>
      <c r="AM27" s="6" t="s">
        <v>886</v>
      </c>
      <c r="AN27" s="174"/>
    </row>
    <row r="28" spans="1:40" hidden="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178"/>
      <c r="AM28" s="6"/>
      <c r="AN28" s="174"/>
    </row>
    <row r="29" spans="1:40" x14ac:dyDescent="0.35">
      <c r="A29" s="20">
        <v>45297</v>
      </c>
      <c r="B29" s="21" t="s">
        <v>419</v>
      </c>
      <c r="C29" s="21" t="s">
        <v>872</v>
      </c>
      <c r="D29" s="44">
        <v>1905520</v>
      </c>
      <c r="E29" s="44" t="s">
        <v>652</v>
      </c>
      <c r="F29" s="21">
        <v>50</v>
      </c>
      <c r="G29" s="21"/>
      <c r="H29" s="22">
        <v>26000</v>
      </c>
      <c r="I29" s="33">
        <v>0.52</v>
      </c>
      <c r="J29" s="24">
        <f>IFERROR(K29/H29,"")</f>
        <v>0.52705769230769228</v>
      </c>
      <c r="K29" s="22">
        <v>13703.5</v>
      </c>
      <c r="L29" s="21">
        <v>28</v>
      </c>
      <c r="M29" s="21">
        <v>15</v>
      </c>
      <c r="N29" s="21">
        <v>5</v>
      </c>
      <c r="O29" s="21">
        <v>2</v>
      </c>
      <c r="P29" s="21"/>
      <c r="Q29" s="21"/>
      <c r="R29" s="21"/>
      <c r="S29" s="21"/>
      <c r="T29" s="21"/>
      <c r="U29" s="25">
        <v>240</v>
      </c>
      <c r="V29" s="25">
        <f>H29*U29*I29/15</f>
        <v>216320</v>
      </c>
      <c r="W29" s="25">
        <v>259.8</v>
      </c>
      <c r="X29" s="25">
        <f>1562175.72/300*F29</f>
        <v>260362.62000000002</v>
      </c>
      <c r="Y29" s="25">
        <f>IF(B29="FRANCISCO CAMACHO",((F29*42)+(G29*42)),IF(B29="DANILO VIANA",((F29*60)+(G29*60)),0))</f>
        <v>3000</v>
      </c>
      <c r="Z29" s="264">
        <v>11937.14</v>
      </c>
      <c r="AA29" s="25">
        <v>0</v>
      </c>
      <c r="AB29" s="264">
        <v>1500</v>
      </c>
      <c r="AC29" s="25">
        <f>F29*38</f>
        <v>1900</v>
      </c>
      <c r="AD29" s="25">
        <f>IF(F29="",G29*4.11,F29*4.11)</f>
        <v>205.50000000000003</v>
      </c>
      <c r="AE29" s="25">
        <f>3124.36/300*F29</f>
        <v>520.72666666666669</v>
      </c>
      <c r="AF29" s="25">
        <f>V29+Y29+Z29+AA29+AB29+AC29+AD29</f>
        <v>234862.64</v>
      </c>
      <c r="AG29" s="25">
        <f>IFERROR(IFERROR((H29*W29*J29/15)-AE29,""),"")</f>
        <v>236823.89333333334</v>
      </c>
      <c r="AH29" s="26">
        <f>IFERROR(AG29-AF29,0)</f>
        <v>1961.2533333333267</v>
      </c>
      <c r="AI29" s="25">
        <f>(AH29/$AH$33)*$AL$30</f>
        <v>7487.0051044666197</v>
      </c>
      <c r="AJ29" s="25">
        <f>(AH29-AI29)*70%</f>
        <v>-3868.0262397933047</v>
      </c>
      <c r="AL29" s="178"/>
      <c r="AM29" s="6"/>
      <c r="AN29" s="174"/>
    </row>
    <row r="30" spans="1:40" hidden="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5"/>
      <c r="W30" s="21"/>
      <c r="X30" s="25"/>
      <c r="Y30" s="21"/>
      <c r="Z30" s="3"/>
      <c r="AA30" s="21"/>
      <c r="AB30" s="21"/>
      <c r="AC30" s="21"/>
      <c r="AD30" s="21"/>
      <c r="AE30" s="21"/>
      <c r="AF30" s="25"/>
      <c r="AG30" s="21"/>
      <c r="AH30" s="26">
        <f>IFERROR(AH29/F29,0)+IFERROR(AH29/G29,0)</f>
        <v>39.225066666666535</v>
      </c>
      <c r="AL30" s="214">
        <f>SUM(AL19:AL29)</f>
        <v>324916.75</v>
      </c>
      <c r="AM30" s="189" t="s">
        <v>673</v>
      </c>
      <c r="AN30" s="191"/>
    </row>
    <row r="31" spans="1:40" hidden="1" x14ac:dyDescent="0.35">
      <c r="A31" s="21"/>
      <c r="B31" s="21"/>
      <c r="C31" s="21"/>
      <c r="D31" s="21"/>
      <c r="E31" s="21"/>
      <c r="F31" s="21"/>
      <c r="G31" s="21"/>
      <c r="H31" s="22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5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8.2814842106021455E-3</v>
      </c>
      <c r="AL31" s="57"/>
      <c r="AM31" s="6"/>
    </row>
    <row r="32" spans="1:40" hidden="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118" t="s">
        <v>22</v>
      </c>
      <c r="AN32" s="12"/>
    </row>
    <row r="33" spans="1:40" ht="16" hidden="1" thickBot="1" x14ac:dyDescent="0.4">
      <c r="A33" s="377" t="s">
        <v>895</v>
      </c>
      <c r="B33" s="378"/>
      <c r="C33" s="378"/>
      <c r="D33" s="378"/>
      <c r="E33" s="378"/>
      <c r="F33" s="163">
        <f>SUM(F4:F32)</f>
        <v>400</v>
      </c>
      <c r="G33" s="163">
        <f>SUM(G4:G32)</f>
        <v>0</v>
      </c>
      <c r="H33" s="30"/>
      <c r="I33" s="30"/>
      <c r="J33" s="30"/>
      <c r="K33" s="30"/>
      <c r="L33" s="46"/>
      <c r="M33" s="46"/>
      <c r="N33" s="46"/>
      <c r="O33" s="46"/>
      <c r="P33" s="46"/>
      <c r="Q33" s="46"/>
      <c r="R33" s="46"/>
      <c r="S33" s="46"/>
      <c r="T33" s="46"/>
      <c r="U33" s="30"/>
      <c r="V33" s="31">
        <f>SUM(V4:V32)</f>
        <v>1748864.7999999998</v>
      </c>
      <c r="W33" s="31"/>
      <c r="X33" s="31"/>
      <c r="Y33" s="31">
        <f t="shared" ref="Y33:AG33" si="0">SUM(Y4:Y32)</f>
        <v>18600</v>
      </c>
      <c r="Z33" s="31">
        <f t="shared" si="0"/>
        <v>160969.53999999998</v>
      </c>
      <c r="AA33" s="31">
        <f t="shared" si="0"/>
        <v>0</v>
      </c>
      <c r="AB33" s="31">
        <f t="shared" si="0"/>
        <v>11187.5</v>
      </c>
      <c r="AC33" s="31">
        <f t="shared" si="0"/>
        <v>3800</v>
      </c>
      <c r="AD33" s="31">
        <f t="shared" si="0"/>
        <v>1644</v>
      </c>
      <c r="AE33" s="31">
        <f t="shared" si="0"/>
        <v>4056.6792018503165</v>
      </c>
      <c r="AF33" s="31">
        <f t="shared" si="0"/>
        <v>1945065.8399999999</v>
      </c>
      <c r="AG33" s="31">
        <f t="shared" si="0"/>
        <v>2030179.1864051148</v>
      </c>
      <c r="AH33" s="161">
        <f>AH4+AH9+AH14+AH19+AH24+AH29</f>
        <v>85113.346405114949</v>
      </c>
      <c r="AI33" s="165">
        <f>SUM(AI4:AI32)</f>
        <v>324916.75</v>
      </c>
      <c r="AJ33" s="165">
        <f>SUM(AJ4:AJ32)</f>
        <v>-167862.38251641952</v>
      </c>
      <c r="AL33" s="248">
        <f>AL15-AL30</f>
        <v>-239803.40359488505</v>
      </c>
      <c r="AM33" s="248">
        <f>AL33*30%</f>
        <v>-71941.021078465506</v>
      </c>
      <c r="AN33" s="283" t="s">
        <v>921</v>
      </c>
    </row>
    <row r="34" spans="1:40" x14ac:dyDescent="0.35">
      <c r="AL34" s="57"/>
      <c r="AM34" s="249"/>
      <c r="AN34" s="246"/>
    </row>
    <row r="35" spans="1:40" x14ac:dyDescent="0.35">
      <c r="V35" s="162"/>
      <c r="AI35" s="25"/>
      <c r="AL35" s="57"/>
      <c r="AM35" s="248"/>
      <c r="AN35" s="1"/>
    </row>
    <row r="36" spans="1:40" x14ac:dyDescent="0.35">
      <c r="AL36" t="s">
        <v>882</v>
      </c>
    </row>
    <row r="54" spans="38:39" x14ac:dyDescent="0.35">
      <c r="AL54" s="6"/>
      <c r="AM54" s="6"/>
    </row>
    <row r="113" ht="15" customHeight="1" x14ac:dyDescent="0.35"/>
  </sheetData>
  <autoFilter ref="A3:AJ33">
    <filterColumn colId="0">
      <filters>
        <dateGroupItem year="2024" dateTimeGrouping="year"/>
      </filters>
    </filterColumn>
  </autoFilter>
  <mergeCells count="2">
    <mergeCell ref="U2:AC2"/>
    <mergeCell ref="A33:E3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80"/>
  <sheetViews>
    <sheetView zoomScale="85" zoomScaleNormal="85" workbookViewId="0">
      <pane xSplit="7" ySplit="3" topLeftCell="AG4" activePane="bottomRight" state="frozen"/>
      <selection activeCell="AL21" sqref="AL21"/>
      <selection pane="topRight" activeCell="AL21" sqref="AL21"/>
      <selection pane="bottomLeft" activeCell="AL21" sqref="AL21"/>
      <selection pane="bottomRight" activeCell="A3" sqref="A3:AJ74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32.179687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AF78</f>
        <v>6298304.5071111126</v>
      </c>
      <c r="AM3" s="164">
        <f>AH78-AI78</f>
        <v>63049.474137106838</v>
      </c>
    </row>
    <row r="4" spans="1:40" x14ac:dyDescent="0.35">
      <c r="A4" s="20">
        <v>45298</v>
      </c>
      <c r="B4" s="21" t="s">
        <v>632</v>
      </c>
      <c r="C4" s="21" t="s">
        <v>738</v>
      </c>
      <c r="D4" s="44">
        <v>1905550</v>
      </c>
      <c r="E4" s="44" t="s">
        <v>652</v>
      </c>
      <c r="F4" s="21">
        <v>200</v>
      </c>
      <c r="G4" s="21"/>
      <c r="H4" s="22">
        <v>111080</v>
      </c>
      <c r="I4" s="33">
        <v>0.55000000000000004</v>
      </c>
      <c r="J4" s="24">
        <f>IFERROR(K4/H4,"")</f>
        <v>0.54251608360788783</v>
      </c>
      <c r="K4" s="22">
        <f>60564/201*F4</f>
        <v>60262.686567164179</v>
      </c>
      <c r="L4" s="21">
        <v>18</v>
      </c>
      <c r="M4" s="21">
        <v>61</v>
      </c>
      <c r="N4" s="21">
        <v>47</v>
      </c>
      <c r="O4" s="21">
        <v>56</v>
      </c>
      <c r="P4" s="21">
        <v>18</v>
      </c>
      <c r="Q4" s="21"/>
      <c r="R4" s="21"/>
      <c r="S4" s="21"/>
      <c r="T4" s="21"/>
      <c r="U4" s="25">
        <v>220</v>
      </c>
      <c r="V4" s="25">
        <f>H4*U4*I4/15</f>
        <v>896045.33333333349</v>
      </c>
      <c r="W4" s="25">
        <v>249.62</v>
      </c>
      <c r="X4" s="25">
        <f>1220559.04/251*F4</f>
        <v>972557.00398406375</v>
      </c>
      <c r="Y4" s="25">
        <f>IF(B4="FRANCISCO CAMACHO",((F4*42)+(G4*42)),IF(B4="DANILO VIANA",((F4*60)+(G4*60)),0))</f>
        <v>8400</v>
      </c>
      <c r="Z4" s="264">
        <f>42788.4+21212.03+21462.93</f>
        <v>85463.360000000001</v>
      </c>
      <c r="AA4" s="25">
        <v>0</v>
      </c>
      <c r="AB4" s="264">
        <v>5500</v>
      </c>
      <c r="AC4" s="25">
        <v>0</v>
      </c>
      <c r="AD4" s="25">
        <f>IF(F4="",G4*4.11,F4*4.11)</f>
        <v>822.00000000000011</v>
      </c>
      <c r="AE4" s="25">
        <f>2441.12/251*F4</f>
        <v>1945.1155378486053</v>
      </c>
      <c r="AF4" s="25">
        <f>V4+Y4+Z4+AA4+AB4+AC4+AD4</f>
        <v>996230.69333333347</v>
      </c>
      <c r="AG4" s="25">
        <f>IFERROR(IFERROR((H4*W4*J4/15)-AE4,""),"")</f>
        <v>1000906.3391885196</v>
      </c>
      <c r="AH4" s="26">
        <f>IFERROR(AG4-AF4,0)</f>
        <v>4675.6458551861579</v>
      </c>
      <c r="AI4" s="25">
        <f>(AH4/$AH$78)*$AL$30</f>
        <v>660.83727333452498</v>
      </c>
      <c r="AJ4" s="25">
        <f>(AH4-AI4)*70%</f>
        <v>2810.3660072961429</v>
      </c>
      <c r="AL4" s="166" t="s">
        <v>749</v>
      </c>
      <c r="AM4" s="167">
        <f>AM3/AL3</f>
        <v>1.0010547134696443E-2</v>
      </c>
    </row>
    <row r="5" spans="1:40" ht="14.5" hidden="1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23.378229275930789</v>
      </c>
      <c r="AM5" s="63"/>
    </row>
    <row r="6" spans="1:40" hidden="1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4.6714119714507127E-3</v>
      </c>
      <c r="AM6" s="63"/>
    </row>
    <row r="7" spans="1:40" hidden="1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hidden="1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45299</v>
      </c>
      <c r="B9" s="21" t="s">
        <v>873</v>
      </c>
      <c r="C9" s="21" t="s">
        <v>874</v>
      </c>
      <c r="D9" s="44">
        <v>1905522</v>
      </c>
      <c r="E9" s="44" t="s">
        <v>652</v>
      </c>
      <c r="F9" s="21">
        <v>50</v>
      </c>
      <c r="G9" s="21"/>
      <c r="H9" s="22">
        <v>25180</v>
      </c>
      <c r="I9" s="33">
        <v>0.55000000000000004</v>
      </c>
      <c r="J9" s="24">
        <f>IFERROR(K9/H9,"")</f>
        <v>0.53463065925337572</v>
      </c>
      <c r="K9" s="22">
        <v>13462</v>
      </c>
      <c r="L9" s="21">
        <v>5</v>
      </c>
      <c r="M9" s="21">
        <v>22</v>
      </c>
      <c r="N9" s="21">
        <v>16</v>
      </c>
      <c r="O9" s="21">
        <v>7</v>
      </c>
      <c r="P9" s="21"/>
      <c r="Q9" s="21"/>
      <c r="R9" s="21"/>
      <c r="S9" s="21"/>
      <c r="T9" s="21"/>
      <c r="U9" s="25">
        <v>243</v>
      </c>
      <c r="V9" s="25">
        <f>H9*U9*I9/15</f>
        <v>224353.80000000002</v>
      </c>
      <c r="W9" s="25">
        <v>253.15</v>
      </c>
      <c r="X9" s="25">
        <f>694271.29/149*F9</f>
        <v>232976.94295302013</v>
      </c>
      <c r="Y9" s="25">
        <f>IF(B9="FRANCISCO CAMACHO",((F9*42)+(G9*42)),IF(B9="DANILO VIANA",((F9*60)+(G9*60)),0))</f>
        <v>0</v>
      </c>
      <c r="Z9" s="264">
        <f>(2998.44+7367.6+3048.8)/180*F9</f>
        <v>3726.3444444444444</v>
      </c>
      <c r="AA9" s="25">
        <v>0</v>
      </c>
      <c r="AB9" s="264">
        <v>1518.75</v>
      </c>
      <c r="AC9" s="25">
        <v>0</v>
      </c>
      <c r="AD9" s="25">
        <f>IF(F9="",G9*4.11,F9*4.11)</f>
        <v>205.50000000000003</v>
      </c>
      <c r="AE9" s="25">
        <f>1388.55/149*F9</f>
        <v>465.95637583892619</v>
      </c>
      <c r="AF9" s="25">
        <f>V9+Y9+Z9+AA9+AB9+AC9+AD9</f>
        <v>229804.39444444445</v>
      </c>
      <c r="AG9" s="25">
        <f>IFERROR(IFERROR((H9*W9*J9/15)-AE9,""),"")</f>
        <v>226727.73029082775</v>
      </c>
      <c r="AH9" s="26">
        <f>IFERROR(AG9-AF9,0)</f>
        <v>-3076.6641536167008</v>
      </c>
      <c r="AI9" s="25">
        <f>(AH9/$AH$78)*$AL$30</f>
        <v>-434.84353033003293</v>
      </c>
      <c r="AJ9" s="25">
        <f>(AH9-AI9)*70%</f>
        <v>-1849.2744363006673</v>
      </c>
    </row>
    <row r="10" spans="1:40" hidden="1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-61.533283072334015</v>
      </c>
    </row>
    <row r="11" spans="1:40" hidden="1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-1.3569862626288403E-2</v>
      </c>
    </row>
    <row r="12" spans="1:40" hidden="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hidden="1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45299</v>
      </c>
      <c r="B14" s="21" t="s">
        <v>419</v>
      </c>
      <c r="C14" s="21" t="s">
        <v>177</v>
      </c>
      <c r="D14" s="44">
        <v>1905550</v>
      </c>
      <c r="E14" s="44" t="s">
        <v>652</v>
      </c>
      <c r="F14" s="21">
        <v>13</v>
      </c>
      <c r="G14" s="21"/>
      <c r="H14" s="22">
        <v>5460</v>
      </c>
      <c r="I14" s="33">
        <v>0.5</v>
      </c>
      <c r="J14" s="24">
        <f>IFERROR(K14/H14,"")</f>
        <v>0.60866666666666658</v>
      </c>
      <c r="K14" s="22">
        <f>12782/50*F14</f>
        <v>3323.3199999999997</v>
      </c>
      <c r="L14" s="21">
        <v>10</v>
      </c>
      <c r="M14" s="21">
        <v>3</v>
      </c>
      <c r="N14" s="21"/>
      <c r="O14" s="21"/>
      <c r="P14" s="21"/>
      <c r="Q14" s="21"/>
      <c r="R14" s="21"/>
      <c r="S14" s="21"/>
      <c r="T14" s="21"/>
      <c r="U14" s="25">
        <v>210</v>
      </c>
      <c r="V14" s="25">
        <f>H14*U14*I14/15</f>
        <v>38220</v>
      </c>
      <c r="W14" s="25">
        <v>249.62</v>
      </c>
      <c r="X14" s="25">
        <f>1220559.04/251*F14</f>
        <v>63216.205258964139</v>
      </c>
      <c r="Y14" s="25">
        <f>IF(B14="FRANCISCO CAMACHO",((F14*42)+(G14*42)),IF(B14="DANILO VIANA",((F14*60)+(G14*60)),0))</f>
        <v>780</v>
      </c>
      <c r="Z14" s="264">
        <f>6953.6/50*F14</f>
        <v>1807.9360000000001</v>
      </c>
      <c r="AA14" s="25">
        <v>0</v>
      </c>
      <c r="AB14" s="264">
        <v>341.25</v>
      </c>
      <c r="AC14" s="25">
        <f>F14*38</f>
        <v>494</v>
      </c>
      <c r="AD14" s="25">
        <f>IF(F14="",G14*4.11,F14*4.11)</f>
        <v>53.430000000000007</v>
      </c>
      <c r="AE14" s="25">
        <f>2441.12/251*F14</f>
        <v>126.43250996015935</v>
      </c>
      <c r="AF14" s="25">
        <f>V14+Y14+Z14+AA14+AB14+AC14+AD14</f>
        <v>41696.616000000002</v>
      </c>
      <c r="AG14" s="25">
        <f>IFERROR(IFERROR((H14*W14*J14/15)-AE14,""),"")</f>
        <v>55178.043383373159</v>
      </c>
      <c r="AH14" s="26">
        <f>IFERROR(AG14-AF14,0)</f>
        <v>13481.427383373157</v>
      </c>
      <c r="AI14" s="25">
        <f>(AH14/$AH$78)*$AL$30</f>
        <v>1905.4115706397977</v>
      </c>
      <c r="AJ14" s="25">
        <f>(AH14-AI14)*70%</f>
        <v>8103.2110689133515</v>
      </c>
      <c r="AL14" s="14">
        <f>F4+G4+F9+G9+F14+G14+F19+G19+F24+G24+F29+G29+F34+G34+F39+G39+F44+G44+F49+G49+F54+G54+F59+G59+F64+G64+F74+G74</f>
        <v>1068</v>
      </c>
      <c r="AM14" s="118" t="s">
        <v>22</v>
      </c>
    </row>
    <row r="15" spans="1:40" hidden="1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1037.032875644089</v>
      </c>
      <c r="AL15" s="11">
        <f>AH78</f>
        <v>73427.41413710684</v>
      </c>
      <c r="AM15" s="11">
        <f>AL15*30%</f>
        <v>22028.224241132051</v>
      </c>
      <c r="AN15" s="2"/>
    </row>
    <row r="16" spans="1:40" hidden="1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0.24432594120282861</v>
      </c>
      <c r="AL16" s="11"/>
      <c r="AM16" s="11"/>
    </row>
    <row r="17" spans="1:40" hidden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hidden="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45299</v>
      </c>
      <c r="B19" s="21" t="s">
        <v>419</v>
      </c>
      <c r="C19" s="21" t="s">
        <v>177</v>
      </c>
      <c r="D19" s="44">
        <v>1905550</v>
      </c>
      <c r="E19" s="44" t="s">
        <v>652</v>
      </c>
      <c r="F19" s="21">
        <v>37</v>
      </c>
      <c r="G19" s="21"/>
      <c r="H19" s="22">
        <v>17900</v>
      </c>
      <c r="I19" s="33">
        <v>0.53</v>
      </c>
      <c r="J19" s="24">
        <f>IFERROR(K19/H19,"")</f>
        <v>0.52841787709497212</v>
      </c>
      <c r="K19" s="22">
        <f>12782/50*F19</f>
        <v>9458.68</v>
      </c>
      <c r="L19" s="21">
        <v>10</v>
      </c>
      <c r="M19" s="21">
        <v>16</v>
      </c>
      <c r="N19" s="21">
        <v>11</v>
      </c>
      <c r="O19" s="21"/>
      <c r="P19" s="21"/>
      <c r="Q19" s="21"/>
      <c r="R19" s="21"/>
      <c r="S19" s="21"/>
      <c r="T19" s="21"/>
      <c r="U19" s="25">
        <v>240</v>
      </c>
      <c r="V19" s="25">
        <f>H19*U19*I19/15</f>
        <v>151792</v>
      </c>
      <c r="W19" s="25">
        <v>249.62</v>
      </c>
      <c r="X19" s="25">
        <f>1220559.04/251*F19</f>
        <v>179923.04573705178</v>
      </c>
      <c r="Y19" s="25">
        <f>IF(B19="FRANCISCO CAMACHO",((F19*42)+(G19*42)),IF(B19="DANILO VIANA",((F19*60)+(G19*60)),0))</f>
        <v>2220</v>
      </c>
      <c r="Z19" s="264">
        <f>6953.6/50*F19</f>
        <v>5145.6639999999998</v>
      </c>
      <c r="AA19" s="25">
        <v>0</v>
      </c>
      <c r="AB19" s="264">
        <v>1110</v>
      </c>
      <c r="AC19" s="25">
        <f>F19*38</f>
        <v>1406</v>
      </c>
      <c r="AD19" s="25">
        <f>IF(F19="",G19*4.11,F19*4.11)</f>
        <v>152.07000000000002</v>
      </c>
      <c r="AE19" s="25">
        <f>2441.12/251*F19</f>
        <v>359.84637450199199</v>
      </c>
      <c r="AF19" s="25">
        <f>V19+Y19+Z19+AA19+AB19+AC19+AD19</f>
        <v>161825.734</v>
      </c>
      <c r="AG19" s="25">
        <f>IFERROR(IFERROR((H19*W19*J19/15)-AE19,""),"")</f>
        <v>157045.20039883137</v>
      </c>
      <c r="AH19" s="26">
        <f>IFERROR(AG19-AF19,0)</f>
        <v>-4780.5336011686304</v>
      </c>
      <c r="AI19" s="25">
        <f>(AH19/$AH$78)*$AL$30</f>
        <v>-675.66169207966573</v>
      </c>
      <c r="AJ19" s="25">
        <f>(AH19-AI19)*70%</f>
        <v>-2873.4103363622748</v>
      </c>
      <c r="AL19" s="178">
        <v>835</v>
      </c>
      <c r="AM19" s="6" t="s">
        <v>887</v>
      </c>
      <c r="AN19" s="174"/>
    </row>
    <row r="20" spans="1:40" hidden="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-129.20361084239542</v>
      </c>
      <c r="AL20" s="178">
        <v>321.04000000000002</v>
      </c>
      <c r="AM20" s="6" t="s">
        <v>888</v>
      </c>
      <c r="AN20" s="174"/>
    </row>
    <row r="21" spans="1:40" hidden="1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-3.0440494768563486E-2</v>
      </c>
      <c r="AL21" s="178">
        <v>100</v>
      </c>
      <c r="AM21" s="6" t="s">
        <v>889</v>
      </c>
      <c r="AN21" s="245"/>
    </row>
    <row r="22" spans="1:40" hidden="1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700</v>
      </c>
      <c r="AM22" s="6" t="s">
        <v>742</v>
      </c>
      <c r="AN22" s="174"/>
    </row>
    <row r="23" spans="1:40" hidden="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>
        <v>92.15</v>
      </c>
      <c r="AM23" s="6" t="s">
        <v>890</v>
      </c>
      <c r="AN23" s="174"/>
    </row>
    <row r="24" spans="1:40" x14ac:dyDescent="0.35">
      <c r="A24" s="20">
        <v>45299</v>
      </c>
      <c r="B24" s="21" t="s">
        <v>632</v>
      </c>
      <c r="C24" s="21" t="s">
        <v>875</v>
      </c>
      <c r="D24" s="44">
        <v>1905560</v>
      </c>
      <c r="E24" s="44" t="s">
        <v>652</v>
      </c>
      <c r="F24" s="21">
        <v>50</v>
      </c>
      <c r="G24" s="21"/>
      <c r="H24" s="22">
        <v>27562</v>
      </c>
      <c r="I24" s="33">
        <v>0.55000000000000004</v>
      </c>
      <c r="J24" s="24">
        <f>IFERROR(K24/H24,"")</f>
        <v>0.53504825484362528</v>
      </c>
      <c r="K24" s="22">
        <v>14747</v>
      </c>
      <c r="L24" s="21">
        <v>16</v>
      </c>
      <c r="M24" s="21">
        <v>28</v>
      </c>
      <c r="N24" s="21">
        <v>6</v>
      </c>
      <c r="O24" s="21"/>
      <c r="P24" s="21"/>
      <c r="Q24" s="21"/>
      <c r="R24" s="21"/>
      <c r="S24" s="21"/>
      <c r="T24" s="21"/>
      <c r="U24" s="25">
        <v>215</v>
      </c>
      <c r="V24" s="25">
        <f>H24*U24*I24/15</f>
        <v>217280.43333333338</v>
      </c>
      <c r="W24" s="25">
        <v>257.39</v>
      </c>
      <c r="X24" s="25">
        <f>1521318.29/304*F24</f>
        <v>250216.82401315789</v>
      </c>
      <c r="Y24" s="25">
        <f>IF(B24="FRANCISCO CAMACHO",((F24*42)+(G24*42)),IF(B24="DANILO VIANA",((F24*60)+(G24*60)),0))</f>
        <v>2100</v>
      </c>
      <c r="Z24" s="264">
        <v>20748.349999999999</v>
      </c>
      <c r="AA24" s="25">
        <v>0</v>
      </c>
      <c r="AB24" s="264">
        <v>1343.75</v>
      </c>
      <c r="AC24" s="25">
        <v>0</v>
      </c>
      <c r="AD24" s="25">
        <f>IF(F24="",G24*4.11,F24*4.11)</f>
        <v>205.50000000000003</v>
      </c>
      <c r="AE24" s="25">
        <f>3042.64/304*F24</f>
        <v>500.43421052631578</v>
      </c>
      <c r="AF24" s="25">
        <f>V24+Y24+Z24+AA24+AB24+AC24+AD24</f>
        <v>241678.03333333338</v>
      </c>
      <c r="AG24" s="25">
        <f>IFERROR(IFERROR((H24*W24*J24/15)-AE24,""),"")</f>
        <v>252548.25445614036</v>
      </c>
      <c r="AH24" s="26">
        <f>IFERROR(AG24-AF24,0)</f>
        <v>10870.221122806979</v>
      </c>
      <c r="AI24" s="25">
        <f>(AH24/$AH$78)*$AL$30</f>
        <v>1536.3540160706032</v>
      </c>
      <c r="AJ24" s="25">
        <f>(AH24-AI24)*70%</f>
        <v>6533.7069747154628</v>
      </c>
      <c r="AL24" s="178">
        <v>180</v>
      </c>
      <c r="AM24" s="6" t="s">
        <v>891</v>
      </c>
      <c r="AN24" s="174"/>
    </row>
    <row r="25" spans="1:40" hidden="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5"/>
      <c r="W25" s="21"/>
      <c r="X25" s="25"/>
      <c r="Y25" s="21"/>
      <c r="Z25" s="3"/>
      <c r="AA25" s="21"/>
      <c r="AB25" s="21"/>
      <c r="AC25" s="21"/>
      <c r="AD25" s="21"/>
      <c r="AE25" s="21"/>
      <c r="AF25" s="25"/>
      <c r="AG25" s="21"/>
      <c r="AH25" s="26">
        <f>IFERROR(AH24/F24,0)+IFERROR(AH24/G24,0)</f>
        <v>217.40442245613957</v>
      </c>
      <c r="AL25" s="178">
        <v>2620</v>
      </c>
      <c r="AM25" s="6" t="s">
        <v>892</v>
      </c>
      <c r="AN25" s="174"/>
    </row>
    <row r="26" spans="1:40" hidden="1" x14ac:dyDescent="0.35">
      <c r="A26" s="21"/>
      <c r="B26" s="21"/>
      <c r="C26" s="21"/>
      <c r="D26" s="21"/>
      <c r="E26" s="21"/>
      <c r="F26" s="21"/>
      <c r="G26" s="21"/>
      <c r="H26" s="22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5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4.3042155037720888E-2</v>
      </c>
      <c r="AL26" s="178">
        <v>5529.75</v>
      </c>
      <c r="AM26" s="6" t="s">
        <v>814</v>
      </c>
      <c r="AN26" s="174"/>
    </row>
    <row r="27" spans="1:40" hidden="1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hidden="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178"/>
      <c r="AM28" s="6"/>
      <c r="AN28" s="174"/>
    </row>
    <row r="29" spans="1:40" x14ac:dyDescent="0.35">
      <c r="A29" s="20">
        <v>45300</v>
      </c>
      <c r="B29" s="21" t="s">
        <v>419</v>
      </c>
      <c r="C29" s="21" t="s">
        <v>465</v>
      </c>
      <c r="D29" s="44">
        <v>1905560</v>
      </c>
      <c r="E29" s="44" t="s">
        <v>652</v>
      </c>
      <c r="F29" s="21">
        <v>50</v>
      </c>
      <c r="G29" s="21"/>
      <c r="H29" s="22">
        <v>29100</v>
      </c>
      <c r="I29" s="33">
        <v>0.53</v>
      </c>
      <c r="J29" s="24">
        <f>IFERROR(K29/H29,"")</f>
        <v>0.51929553264604811</v>
      </c>
      <c r="K29" s="22">
        <v>15111.5</v>
      </c>
      <c r="L29" s="21">
        <v>9</v>
      </c>
      <c r="M29" s="21">
        <v>21</v>
      </c>
      <c r="N29" s="21">
        <v>17</v>
      </c>
      <c r="O29" s="21">
        <v>3</v>
      </c>
      <c r="P29" s="21"/>
      <c r="Q29" s="21"/>
      <c r="R29" s="21"/>
      <c r="S29" s="21"/>
      <c r="T29" s="21"/>
      <c r="U29" s="25">
        <v>230</v>
      </c>
      <c r="V29" s="25">
        <f>H29*U29*I29/15</f>
        <v>236486</v>
      </c>
      <c r="W29" s="25">
        <v>257.39</v>
      </c>
      <c r="X29" s="25">
        <f>1521318.29/304*F29</f>
        <v>250216.82401315789</v>
      </c>
      <c r="Y29" s="25">
        <f>IF(B29="FRANCISCO CAMACHO",((F29*42)+(G29*42)),IF(B29="DANILO VIANA",((F29*60)+(G29*60)),0))</f>
        <v>3000</v>
      </c>
      <c r="Z29" s="264">
        <v>15566.8</v>
      </c>
      <c r="AA29" s="25">
        <v>0</v>
      </c>
      <c r="AB29" s="264">
        <v>1437.5</v>
      </c>
      <c r="AC29" s="25">
        <f>F29*38</f>
        <v>1900</v>
      </c>
      <c r="AD29" s="25">
        <f>IF(F29="",G29*4.11,F29*4.11)</f>
        <v>205.50000000000003</v>
      </c>
      <c r="AE29" s="25">
        <f>3042.64/304*F29</f>
        <v>500.43421052631578</v>
      </c>
      <c r="AF29" s="25">
        <f>V29+Y29+Z29+AA29+AB29+AC29+AD29</f>
        <v>258595.8</v>
      </c>
      <c r="AG29" s="25">
        <f>IFERROR(IFERROR((H29*W29*J29/15)-AE29,""),"")</f>
        <v>258802.83145614032</v>
      </c>
      <c r="AH29" s="26">
        <f>IFERROR(AG29-AF29,0)</f>
        <v>207.03145614033565</v>
      </c>
      <c r="AI29" s="25">
        <f>(AH29/$AH$78)*$AL$30</f>
        <v>29.261006331029865</v>
      </c>
      <c r="AJ29" s="25">
        <f>(AH29-AI29)*70%</f>
        <v>124.43931486651404</v>
      </c>
      <c r="AL29" s="178"/>
      <c r="AM29" s="6"/>
      <c r="AN29" s="174"/>
    </row>
    <row r="30" spans="1:40" hidden="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5"/>
      <c r="W30" s="21"/>
      <c r="X30" s="25"/>
      <c r="Y30" s="21"/>
      <c r="Z30" s="3"/>
      <c r="AA30" s="21"/>
      <c r="AB30" s="21"/>
      <c r="AC30" s="21"/>
      <c r="AD30" s="21"/>
      <c r="AE30" s="21"/>
      <c r="AF30" s="25"/>
      <c r="AG30" s="21"/>
      <c r="AH30" s="26">
        <f>IFERROR(AH29/F29,0)+IFERROR(AH29/G29,0)</f>
        <v>4.1406291228067129</v>
      </c>
      <c r="AL30" s="214">
        <f>SUM(AL19:AL29)</f>
        <v>10377.94</v>
      </c>
      <c r="AM30" s="189" t="s">
        <v>673</v>
      </c>
      <c r="AN30" s="191"/>
    </row>
    <row r="31" spans="1:40" hidden="1" x14ac:dyDescent="0.35">
      <c r="A31" s="21"/>
      <c r="B31" s="21"/>
      <c r="C31" s="21"/>
      <c r="D31" s="21"/>
      <c r="E31" s="21"/>
      <c r="F31" s="21"/>
      <c r="G31" s="21"/>
      <c r="H31" s="22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5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7.9995823451963106E-4</v>
      </c>
      <c r="AL31" s="57"/>
      <c r="AM31" s="6"/>
    </row>
    <row r="32" spans="1:40" hidden="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118" t="s">
        <v>22</v>
      </c>
      <c r="AN32" s="12"/>
    </row>
    <row r="33" spans="1:43" hidden="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247">
        <f>AL15-AL30</f>
        <v>63049.474137106838</v>
      </c>
      <c r="AM33" s="248">
        <f>AL33*30%</f>
        <v>18914.84224113205</v>
      </c>
      <c r="AN33" s="12"/>
    </row>
    <row r="34" spans="1:43" x14ac:dyDescent="0.35">
      <c r="A34" s="20">
        <v>45300</v>
      </c>
      <c r="B34" s="21" t="s">
        <v>881</v>
      </c>
      <c r="C34" s="119" t="s">
        <v>878</v>
      </c>
      <c r="D34" s="44">
        <v>1905560</v>
      </c>
      <c r="E34" s="44" t="s">
        <v>652</v>
      </c>
      <c r="F34" s="21">
        <v>50</v>
      </c>
      <c r="G34" s="21"/>
      <c r="H34" s="22">
        <v>28070</v>
      </c>
      <c r="I34" s="33">
        <v>0.53</v>
      </c>
      <c r="J34" s="24">
        <f>IFERROR(K34/H34,"")</f>
        <v>0.53407552547203418</v>
      </c>
      <c r="K34" s="22">
        <v>14991.5</v>
      </c>
      <c r="L34" s="21">
        <v>11</v>
      </c>
      <c r="M34" s="21">
        <v>31</v>
      </c>
      <c r="N34" s="21">
        <v>6</v>
      </c>
      <c r="O34" s="21">
        <v>2</v>
      </c>
      <c r="P34" s="21"/>
      <c r="Q34" s="21"/>
      <c r="R34" s="21"/>
      <c r="S34" s="21"/>
      <c r="T34" s="21"/>
      <c r="U34" s="25">
        <v>240</v>
      </c>
      <c r="V34" s="25">
        <f>H34*U34*I34/15</f>
        <v>238033.6</v>
      </c>
      <c r="W34" s="25">
        <v>257.39</v>
      </c>
      <c r="X34" s="25">
        <f>1521318.29/304*F34</f>
        <v>250216.82401315789</v>
      </c>
      <c r="Y34" s="25">
        <f>IF(B34="FRANCISCO CAMACHO",((F34*42)+(G34*42)),IF(B34="DANILO VIANA",((F34*60)+(G34*60)),0))</f>
        <v>0</v>
      </c>
      <c r="Z34" s="264">
        <f>4697.6</f>
        <v>4697.6000000000004</v>
      </c>
      <c r="AA34" s="25">
        <v>0</v>
      </c>
      <c r="AB34" s="264">
        <v>1500</v>
      </c>
      <c r="AC34" s="65">
        <v>0</v>
      </c>
      <c r="AD34" s="25">
        <f>IF(F34="",G34*4.11,F34*4.11)</f>
        <v>205.50000000000003</v>
      </c>
      <c r="AE34" s="25">
        <f>3042.64/304*F34</f>
        <v>500.43421052631578</v>
      </c>
      <c r="AF34" s="25">
        <f>V34+Y34+Z34+AA34+AB34+AC34+AD34</f>
        <v>244436.7</v>
      </c>
      <c r="AG34" s="25">
        <f>IFERROR(IFERROR((H34*W34*J34/15)-AE34,""),"")</f>
        <v>256743.71145614033</v>
      </c>
      <c r="AH34" s="26">
        <f>IFERROR(AG34-AF34,0)</f>
        <v>12307.011456140317</v>
      </c>
      <c r="AI34" s="25">
        <f>(AH34/$AH$78)*$AL$30</f>
        <v>1739.4242732373755</v>
      </c>
      <c r="AJ34" s="25">
        <f>(AH34-AI34)*70%</f>
        <v>7397.3110280320589</v>
      </c>
      <c r="AL34" s="57"/>
      <c r="AM34" s="249"/>
      <c r="AN34" s="246"/>
    </row>
    <row r="35" spans="1:43" hidden="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5"/>
      <c r="AC35" s="21"/>
      <c r="AD35" s="21"/>
      <c r="AE35" s="21"/>
      <c r="AF35" s="21"/>
      <c r="AG35" s="21"/>
      <c r="AH35" s="26">
        <f>IFERROR(AH34/F34,0)+IFERROR(AH34/G34,0)</f>
        <v>246.14022912280635</v>
      </c>
      <c r="AL35" s="57"/>
      <c r="AM35" s="248">
        <f>'06.01.24'!AM33</f>
        <v>-71941.021078465506</v>
      </c>
      <c r="AN35" s="284" t="s">
        <v>922</v>
      </c>
    </row>
    <row r="36" spans="1:43" hidden="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4.7935006416866925E-2</v>
      </c>
    </row>
    <row r="37" spans="1:43" hidden="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  <c r="AM37" s="285">
        <f>AM33+(AM35)</f>
        <v>-53026.178837333457</v>
      </c>
      <c r="AN37" s="286" t="s">
        <v>923</v>
      </c>
      <c r="AO37" s="287"/>
      <c r="AP37" s="287"/>
      <c r="AQ37" s="287"/>
    </row>
    <row r="38" spans="1:43" hidden="1" x14ac:dyDescent="0.35">
      <c r="A38" s="37" t="s">
        <v>1</v>
      </c>
      <c r="B38" s="37" t="s">
        <v>2</v>
      </c>
      <c r="C38" s="37" t="s">
        <v>110</v>
      </c>
      <c r="D38" s="37" t="s">
        <v>66</v>
      </c>
      <c r="E38" s="37" t="s">
        <v>638</v>
      </c>
      <c r="F38" s="37" t="s">
        <v>137</v>
      </c>
      <c r="G38" s="37" t="s">
        <v>138</v>
      </c>
      <c r="H38" s="37" t="s">
        <v>4</v>
      </c>
      <c r="I38" s="37" t="s">
        <v>5</v>
      </c>
      <c r="J38" s="37" t="s">
        <v>6</v>
      </c>
      <c r="K38" s="37" t="s">
        <v>7</v>
      </c>
      <c r="L38" s="37" t="s">
        <v>279</v>
      </c>
      <c r="M38" s="37" t="s">
        <v>280</v>
      </c>
      <c r="N38" s="37" t="s">
        <v>281</v>
      </c>
      <c r="O38" s="37" t="s">
        <v>282</v>
      </c>
      <c r="P38" s="37" t="s">
        <v>283</v>
      </c>
      <c r="Q38" s="37" t="s">
        <v>284</v>
      </c>
      <c r="R38" s="37" t="s">
        <v>904</v>
      </c>
      <c r="S38" s="37" t="s">
        <v>285</v>
      </c>
      <c r="T38" s="37" t="s">
        <v>289</v>
      </c>
      <c r="U38" s="37" t="s">
        <v>8</v>
      </c>
      <c r="V38" s="37" t="s">
        <v>9</v>
      </c>
      <c r="W38" s="37" t="s">
        <v>10</v>
      </c>
      <c r="X38" s="37" t="s">
        <v>100</v>
      </c>
      <c r="Y38" s="37" t="s">
        <v>106</v>
      </c>
      <c r="Z38" s="37" t="s">
        <v>12</v>
      </c>
      <c r="AA38" s="37" t="s">
        <v>258</v>
      </c>
      <c r="AB38" s="37" t="s">
        <v>13</v>
      </c>
      <c r="AC38" s="37" t="s">
        <v>74</v>
      </c>
      <c r="AD38" s="37" t="s">
        <v>21</v>
      </c>
      <c r="AE38" s="37" t="s">
        <v>14</v>
      </c>
      <c r="AF38" s="37" t="s">
        <v>15</v>
      </c>
      <c r="AG38" s="37" t="s">
        <v>16</v>
      </c>
      <c r="AH38" s="15" t="s">
        <v>17</v>
      </c>
      <c r="AI38" s="14" t="s">
        <v>679</v>
      </c>
      <c r="AJ38" s="14" t="s">
        <v>678</v>
      </c>
    </row>
    <row r="39" spans="1:43" x14ac:dyDescent="0.35">
      <c r="A39" s="38">
        <v>45300</v>
      </c>
      <c r="B39" s="39" t="s">
        <v>632</v>
      </c>
      <c r="C39" s="39" t="s">
        <v>697</v>
      </c>
      <c r="D39" s="45">
        <v>1905560</v>
      </c>
      <c r="E39" s="45" t="s">
        <v>652</v>
      </c>
      <c r="F39" s="39">
        <v>100</v>
      </c>
      <c r="G39" s="39"/>
      <c r="H39" s="40">
        <v>52468</v>
      </c>
      <c r="I39" s="53">
        <v>0.54</v>
      </c>
      <c r="J39" s="42">
        <f>IFERROR(K39/H39,"")</f>
        <v>0.55693946786612791</v>
      </c>
      <c r="K39" s="40">
        <v>29221.5</v>
      </c>
      <c r="L39" s="39">
        <v>12</v>
      </c>
      <c r="M39" s="39">
        <v>49</v>
      </c>
      <c r="N39" s="39">
        <v>33</v>
      </c>
      <c r="O39" s="39">
        <v>6</v>
      </c>
      <c r="P39" s="39"/>
      <c r="Q39" s="39"/>
      <c r="R39" s="39"/>
      <c r="S39" s="39"/>
      <c r="T39" s="39"/>
      <c r="U39" s="43">
        <v>220</v>
      </c>
      <c r="V39" s="43">
        <f>H39*U39*I39/15</f>
        <v>415546.56</v>
      </c>
      <c r="W39" s="43">
        <v>257.39</v>
      </c>
      <c r="X39" s="43">
        <f>1521318.29/304*F39</f>
        <v>500433.64802631579</v>
      </c>
      <c r="Y39" s="43">
        <f>IF(B39="FRANCISCO CAMACHO",((F39*42)+(G39*42)),IF(B39="DANILO VIANA",((F39*60)+(G39*60)),0))</f>
        <v>4200</v>
      </c>
      <c r="Z39" s="264">
        <v>39356.410000000003</v>
      </c>
      <c r="AA39" s="43">
        <v>0</v>
      </c>
      <c r="AB39" s="264">
        <v>2750</v>
      </c>
      <c r="AC39" s="43">
        <v>0</v>
      </c>
      <c r="AD39" s="43">
        <f>IF(F39="",G39*4.11,F39*4.11)</f>
        <v>411.00000000000006</v>
      </c>
      <c r="AE39" s="43">
        <f>3042.64/304*F39</f>
        <v>1000.8684210526316</v>
      </c>
      <c r="AF39" s="43">
        <f>V39+Y39+Z39+AA39+AB39+AC39+AD39</f>
        <v>462263.97</v>
      </c>
      <c r="AG39" s="43">
        <f>IFERROR(IFERROR((H39*W39*J39/15)-AE39,""),"")</f>
        <v>500420.59057894733</v>
      </c>
      <c r="AH39" s="26">
        <f>IFERROR(AG39-AF39,0)</f>
        <v>38156.620578947361</v>
      </c>
      <c r="AI39" s="25">
        <f>(AH39/$AH$78)*$AL$30</f>
        <v>5392.9056827696095</v>
      </c>
      <c r="AJ39" s="25">
        <f>(AH39-AI39)*70%</f>
        <v>22934.600427324422</v>
      </c>
    </row>
    <row r="40" spans="1:43" hidden="1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5"/>
      <c r="AC40" s="21"/>
      <c r="AD40" s="21"/>
      <c r="AE40" s="21"/>
      <c r="AF40" s="21"/>
      <c r="AG40" s="21"/>
      <c r="AH40" s="26">
        <f>IFERROR(AH39/F39,0)+IFERROR(AH39/G39,0)</f>
        <v>381.5662057894736</v>
      </c>
    </row>
    <row r="41" spans="1:43" hidden="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7.6249101850112022E-2</v>
      </c>
    </row>
    <row r="42" spans="1:43" hidden="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3" hidden="1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3" x14ac:dyDescent="0.35">
      <c r="A44" s="20">
        <v>45301</v>
      </c>
      <c r="B44" s="21" t="s">
        <v>419</v>
      </c>
      <c r="C44" s="21" t="s">
        <v>404</v>
      </c>
      <c r="D44" s="44">
        <v>1910146</v>
      </c>
      <c r="E44" s="44" t="s">
        <v>652</v>
      </c>
      <c r="F44" s="21"/>
      <c r="G44" s="21">
        <v>65</v>
      </c>
      <c r="H44" s="22">
        <v>24900</v>
      </c>
      <c r="I44" s="33">
        <v>0.5</v>
      </c>
      <c r="J44" s="24">
        <f>IFERROR(K44/H44,"")</f>
        <v>0.49730923694779117</v>
      </c>
      <c r="K44" s="22">
        <v>12383</v>
      </c>
      <c r="L44" s="21">
        <v>64</v>
      </c>
      <c r="M44" s="21"/>
      <c r="N44" s="21">
        <v>1</v>
      </c>
      <c r="O44" s="21"/>
      <c r="P44" s="21"/>
      <c r="Q44" s="21"/>
      <c r="R44" s="21"/>
      <c r="S44" s="21"/>
      <c r="T44" s="21"/>
      <c r="U44" s="25">
        <v>230</v>
      </c>
      <c r="V44" s="25">
        <f>H44*U44*I44/15</f>
        <v>190900</v>
      </c>
      <c r="W44" s="25">
        <v>236.34</v>
      </c>
      <c r="X44" s="25">
        <v>195106.49</v>
      </c>
      <c r="Y44" s="25">
        <f>IF(B44="FRANCISCO CAMACHO",((F44*42)+(G44*42)),IF(B44="DANILO VIANA",((F44*60)+(G44*60)),0))</f>
        <v>3900</v>
      </c>
      <c r="Z44" s="264">
        <v>11238.2</v>
      </c>
      <c r="AA44" s="25">
        <v>0</v>
      </c>
      <c r="AB44" s="264">
        <v>1868.75</v>
      </c>
      <c r="AC44" s="25">
        <f>G44*35</f>
        <v>2275</v>
      </c>
      <c r="AD44" s="25">
        <f>IF(F44="",G44*4.11,F44*4.11)</f>
        <v>267.15000000000003</v>
      </c>
      <c r="AE44" s="25">
        <v>390.21</v>
      </c>
      <c r="AF44" s="25">
        <f>V44+Y44+Z44+AA44+AB44+AC44+AD44</f>
        <v>210449.1</v>
      </c>
      <c r="AG44" s="25">
        <f>IFERROR(IFERROR((H44*W44*J44/15)-AE44,""),"")</f>
        <v>194716.33800000002</v>
      </c>
      <c r="AH44" s="26">
        <f>IFERROR(AG44-AF44,0)</f>
        <v>-15732.761999999988</v>
      </c>
      <c r="AI44" s="25">
        <f>(AH44/$AH$78)*$AL$30</f>
        <v>-2223.6062918599891</v>
      </c>
      <c r="AJ44" s="25">
        <f>(AH44-AI44)*70%</f>
        <v>-9456.4089956979988</v>
      </c>
    </row>
    <row r="45" spans="1:43" hidden="1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5"/>
      <c r="AC45" s="21"/>
      <c r="AD45" s="21"/>
      <c r="AE45" s="21"/>
      <c r="AF45" s="21"/>
      <c r="AG45" s="21"/>
      <c r="AH45" s="26">
        <f>IFERROR(AH44/F44,0)+IFERROR(AH44/G44,0)</f>
        <v>-242.04249230769213</v>
      </c>
    </row>
    <row r="46" spans="1:43" hidden="1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-8.079836628809231E-2</v>
      </c>
    </row>
    <row r="47" spans="1:43" hidden="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3" hidden="1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45301</v>
      </c>
      <c r="B49" s="21" t="s">
        <v>419</v>
      </c>
      <c r="C49" s="21" t="s">
        <v>325</v>
      </c>
      <c r="D49" s="44">
        <v>1905650</v>
      </c>
      <c r="E49" s="44" t="s">
        <v>652</v>
      </c>
      <c r="F49" s="21">
        <v>149</v>
      </c>
      <c r="G49" s="21"/>
      <c r="H49" s="22">
        <f>86370/150*F49</f>
        <v>85794.2</v>
      </c>
      <c r="I49" s="33">
        <v>0.55000000000000004</v>
      </c>
      <c r="J49" s="24">
        <f>IFERROR(K49/H49,"")</f>
        <v>0.52667604570005899</v>
      </c>
      <c r="K49" s="22">
        <f>(30787+14398.75)</f>
        <v>45185.75</v>
      </c>
      <c r="L49" s="21">
        <v>6</v>
      </c>
      <c r="M49" s="21">
        <v>21</v>
      </c>
      <c r="N49" s="21">
        <v>86</v>
      </c>
      <c r="O49" s="21">
        <v>35</v>
      </c>
      <c r="P49" s="21">
        <v>1</v>
      </c>
      <c r="Q49" s="21"/>
      <c r="R49" s="21"/>
      <c r="S49" s="21"/>
      <c r="T49" s="21"/>
      <c r="U49" s="25">
        <v>241</v>
      </c>
      <c r="V49" s="25">
        <f>H49*U49*I49/15</f>
        <v>758134.74733333336</v>
      </c>
      <c r="W49" s="25">
        <v>252.6</v>
      </c>
      <c r="X49" s="25">
        <f>1003386.61/198*F49</f>
        <v>755073.76207070705</v>
      </c>
      <c r="Y49" s="25">
        <f>IF(B49="FRANCISCO CAMACHO",((F49*42)+(G49*42)),IF(B49="DANILO VIANA",((F49*60)+(G49*60)),0))</f>
        <v>8940</v>
      </c>
      <c r="Z49" s="264">
        <f>(5851.6+5717.4+5897.2)/150*F49</f>
        <v>17349.758666666665</v>
      </c>
      <c r="AA49" s="25">
        <v>0</v>
      </c>
      <c r="AB49" s="264">
        <f>4518.75/150*F49</f>
        <v>4488.625</v>
      </c>
      <c r="AC49" s="25">
        <f>F49*38</f>
        <v>5662</v>
      </c>
      <c r="AD49" s="25">
        <f>IF(F49="",G49*4.11,F49*4.11)</f>
        <v>612.3900000000001</v>
      </c>
      <c r="AE49" s="25">
        <f>2006.78/198*F49</f>
        <v>1510.1526262626262</v>
      </c>
      <c r="AF49" s="25">
        <f>V49+Y49+Z49+AA49+AB49+AC49+AD49</f>
        <v>795187.52100000007</v>
      </c>
      <c r="AG49" s="25">
        <f>IFERROR(IFERROR((H49*W49*J49/15)-AE49,""),"")</f>
        <v>759417.87737373728</v>
      </c>
      <c r="AH49" s="26">
        <f>IFERROR(AG49-AF49,0)</f>
        <v>-35769.643626262783</v>
      </c>
      <c r="AI49" s="25">
        <f>(AH49/$AH$78)*$AL$30</f>
        <v>-5055.5398108067448</v>
      </c>
      <c r="AJ49" s="25">
        <f>(AH49-AI49)*70%</f>
        <v>-21499.872670819226</v>
      </c>
    </row>
    <row r="50" spans="1:39" hidden="1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5"/>
      <c r="AC50" s="21"/>
      <c r="AD50" s="21"/>
      <c r="AE50" s="21"/>
      <c r="AF50" s="21"/>
      <c r="AG50" s="21"/>
      <c r="AH50" s="26">
        <f>IFERROR(AH49/F49,0)+IFERROR(AH49/G49,0)</f>
        <v>-240.0647223239113</v>
      </c>
    </row>
    <row r="51" spans="1:39" hidden="1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-4.7101397915418355E-2</v>
      </c>
    </row>
    <row r="52" spans="1:39" hidden="1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3" spans="1:39" hidden="1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x14ac:dyDescent="0.35">
      <c r="A54" s="20">
        <v>45301</v>
      </c>
      <c r="B54" s="21" t="s">
        <v>419</v>
      </c>
      <c r="C54" s="21" t="s">
        <v>325</v>
      </c>
      <c r="D54" s="44">
        <v>1905662</v>
      </c>
      <c r="E54" s="44" t="s">
        <v>652</v>
      </c>
      <c r="F54" s="21">
        <v>1</v>
      </c>
      <c r="G54" s="21"/>
      <c r="H54" s="22">
        <f>86370/150*F54</f>
        <v>575.79999999999995</v>
      </c>
      <c r="I54" s="33">
        <v>0.55000000000000004</v>
      </c>
      <c r="J54" s="24">
        <f>IFERROR(K54/H54,"")</f>
        <v>0.49902744008336225</v>
      </c>
      <c r="K54" s="22">
        <v>287.33999999999997</v>
      </c>
      <c r="L54" s="21">
        <v>1</v>
      </c>
      <c r="M54" s="21"/>
      <c r="N54" s="21"/>
      <c r="O54" s="21"/>
      <c r="P54" s="21"/>
      <c r="Q54" s="21"/>
      <c r="R54" s="21"/>
      <c r="S54" s="21"/>
      <c r="T54" s="21"/>
      <c r="U54" s="25">
        <v>241</v>
      </c>
      <c r="V54" s="25">
        <f>H54*U54*I54/15</f>
        <v>5088.1526666666659</v>
      </c>
      <c r="W54" s="25">
        <v>257.97000000000003</v>
      </c>
      <c r="X54" s="25">
        <f>1240355.99/251*F54</f>
        <v>4941.6573306772907</v>
      </c>
      <c r="Y54" s="25">
        <f>IF(B54="FRANCISCO CAMACHO",((F54*42)+(G54*42)),IF(B54="DANILO VIANA",((F54*60)+(G54*60)),0))</f>
        <v>60</v>
      </c>
      <c r="Z54" s="264">
        <f>(5851.6+5717.4+5897.2)/150*F54</f>
        <v>116.44133333333333</v>
      </c>
      <c r="AA54" s="25">
        <v>0</v>
      </c>
      <c r="AB54" s="264">
        <f>4518.75/150*F54</f>
        <v>30.125</v>
      </c>
      <c r="AC54" s="25">
        <f>F54*38</f>
        <v>38</v>
      </c>
      <c r="AD54" s="25">
        <f>IF(F54="",G54*4.11,F54*4.11)</f>
        <v>4.1100000000000003</v>
      </c>
      <c r="AE54" s="25">
        <f>2480.71/251*F54</f>
        <v>9.8833067729083659</v>
      </c>
      <c r="AF54" s="25">
        <f>V54+Y54+Z54+AA54+AB54+AC54+AD54</f>
        <v>5336.8289999999988</v>
      </c>
      <c r="AG54" s="25">
        <f>IFERROR(IFERROR((H54*W54*J54/15)-AE54,""),"")</f>
        <v>4931.7900132270925</v>
      </c>
      <c r="AH54" s="26">
        <f>IFERROR(AG54-AF54,0)</f>
        <v>-405.03898677290636</v>
      </c>
      <c r="AI54" s="25">
        <f>(AH54/$AH$78)*$AL$30</f>
        <v>-57.246606758357508</v>
      </c>
      <c r="AJ54" s="25">
        <f>(AH54-AI54)*70%</f>
        <v>-243.45466601018416</v>
      </c>
      <c r="AL54" s="6"/>
      <c r="AM54" s="6"/>
    </row>
    <row r="55" spans="1:39" hidden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5"/>
      <c r="AC55" s="21"/>
      <c r="AD55" s="21"/>
      <c r="AE55" s="21"/>
      <c r="AF55" s="21"/>
      <c r="AG55" s="21"/>
      <c r="AH55" s="26">
        <f>IFERROR(AH54/F54,0)+IFERROR(AH54/G54,0)</f>
        <v>-405.03898677290636</v>
      </c>
    </row>
    <row r="56" spans="1:39" hidden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-8.2128189903988041E-2</v>
      </c>
    </row>
    <row r="57" spans="1:39" hidden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hidden="1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45301</v>
      </c>
      <c r="B59" s="21" t="s">
        <v>419</v>
      </c>
      <c r="C59" s="21" t="s">
        <v>879</v>
      </c>
      <c r="D59" s="44">
        <v>1905650</v>
      </c>
      <c r="E59" s="44" t="s">
        <v>652</v>
      </c>
      <c r="F59" s="21">
        <v>49</v>
      </c>
      <c r="G59" s="21"/>
      <c r="H59" s="22">
        <f>52665/100*F59</f>
        <v>25805.85</v>
      </c>
      <c r="I59" s="33">
        <v>0.54</v>
      </c>
      <c r="J59" s="24">
        <f>IFERROR(K59/H59,"")</f>
        <v>0.55796457004903921</v>
      </c>
      <c r="K59" s="22">
        <f>28797.5/98*F59</f>
        <v>14398.749999999998</v>
      </c>
      <c r="L59" s="21">
        <v>10</v>
      </c>
      <c r="M59" s="21">
        <v>22</v>
      </c>
      <c r="N59" s="21">
        <v>17</v>
      </c>
      <c r="O59" s="21"/>
      <c r="P59" s="21"/>
      <c r="Q59" s="21"/>
      <c r="R59" s="21"/>
      <c r="S59" s="21"/>
      <c r="T59" s="21"/>
      <c r="U59" s="25">
        <v>235</v>
      </c>
      <c r="V59" s="25">
        <f>H59*U59*I59/15</f>
        <v>218317.49100000001</v>
      </c>
      <c r="W59" s="25">
        <v>252.6</v>
      </c>
      <c r="X59" s="25">
        <f>1003386.61/198*F59</f>
        <v>248312.84792929291</v>
      </c>
      <c r="Y59" s="25">
        <f>IF(B59="FRANCISCO CAMACHO",((F59*42)+(G59*42)),IF(B59="DANILO VIANA",((F59*60)+(G59*60)),0))</f>
        <v>2940</v>
      </c>
      <c r="Z59" s="264">
        <v>10487.6</v>
      </c>
      <c r="AA59" s="25">
        <v>0</v>
      </c>
      <c r="AB59" s="264">
        <f>2937.5/100*F59</f>
        <v>1439.375</v>
      </c>
      <c r="AC59" s="25">
        <f>F59*38</f>
        <v>1862</v>
      </c>
      <c r="AD59" s="25">
        <f>IF(F59="",G59*4.11,F59*4.11)</f>
        <v>201.39000000000001</v>
      </c>
      <c r="AE59" s="25">
        <f>2006.78/198*F59</f>
        <v>496.62737373737377</v>
      </c>
      <c r="AF59" s="25">
        <f>V59+Y59+Z59+AA59+AB59+AC59+AD59</f>
        <v>235247.85600000003</v>
      </c>
      <c r="AG59" s="25">
        <f>IFERROR(IFERROR((H59*W59*J59/15)-AE59,""),"")</f>
        <v>241978.32262626255</v>
      </c>
      <c r="AH59" s="26">
        <f>IFERROR(AG59-AF59,0)</f>
        <v>6730.4666262625251</v>
      </c>
      <c r="AI59" s="25">
        <f>(AH59/$AH$78)*$AL$30</f>
        <v>951.2575056630892</v>
      </c>
      <c r="AJ59" s="25">
        <f>(AH59-AI59)*70%</f>
        <v>4045.4463844196048</v>
      </c>
    </row>
    <row r="60" spans="1:39" hidden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137.35646176045969</v>
      </c>
    </row>
    <row r="61" spans="1:39" hidden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2.7814337058025582E-2</v>
      </c>
    </row>
    <row r="62" spans="1:39" hidden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hidden="1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>
        <v>45301</v>
      </c>
      <c r="B64" s="21" t="s">
        <v>751</v>
      </c>
      <c r="C64" s="21" t="s">
        <v>880</v>
      </c>
      <c r="D64" s="44">
        <v>1905560</v>
      </c>
      <c r="E64" s="44" t="s">
        <v>652</v>
      </c>
      <c r="F64" s="21">
        <v>54</v>
      </c>
      <c r="G64" s="21"/>
      <c r="H64" s="22">
        <v>26670</v>
      </c>
      <c r="I64" s="33">
        <v>0.55000000000000004</v>
      </c>
      <c r="J64" s="24">
        <f>IFERROR(K64/H64,"")</f>
        <v>0.54692538432695914</v>
      </c>
      <c r="K64" s="22">
        <v>14586.5</v>
      </c>
      <c r="L64" s="21">
        <v>35</v>
      </c>
      <c r="M64" s="21">
        <v>16</v>
      </c>
      <c r="N64" s="21">
        <v>1</v>
      </c>
      <c r="O64" s="21">
        <v>1</v>
      </c>
      <c r="P64" s="21">
        <v>1</v>
      </c>
      <c r="Q64" s="21"/>
      <c r="R64" s="21"/>
      <c r="S64" s="21"/>
      <c r="T64" s="21"/>
      <c r="U64" s="25">
        <v>248</v>
      </c>
      <c r="V64" s="25">
        <f>H64*U64*I64/15</f>
        <v>242519.20000000004</v>
      </c>
      <c r="W64" s="25">
        <v>257.39</v>
      </c>
      <c r="X64" s="25">
        <f>1521318.29/304*F64</f>
        <v>270234.16993421054</v>
      </c>
      <c r="Y64" s="25">
        <f>IF(B64="FRANCISCO CAMACHO",((F64*42)+(G64*42)),IF(B64="DANILO VIANA",((F64*60)+(G64*60)),0))</f>
        <v>0</v>
      </c>
      <c r="Z64" s="264">
        <v>1612.8</v>
      </c>
      <c r="AA64" s="25">
        <v>0</v>
      </c>
      <c r="AB64" s="264">
        <v>1674</v>
      </c>
      <c r="AC64" s="25">
        <v>0</v>
      </c>
      <c r="AD64" s="25">
        <f>IF(F64="",G64*4.11,F64*4.11)</f>
        <v>221.94000000000003</v>
      </c>
      <c r="AE64" s="25">
        <f>3042.64/304*F64</f>
        <v>540.46894736842103</v>
      </c>
      <c r="AF64" s="25">
        <f>V64+Y64+Z64+AA64+AB64+AC64+AD64</f>
        <v>246027.94000000003</v>
      </c>
      <c r="AG64" s="25">
        <f>IFERROR(IFERROR((H64*W64*J64/15)-AE64,""),"")</f>
        <v>249754.14671929824</v>
      </c>
      <c r="AH64" s="26">
        <f>IFERROR(AG64-AF64,0)</f>
        <v>3726.2067192982067</v>
      </c>
      <c r="AI64" s="25">
        <f>(AH64/$AH$78)*$AL$30</f>
        <v>526.6473048916946</v>
      </c>
      <c r="AJ64" s="25">
        <f>(AH64-AI64)*70%</f>
        <v>2239.6915900845584</v>
      </c>
    </row>
    <row r="65" spans="1:36" hidden="1" x14ac:dyDescent="0.35">
      <c r="A65" s="20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69.003828135151977</v>
      </c>
    </row>
    <row r="66" spans="1:36" hidden="1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1.4919498908204862E-2</v>
      </c>
    </row>
    <row r="67" spans="1:36" hidden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hidden="1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45303</v>
      </c>
      <c r="B69" s="21" t="s">
        <v>632</v>
      </c>
      <c r="C69" s="21" t="s">
        <v>633</v>
      </c>
      <c r="D69" s="44">
        <v>1905662</v>
      </c>
      <c r="E69" s="44" t="s">
        <v>652</v>
      </c>
      <c r="F69" s="21">
        <v>250</v>
      </c>
      <c r="G69" s="21"/>
      <c r="H69" s="22">
        <v>131460</v>
      </c>
      <c r="I69" s="33">
        <v>0.55000000000000004</v>
      </c>
      <c r="J69" s="24">
        <f>IFERROR(K69/H69,"")</f>
        <v>0.54643998174349617</v>
      </c>
      <c r="K69" s="22">
        <v>71835</v>
      </c>
      <c r="L69" s="21">
        <v>38</v>
      </c>
      <c r="M69" s="21">
        <v>142</v>
      </c>
      <c r="N69" s="21">
        <v>52</v>
      </c>
      <c r="O69" s="21">
        <v>17</v>
      </c>
      <c r="P69" s="21">
        <v>1</v>
      </c>
      <c r="Q69" s="21"/>
      <c r="R69" s="21"/>
      <c r="S69" s="21"/>
      <c r="T69" s="21"/>
      <c r="U69" s="25">
        <v>220</v>
      </c>
      <c r="V69" s="25">
        <f>H69*U69*I69/15</f>
        <v>1060444.0000000002</v>
      </c>
      <c r="W69" s="25">
        <v>257.97000000000003</v>
      </c>
      <c r="X69" s="25">
        <f>1240355.99/251*F69</f>
        <v>1235414.3326693226</v>
      </c>
      <c r="Y69" s="25">
        <f>IF(B69="FRANCISCO CAMACHO",((F69*42)+(G69*42)),IF(B69="DANILO VIANA",((F69*60)+(G69*60)),0))</f>
        <v>10500</v>
      </c>
      <c r="Z69" s="264">
        <f>50636.32+50678.06+25479</f>
        <v>126793.38</v>
      </c>
      <c r="AA69" s="25">
        <v>0</v>
      </c>
      <c r="AB69" s="264">
        <v>6875</v>
      </c>
      <c r="AC69" s="25">
        <v>0</v>
      </c>
      <c r="AD69" s="25">
        <f>IF(F69="",G69*4.11,F69*4.11)</f>
        <v>1027.5</v>
      </c>
      <c r="AE69" s="25">
        <f>2480.71/251*F69</f>
        <v>2470.8266932270913</v>
      </c>
      <c r="AF69" s="25">
        <f>V69+Y69+Z69+AA69+AB69+AC69+AD69</f>
        <v>1205639.8800000004</v>
      </c>
      <c r="AG69" s="25">
        <f>IFERROR(IFERROR((H69*W69*J69/15)-AE69,""),"")</f>
        <v>1232947.5033067733</v>
      </c>
      <c r="AH69" s="26">
        <f>IFERROR(AG69-AF69,0)</f>
        <v>27307.623306772904</v>
      </c>
      <c r="AI69" s="25">
        <f>(AH69/$AH$78)*$AL$30</f>
        <v>3859.5513617178449</v>
      </c>
      <c r="AJ69" s="25">
        <f>(AH69-AI69)*70%</f>
        <v>16413.650361538541</v>
      </c>
    </row>
    <row r="70" spans="1:36" hidden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109.23049322709161</v>
      </c>
    </row>
    <row r="71" spans="1:36" hidden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2.2148244944357874E-2</v>
      </c>
    </row>
    <row r="72" spans="1:36" hidden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hidden="1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45304</v>
      </c>
      <c r="B74" s="21" t="s">
        <v>632</v>
      </c>
      <c r="C74" s="21" t="s">
        <v>633</v>
      </c>
      <c r="D74" s="44">
        <v>1905665</v>
      </c>
      <c r="E74" s="44" t="s">
        <v>652</v>
      </c>
      <c r="F74" s="21">
        <v>200</v>
      </c>
      <c r="G74" s="21"/>
      <c r="H74" s="22">
        <v>105060</v>
      </c>
      <c r="I74" s="33">
        <v>0.55000000000000004</v>
      </c>
      <c r="J74" s="24">
        <f>IFERROR(K74/H74,"")</f>
        <v>0.54480296973158193</v>
      </c>
      <c r="K74" s="22">
        <v>57237</v>
      </c>
      <c r="L74" s="21">
        <v>36</v>
      </c>
      <c r="M74" s="21">
        <v>113</v>
      </c>
      <c r="N74" s="21">
        <v>38</v>
      </c>
      <c r="O74" s="21">
        <v>10</v>
      </c>
      <c r="P74" s="21">
        <v>3</v>
      </c>
      <c r="Q74" s="21"/>
      <c r="R74" s="21"/>
      <c r="S74" s="21"/>
      <c r="T74" s="21"/>
      <c r="U74" s="25">
        <v>220</v>
      </c>
      <c r="V74" s="25">
        <f>H74*U74*I74/15</f>
        <v>847484.00000000012</v>
      </c>
      <c r="W74" s="25">
        <v>257.24</v>
      </c>
      <c r="X74" s="25">
        <v>981572.43</v>
      </c>
      <c r="Y74" s="25">
        <f>IF(B74="FRANCISCO CAMACHO",((F74*42)+(G74*42)),IF(B74="DANILO VIANA",((F74*60)+(G74*60)),0))</f>
        <v>8400</v>
      </c>
      <c r="Z74" s="264">
        <f>76359.28+25318.16</f>
        <v>101677.44</v>
      </c>
      <c r="AA74" s="25">
        <v>0</v>
      </c>
      <c r="AB74" s="264">
        <v>5500</v>
      </c>
      <c r="AC74" s="25">
        <v>0</v>
      </c>
      <c r="AD74" s="25">
        <f>IF(F74="",G74*4.11,F74*4.11)</f>
        <v>822.00000000000011</v>
      </c>
      <c r="AE74" s="25">
        <v>1963.15</v>
      </c>
      <c r="AF74" s="25">
        <f>V74+Y74+Z74+AA74+AB74+AC74+AD74</f>
        <v>963883.44000000018</v>
      </c>
      <c r="AG74" s="25">
        <f>IFERROR(IFERROR((H74*W74*J74/15)-AE74,""),"")</f>
        <v>979613.24200000009</v>
      </c>
      <c r="AH74" s="26">
        <f>IFERROR(AG74-AF74,0)</f>
        <v>15729.801999999909</v>
      </c>
      <c r="AI74" s="25">
        <f>(AH74/$AH$78)*$AL$30</f>
        <v>2223.1879371792229</v>
      </c>
      <c r="AJ74" s="25">
        <f>(AH74-AI74)*70%</f>
        <v>9454.6298439744787</v>
      </c>
    </row>
    <row r="75" spans="1:36" hidden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78.649009999999549</v>
      </c>
    </row>
    <row r="76" spans="1:36" hidden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1.605715534008666E-2</v>
      </c>
    </row>
    <row r="77" spans="1:36" ht="15" thickBot="1" x14ac:dyDescent="0.4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ht="16" thickBot="1" x14ac:dyDescent="0.4">
      <c r="A78" s="377" t="s">
        <v>894</v>
      </c>
      <c r="B78" s="378"/>
      <c r="C78" s="378"/>
      <c r="D78" s="378"/>
      <c r="E78" s="378"/>
      <c r="F78" s="163">
        <f>SUM(F4:F77)</f>
        <v>1253</v>
      </c>
      <c r="G78" s="163">
        <f>SUM(G4:G77)</f>
        <v>65</v>
      </c>
      <c r="H78" s="30"/>
      <c r="I78" s="30"/>
      <c r="J78" s="30"/>
      <c r="K78" s="30"/>
      <c r="L78" s="46"/>
      <c r="M78" s="46"/>
      <c r="N78" s="46"/>
      <c r="O78" s="46"/>
      <c r="P78" s="46"/>
      <c r="Q78" s="46"/>
      <c r="R78" s="46"/>
      <c r="S78" s="46"/>
      <c r="T78" s="46"/>
      <c r="U78" s="30"/>
      <c r="V78" s="31">
        <f>SUM(V4:V77)</f>
        <v>5740645.3176666675</v>
      </c>
      <c r="W78" s="31"/>
      <c r="X78" s="31"/>
      <c r="Y78" s="31">
        <f t="shared" ref="Y78:AG78" si="0">SUM(Y4:Y77)</f>
        <v>55440</v>
      </c>
      <c r="Z78" s="31">
        <f t="shared" si="0"/>
        <v>445788.08444444445</v>
      </c>
      <c r="AA78" s="31">
        <f t="shared" si="0"/>
        <v>0</v>
      </c>
      <c r="AB78" s="31">
        <f t="shared" si="0"/>
        <v>37377.125</v>
      </c>
      <c r="AC78" s="31">
        <f t="shared" si="0"/>
        <v>13637</v>
      </c>
      <c r="AD78" s="31">
        <f t="shared" si="0"/>
        <v>5416.9800000000014</v>
      </c>
      <c r="AE78" s="31">
        <f t="shared" si="0"/>
        <v>12780.840798149682</v>
      </c>
      <c r="AF78" s="31">
        <f t="shared" si="0"/>
        <v>6298304.5071111126</v>
      </c>
      <c r="AG78" s="31">
        <f t="shared" si="0"/>
        <v>6371731.921248218</v>
      </c>
      <c r="AH78" s="161">
        <f>AH4+AH9+AH14+AH19+AH24+AH29+AH34+AH39+AH44+AH49+AH54+AH59+AH64+AH69+AH74</f>
        <v>73427.41413710684</v>
      </c>
      <c r="AI78" s="165">
        <f>SUM(AI4:AI77)</f>
        <v>10377.940000000002</v>
      </c>
      <c r="AJ78" s="165">
        <f>SUM(AJ4:AJ77)</f>
        <v>44134.63189597478</v>
      </c>
    </row>
    <row r="80" spans="1:36" x14ac:dyDescent="0.35">
      <c r="V80" s="162"/>
      <c r="AI80" s="25"/>
    </row>
  </sheetData>
  <autoFilter ref="A3:AJ76">
    <filterColumn colId="0">
      <filters>
        <dateGroupItem year="2024" dateTimeGrouping="year"/>
      </filters>
    </filterColumn>
  </autoFilter>
  <mergeCells count="2">
    <mergeCell ref="U2:AC2"/>
    <mergeCell ref="A78:E78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P145"/>
  <sheetViews>
    <sheetView zoomScale="85" zoomScaleNormal="85" workbookViewId="0">
      <pane xSplit="7" ySplit="3" topLeftCell="AG4" activePane="bottomRight" state="frozen"/>
      <selection pane="topRight" activeCell="H1" sqref="H1"/>
      <selection pane="bottomLeft" activeCell="A4" sqref="A4"/>
      <selection pane="bottomRight" activeCell="A3" sqref="A3:AJ44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31.269531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AF143</f>
        <v>3621338.4066666667</v>
      </c>
      <c r="AM3" s="164">
        <f>AH143-AI143</f>
        <v>85518.497666666182</v>
      </c>
    </row>
    <row r="4" spans="1:40" x14ac:dyDescent="0.35">
      <c r="A4" s="20">
        <v>45306</v>
      </c>
      <c r="B4" s="21" t="s">
        <v>419</v>
      </c>
      <c r="C4" s="21" t="s">
        <v>485</v>
      </c>
      <c r="D4" s="44">
        <v>1905696</v>
      </c>
      <c r="E4" s="44" t="s">
        <v>652</v>
      </c>
      <c r="F4" s="21">
        <v>150</v>
      </c>
      <c r="G4" s="21"/>
      <c r="H4" s="22">
        <v>76760</v>
      </c>
      <c r="I4" s="33">
        <v>0.55000000000000004</v>
      </c>
      <c r="J4" s="24">
        <f>IFERROR(K4/H4,"")</f>
        <v>0.55610343929129757</v>
      </c>
      <c r="K4" s="22">
        <v>42686.5</v>
      </c>
      <c r="L4" s="21">
        <v>66</v>
      </c>
      <c r="M4" s="21">
        <v>77</v>
      </c>
      <c r="N4" s="21">
        <v>6</v>
      </c>
      <c r="O4" s="21">
        <v>1</v>
      </c>
      <c r="P4" s="21"/>
      <c r="Q4" s="21"/>
      <c r="R4" s="21"/>
      <c r="S4" s="21"/>
      <c r="T4" s="21"/>
      <c r="U4" s="25">
        <v>240</v>
      </c>
      <c r="V4" s="25">
        <f>H4*U4*I4/15</f>
        <v>675488</v>
      </c>
      <c r="W4" s="25">
        <v>259.08</v>
      </c>
      <c r="X4" s="25">
        <f>990404.86/200*F4</f>
        <v>742803.64500000002</v>
      </c>
      <c r="Y4" s="25">
        <f>IF(B4="FRANCISCO CAMACHO",((F4*42)+(G4*42)),IF(B4="DANILO VIANA",((F4*60)+(G4*60)),0))</f>
        <v>9000</v>
      </c>
      <c r="Z4" s="264">
        <f>20088.4+10169.2</f>
        <v>30257.600000000002</v>
      </c>
      <c r="AA4" s="25">
        <v>0</v>
      </c>
      <c r="AB4" s="264">
        <v>4500</v>
      </c>
      <c r="AC4" s="25">
        <f>F4*38</f>
        <v>5700</v>
      </c>
      <c r="AD4" s="25">
        <f>IF(F4="",G4*4.11,F4*4.11)</f>
        <v>616.5</v>
      </c>
      <c r="AE4" s="25">
        <f>1980.81/200*F4</f>
        <v>1485.6075000000001</v>
      </c>
      <c r="AF4" s="25">
        <f>V4+Y4+Z4+AA4+AB4+AC4+AD4</f>
        <v>725562.1</v>
      </c>
      <c r="AG4" s="25">
        <f>IFERROR(IFERROR((H4*W4*J4/15)-AE4,""),"")</f>
        <v>735795.62049999984</v>
      </c>
      <c r="AH4" s="26">
        <f>IFERROR(AG4-AF4,0)</f>
        <v>10233.520499999868</v>
      </c>
      <c r="AI4" s="25">
        <f>(AH4/$AH$143)*$AL$30</f>
        <v>629.52110126423418</v>
      </c>
      <c r="AJ4" s="25">
        <f>(AH4-AI4)*70%</f>
        <v>6722.7995791149433</v>
      </c>
      <c r="AL4" s="166" t="s">
        <v>749</v>
      </c>
      <c r="AM4" s="167">
        <f>AM3/AL3</f>
        <v>2.3615163252689048E-2</v>
      </c>
    </row>
    <row r="5" spans="1:40" ht="14.5" hidden="1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68.223469999999125</v>
      </c>
      <c r="AM5" s="63"/>
    </row>
    <row r="6" spans="1:40" hidden="1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1.3908101944186374E-2</v>
      </c>
      <c r="AM6" s="63"/>
    </row>
    <row r="7" spans="1:40" hidden="1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hidden="1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45306</v>
      </c>
      <c r="B9" s="21" t="s">
        <v>324</v>
      </c>
      <c r="C9" s="21" t="s">
        <v>341</v>
      </c>
      <c r="D9" s="44">
        <v>1905696</v>
      </c>
      <c r="E9" s="44" t="s">
        <v>652</v>
      </c>
      <c r="F9" s="21">
        <v>50</v>
      </c>
      <c r="G9" s="21"/>
      <c r="H9" s="22">
        <v>26590</v>
      </c>
      <c r="I9" s="33">
        <v>0.53</v>
      </c>
      <c r="J9" s="24">
        <f>IFERROR(K9/H9,"")</f>
        <v>0.55118465588567134</v>
      </c>
      <c r="K9" s="22">
        <v>14656</v>
      </c>
      <c r="L9" s="21">
        <v>12</v>
      </c>
      <c r="M9" s="21">
        <v>36</v>
      </c>
      <c r="N9" s="21">
        <v>2</v>
      </c>
      <c r="O9" s="21"/>
      <c r="P9" s="21"/>
      <c r="Q9" s="21"/>
      <c r="R9" s="21"/>
      <c r="S9" s="21"/>
      <c r="T9" s="21"/>
      <c r="U9" s="25">
        <v>235</v>
      </c>
      <c r="V9" s="25">
        <f>H9*U9*I9/15</f>
        <v>220785.63333333333</v>
      </c>
      <c r="W9" s="25">
        <v>259.08</v>
      </c>
      <c r="X9" s="25">
        <f>990404.86/200*F9</f>
        <v>247601.215</v>
      </c>
      <c r="Y9" s="25">
        <f>IF(B9="FRANCISCO CAMACHO",((F9*42)+(G9*42)),IF(B9="DANILO VIANA",((F9*60)+(G9*60)),0))</f>
        <v>0</v>
      </c>
      <c r="Z9" s="264">
        <v>6588.4</v>
      </c>
      <c r="AA9" s="25">
        <v>0</v>
      </c>
      <c r="AB9" s="264">
        <v>1468.75</v>
      </c>
      <c r="AC9" s="25">
        <f>F9*38</f>
        <v>1900</v>
      </c>
      <c r="AD9" s="25">
        <f>IF(F9="",G9*4.11,F9*4.11)</f>
        <v>205.50000000000003</v>
      </c>
      <c r="AE9" s="25">
        <f>1980.81/200*F9</f>
        <v>495.20249999999999</v>
      </c>
      <c r="AF9" s="25">
        <f>V9+Y9+Z9+AA9+AB9+AC9+AD9</f>
        <v>230948.28333333333</v>
      </c>
      <c r="AG9" s="25">
        <f>IFERROR(IFERROR((H9*W9*J9/15)-AE9,""),"")</f>
        <v>252643.22949999999</v>
      </c>
      <c r="AH9" s="26">
        <f>IFERROR(AG9-AF9,0)</f>
        <v>21694.946166666661</v>
      </c>
      <c r="AI9" s="25">
        <f>(AH9/$AH$143)*$AL$30</f>
        <v>1334.5775193110178</v>
      </c>
      <c r="AJ9" s="25">
        <f>(AH9-AI9)*70%</f>
        <v>14252.258053148951</v>
      </c>
    </row>
    <row r="10" spans="1:40" hidden="1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433.89892333333324</v>
      </c>
    </row>
    <row r="11" spans="1:40" hidden="1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8.5871868443110844E-2</v>
      </c>
    </row>
    <row r="12" spans="1:40" hidden="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hidden="1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45307</v>
      </c>
      <c r="B14" s="21" t="s">
        <v>743</v>
      </c>
      <c r="C14" s="21" t="s">
        <v>485</v>
      </c>
      <c r="D14" s="44">
        <v>1905707</v>
      </c>
      <c r="E14" s="44" t="s">
        <v>652</v>
      </c>
      <c r="F14" s="21">
        <v>50</v>
      </c>
      <c r="G14" s="21"/>
      <c r="H14" s="22">
        <v>27260</v>
      </c>
      <c r="I14" s="33">
        <v>0.55000000000000004</v>
      </c>
      <c r="J14" s="24">
        <f>IFERROR(K14/H14,"")</f>
        <v>0.59304108584005877</v>
      </c>
      <c r="K14" s="22">
        <f>80831.5/250*F14</f>
        <v>16166.300000000001</v>
      </c>
      <c r="L14" s="21">
        <v>9</v>
      </c>
      <c r="M14" s="21">
        <v>22</v>
      </c>
      <c r="N14" s="21">
        <v>13</v>
      </c>
      <c r="O14" s="21">
        <v>6</v>
      </c>
      <c r="P14" s="21"/>
      <c r="Q14" s="21"/>
      <c r="R14" s="21"/>
      <c r="S14" s="21"/>
      <c r="T14" s="21"/>
      <c r="U14" s="25">
        <v>240</v>
      </c>
      <c r="V14" s="25">
        <f>H14*U14*I14/15</f>
        <v>239888.00000000003</v>
      </c>
      <c r="W14" s="25">
        <v>254.01</v>
      </c>
      <c r="X14" s="25">
        <f>1368786.21/250*F14</f>
        <v>273757.24199999997</v>
      </c>
      <c r="Y14" s="25">
        <f>IF(B14="FRANCISCO CAMACHO",((F14*42)+(G14*42)),IF(B14="DANILO VIANA",((F14*60)+(G14*60)),0))</f>
        <v>0</v>
      </c>
      <c r="Z14" s="264">
        <v>10169.200000000001</v>
      </c>
      <c r="AA14" s="25">
        <v>0</v>
      </c>
      <c r="AB14" s="264">
        <f>4500/150*F14</f>
        <v>1500</v>
      </c>
      <c r="AC14" s="25">
        <f>F14*38</f>
        <v>1900</v>
      </c>
      <c r="AD14" s="25">
        <f>IF(F14="",G14*4.11,F14*4.11)</f>
        <v>205.50000000000003</v>
      </c>
      <c r="AE14" s="25">
        <f>2737.57/250*F14</f>
        <v>547.51400000000001</v>
      </c>
      <c r="AF14" s="25">
        <f>V14+Y14+Z14+AA14+AB14+AC14+AD14</f>
        <v>253662.70000000004</v>
      </c>
      <c r="AG14" s="25">
        <f>IFERROR(IFERROR((H14*W14*J14/15)-AE14,""),"")</f>
        <v>273212.6102</v>
      </c>
      <c r="AH14" s="26">
        <f>IFERROR(AG14-AF14,0)</f>
        <v>19549.910199999955</v>
      </c>
      <c r="AI14" s="25">
        <f>(AH14/$AH$143)*$AL$30</f>
        <v>1202.6243557846017</v>
      </c>
      <c r="AJ14" s="25">
        <f>(AH14-AI14)*70%</f>
        <v>12843.100090950746</v>
      </c>
      <c r="AL14" s="14">
        <f>F4+G4+F9+G9+F14+G14+F19+G19+F24+G24+F29+G29+F34+G34+F39+G39+F44+G44+F49+G49+F54+G54+F59+G59+F64+G64+F74+G74+F79+G79+F69+G69+F84+G84+F89+G89+F94+G94+F99+G99+F104+G104+F109+G109+F114+G114+F119+G119+F124+G124+F129+G129+F134+G134+F139+G139</f>
        <v>750</v>
      </c>
      <c r="AM14" s="118" t="s">
        <v>22</v>
      </c>
    </row>
    <row r="15" spans="1:40" hidden="1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390.99820399999908</v>
      </c>
      <c r="AL15" s="11">
        <f>AH143</f>
        <v>91124.047666666185</v>
      </c>
      <c r="AM15" s="11">
        <f>AL15*30%</f>
        <v>27337.214299999854</v>
      </c>
      <c r="AN15" s="2"/>
    </row>
    <row r="16" spans="1:40" hidden="1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7.1555665698185833E-2</v>
      </c>
      <c r="AL16" s="11"/>
      <c r="AM16" s="11"/>
    </row>
    <row r="17" spans="1:40" hidden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hidden="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45307</v>
      </c>
      <c r="B19" s="21" t="s">
        <v>632</v>
      </c>
      <c r="C19" s="21" t="s">
        <v>611</v>
      </c>
      <c r="D19" s="44">
        <v>1905707</v>
      </c>
      <c r="E19" s="44" t="s">
        <v>652</v>
      </c>
      <c r="F19" s="21">
        <v>200</v>
      </c>
      <c r="G19" s="21"/>
      <c r="H19" s="22">
        <v>122346</v>
      </c>
      <c r="I19" s="33">
        <v>0.55000000000000004</v>
      </c>
      <c r="J19" s="24">
        <f>IFERROR(K19/H19,"")</f>
        <v>0.52854363853333985</v>
      </c>
      <c r="K19" s="22">
        <f>80831.5/250*F19</f>
        <v>64665.200000000004</v>
      </c>
      <c r="L19" s="21">
        <v>7</v>
      </c>
      <c r="M19" s="21">
        <v>70</v>
      </c>
      <c r="N19" s="21">
        <v>88</v>
      </c>
      <c r="O19" s="21">
        <v>35</v>
      </c>
      <c r="P19" s="21"/>
      <c r="Q19" s="21"/>
      <c r="R19" s="21"/>
      <c r="S19" s="21"/>
      <c r="T19" s="21"/>
      <c r="U19" s="25">
        <v>215</v>
      </c>
      <c r="V19" s="25">
        <f>H19*U19*I19/15</f>
        <v>964494.30000000016</v>
      </c>
      <c r="W19" s="25">
        <v>254.01</v>
      </c>
      <c r="X19" s="25">
        <f>1368786.21/250*F19</f>
        <v>1095028.9679999999</v>
      </c>
      <c r="Y19" s="25">
        <f>IF(B19="FRANCISCO CAMACHO",((F19*42)+(G19*42)),IF(B19="DANILO VIANA",((F19*60)+(G19*60)),0))</f>
        <v>8400</v>
      </c>
      <c r="Z19" s="264">
        <v>78185.34</v>
      </c>
      <c r="AA19" s="25">
        <v>0</v>
      </c>
      <c r="AB19" s="264">
        <v>5375</v>
      </c>
      <c r="AC19" s="25">
        <v>0</v>
      </c>
      <c r="AD19" s="25">
        <f>IF(F19="",G19*4.11,F19*4.11)</f>
        <v>822.00000000000011</v>
      </c>
      <c r="AE19" s="25">
        <f>2737.57/250*F19</f>
        <v>2190.056</v>
      </c>
      <c r="AF19" s="25">
        <f>V19+Y19+Z19+AA19+AB19+AC19+AD19</f>
        <v>1057276.6400000001</v>
      </c>
      <c r="AG19" s="25">
        <f>IFERROR(IFERROR((H19*W19*J19/15)-AE19,""),"")</f>
        <v>1092850.4407999997</v>
      </c>
      <c r="AH19" s="26">
        <f>IFERROR(AG19-AF19,0)</f>
        <v>35573.800799999619</v>
      </c>
      <c r="AI19" s="25">
        <f>(AH19/$AH$143)*$AL$30</f>
        <v>2188.3435183200681</v>
      </c>
      <c r="AJ19" s="25">
        <f>(AH19-AI19)*70%</f>
        <v>23369.820097175681</v>
      </c>
      <c r="AL19" s="178">
        <v>236</v>
      </c>
      <c r="AM19" s="6" t="s">
        <v>893</v>
      </c>
      <c r="AN19" s="174"/>
    </row>
    <row r="20" spans="1:40" hidden="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177.86900399999809</v>
      </c>
      <c r="AL20" s="178">
        <v>4851.5</v>
      </c>
      <c r="AM20" s="6" t="s">
        <v>896</v>
      </c>
      <c r="AN20" s="174"/>
    </row>
    <row r="21" spans="1:40" hidden="1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3.255138989920571E-2</v>
      </c>
      <c r="AL21" s="178">
        <v>518.04999999999995</v>
      </c>
      <c r="AM21" s="6" t="s">
        <v>924</v>
      </c>
      <c r="AN21" s="174"/>
    </row>
    <row r="22" spans="1:40" hidden="1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/>
      <c r="AM22" s="6"/>
      <c r="AN22" s="174"/>
    </row>
    <row r="23" spans="1:40" hidden="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/>
      <c r="AM23" s="6"/>
      <c r="AN23" s="174"/>
    </row>
    <row r="24" spans="1:40" x14ac:dyDescent="0.35">
      <c r="A24" s="20">
        <v>45307</v>
      </c>
      <c r="B24" s="21" t="s">
        <v>743</v>
      </c>
      <c r="C24" s="21" t="s">
        <v>335</v>
      </c>
      <c r="D24" s="44">
        <v>1905695</v>
      </c>
      <c r="E24" s="44" t="s">
        <v>652</v>
      </c>
      <c r="F24" s="21">
        <v>50</v>
      </c>
      <c r="G24" s="21"/>
      <c r="H24" s="22">
        <v>24060</v>
      </c>
      <c r="I24" s="33">
        <v>0.54</v>
      </c>
      <c r="J24" s="24">
        <f>52195/99800</f>
        <v>0.52299599198396796</v>
      </c>
      <c r="K24" s="22">
        <f>52195/200*F24</f>
        <v>13048.750000000002</v>
      </c>
      <c r="L24" s="21">
        <v>10</v>
      </c>
      <c r="M24" s="21">
        <v>30</v>
      </c>
      <c r="N24" s="21">
        <v>9</v>
      </c>
      <c r="O24" s="21">
        <v>1</v>
      </c>
      <c r="P24" s="21"/>
      <c r="Q24" s="21"/>
      <c r="R24" s="21"/>
      <c r="S24" s="21"/>
      <c r="T24" s="21"/>
      <c r="U24" s="25">
        <v>235</v>
      </c>
      <c r="V24" s="25">
        <f>H24*U24*I24/15</f>
        <v>203547.6</v>
      </c>
      <c r="W24" s="25">
        <v>255.83</v>
      </c>
      <c r="X24" s="25">
        <f>890201.27/200*F24</f>
        <v>222550.31749999998</v>
      </c>
      <c r="Y24" s="25">
        <f>IF(B24="FRANCISCO CAMACHO",((F24*42)+(G24*42)),IF(B24="DANILO VIANA",((F24*60)+(G24*60)),0))</f>
        <v>0</v>
      </c>
      <c r="Z24" s="264">
        <f>16774.8/100*F24</f>
        <v>8387.4</v>
      </c>
      <c r="AA24" s="25">
        <v>0</v>
      </c>
      <c r="AB24" s="264">
        <v>1468.75</v>
      </c>
      <c r="AC24" s="25">
        <f>38*F24</f>
        <v>1900</v>
      </c>
      <c r="AD24" s="25">
        <f>IF(F24="",G24*4.11,F24*4.11)</f>
        <v>205.50000000000003</v>
      </c>
      <c r="AE24" s="25">
        <f>1780.4/200*F24</f>
        <v>445.1</v>
      </c>
      <c r="AF24" s="25">
        <f>V24+Y24+Z24+AA24+AB24+AC24+AD24</f>
        <v>215509.25</v>
      </c>
      <c r="AG24" s="25">
        <f>IFERROR(IFERROR((H24*W24*J24/15)-AE24,""),"")</f>
        <v>214166.99566533067</v>
      </c>
      <c r="AH24" s="26">
        <f>IFERROR(AG24-AF24,0)</f>
        <v>-1342.2543346693274</v>
      </c>
      <c r="AI24" s="25">
        <f>(AH24/$AH$143)*$AL$30</f>
        <v>-82.569573876139472</v>
      </c>
      <c r="AJ24" s="25">
        <f>(AH24-AI24)*70%</f>
        <v>-881.77933255523146</v>
      </c>
      <c r="AL24" s="178"/>
      <c r="AM24" s="6"/>
      <c r="AN24" s="174"/>
    </row>
    <row r="25" spans="1:40" hidden="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5"/>
      <c r="W25" s="21"/>
      <c r="X25" s="25"/>
      <c r="Y25" s="21"/>
      <c r="Z25" s="3"/>
      <c r="AA25" s="21"/>
      <c r="AB25" s="21"/>
      <c r="AC25" s="21"/>
      <c r="AD25" s="21"/>
      <c r="AE25" s="21"/>
      <c r="AF25" s="25"/>
      <c r="AG25" s="21"/>
      <c r="AH25" s="26">
        <f>IFERROR(AH24/F24,0)+IFERROR(AH24/G24,0)</f>
        <v>-26.845086693386548</v>
      </c>
      <c r="AL25" s="178"/>
      <c r="AM25" s="6"/>
      <c r="AN25" s="174"/>
    </row>
    <row r="26" spans="1:40" hidden="1" x14ac:dyDescent="0.35">
      <c r="A26" s="21"/>
      <c r="B26" s="21"/>
      <c r="C26" s="21"/>
      <c r="D26" s="21"/>
      <c r="E26" s="21"/>
      <c r="F26" s="21"/>
      <c r="G26" s="21"/>
      <c r="H26" s="22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5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-6.2673257870545515E-3</v>
      </c>
      <c r="AL26" s="178"/>
      <c r="AM26" s="6"/>
      <c r="AN26" s="174"/>
    </row>
    <row r="27" spans="1:40" hidden="1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hidden="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178"/>
      <c r="AM28" s="6"/>
      <c r="AN28" s="174"/>
    </row>
    <row r="29" spans="1:40" x14ac:dyDescent="0.35">
      <c r="A29" s="20">
        <v>45307</v>
      </c>
      <c r="B29" s="21" t="s">
        <v>743</v>
      </c>
      <c r="C29" s="21" t="s">
        <v>335</v>
      </c>
      <c r="D29" s="44">
        <v>1905695</v>
      </c>
      <c r="E29" s="44" t="s">
        <v>652</v>
      </c>
      <c r="F29" s="21">
        <v>50</v>
      </c>
      <c r="G29" s="21"/>
      <c r="H29" s="22">
        <v>24380</v>
      </c>
      <c r="I29" s="33">
        <v>0.53</v>
      </c>
      <c r="J29" s="24">
        <f>52195/99800</f>
        <v>0.52299599198396796</v>
      </c>
      <c r="K29" s="22">
        <f>52195/200*F29</f>
        <v>13048.750000000002</v>
      </c>
      <c r="L29" s="21">
        <v>10</v>
      </c>
      <c r="M29" s="21">
        <v>30</v>
      </c>
      <c r="N29" s="21">
        <v>9</v>
      </c>
      <c r="O29" s="21">
        <v>1</v>
      </c>
      <c r="P29" s="21"/>
      <c r="Q29" s="21"/>
      <c r="R29" s="21"/>
      <c r="S29" s="21"/>
      <c r="T29" s="21"/>
      <c r="U29" s="25">
        <v>235</v>
      </c>
      <c r="V29" s="25">
        <f>H29*U29*I29/15</f>
        <v>202435.26666666666</v>
      </c>
      <c r="W29" s="25">
        <v>255.83</v>
      </c>
      <c r="X29" s="25">
        <f>890201.27/200*F29</f>
        <v>222550.31749999998</v>
      </c>
      <c r="Y29" s="25">
        <f>IF(B29="FRANCISCO CAMACHO",((F29*42)+(G29*42)),IF(B29="DANILO VIANA",((F29*60)+(G29*60)),0))</f>
        <v>0</v>
      </c>
      <c r="Z29" s="264">
        <f>16774.8/100*F29</f>
        <v>8387.4</v>
      </c>
      <c r="AA29" s="25">
        <v>0</v>
      </c>
      <c r="AB29" s="264">
        <v>1468.75</v>
      </c>
      <c r="AC29" s="25">
        <f>38*F29</f>
        <v>1900</v>
      </c>
      <c r="AD29" s="25">
        <f>IF(F29="",G29*4.11,F29*4.11)</f>
        <v>205.50000000000003</v>
      </c>
      <c r="AE29" s="25">
        <f>1780.4/200*F29</f>
        <v>445.1</v>
      </c>
      <c r="AF29" s="25">
        <f>V29+Y29+Z29+AA29+AB29+AC29+AD29</f>
        <v>214396.91666666666</v>
      </c>
      <c r="AG29" s="25">
        <f>IFERROR(IFERROR((H29*W29*J29/15)-AE29,""),"")</f>
        <v>217021.35437742152</v>
      </c>
      <c r="AH29" s="26">
        <f>IFERROR(AG29-AF29,0)</f>
        <v>2624.4377107548644</v>
      </c>
      <c r="AI29" s="25">
        <f>(AH29/$AH$143)*$AL$30</f>
        <v>161.44384700004355</v>
      </c>
      <c r="AJ29" s="25">
        <f>(AH29-AI29)*70%</f>
        <v>1724.0957046283745</v>
      </c>
      <c r="AL29" s="178"/>
      <c r="AM29" s="6"/>
      <c r="AN29" s="174"/>
    </row>
    <row r="30" spans="1:40" hidden="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5"/>
      <c r="W30" s="21"/>
      <c r="X30" s="25"/>
      <c r="Y30" s="21"/>
      <c r="Z30" s="3"/>
      <c r="AA30" s="21"/>
      <c r="AB30" s="21"/>
      <c r="AC30" s="21"/>
      <c r="AD30" s="21"/>
      <c r="AE30" s="21"/>
      <c r="AF30" s="25"/>
      <c r="AG30" s="21"/>
      <c r="AH30" s="26">
        <f>IFERROR(AH29/F29,0)+IFERROR(AH29/G29,0)</f>
        <v>52.488754215097288</v>
      </c>
      <c r="AL30" s="214">
        <f>SUM(AL19:AL29)</f>
        <v>5605.55</v>
      </c>
      <c r="AM30" s="189" t="s">
        <v>673</v>
      </c>
      <c r="AN30" s="191"/>
    </row>
    <row r="31" spans="1:40" hidden="1" x14ac:dyDescent="0.35">
      <c r="A31" s="21"/>
      <c r="B31" s="21"/>
      <c r="C31" s="21"/>
      <c r="D31" s="21"/>
      <c r="E31" s="21"/>
      <c r="F31" s="21"/>
      <c r="G31" s="21"/>
      <c r="H31" s="22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5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1.2092992960456364E-2</v>
      </c>
      <c r="AL31" s="57"/>
      <c r="AM31" s="6"/>
    </row>
    <row r="32" spans="1:40" hidden="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  <c r="AL32" s="57"/>
      <c r="AM32" s="118" t="s">
        <v>22</v>
      </c>
      <c r="AN32" s="12"/>
    </row>
    <row r="33" spans="1:42" hidden="1" x14ac:dyDescent="0.35">
      <c r="A33" s="37" t="s">
        <v>1</v>
      </c>
      <c r="B33" s="37" t="s">
        <v>2</v>
      </c>
      <c r="C33" s="37" t="s">
        <v>110</v>
      </c>
      <c r="D33" s="37" t="s">
        <v>66</v>
      </c>
      <c r="E33" s="37" t="s">
        <v>638</v>
      </c>
      <c r="F33" s="37" t="s">
        <v>137</v>
      </c>
      <c r="G33" s="37" t="s">
        <v>138</v>
      </c>
      <c r="H33" s="37" t="s">
        <v>4</v>
      </c>
      <c r="I33" s="37" t="s">
        <v>5</v>
      </c>
      <c r="J33" s="37" t="s">
        <v>6</v>
      </c>
      <c r="K33" s="37" t="s">
        <v>7</v>
      </c>
      <c r="L33" s="37" t="s">
        <v>279</v>
      </c>
      <c r="M33" s="37" t="s">
        <v>280</v>
      </c>
      <c r="N33" s="37" t="s">
        <v>281</v>
      </c>
      <c r="O33" s="37" t="s">
        <v>282</v>
      </c>
      <c r="P33" s="37" t="s">
        <v>283</v>
      </c>
      <c r="Q33" s="37" t="s">
        <v>284</v>
      </c>
      <c r="R33" s="37" t="s">
        <v>904</v>
      </c>
      <c r="S33" s="37" t="s">
        <v>285</v>
      </c>
      <c r="T33" s="37" t="s">
        <v>289</v>
      </c>
      <c r="U33" s="37" t="s">
        <v>8</v>
      </c>
      <c r="V33" s="37" t="s">
        <v>9</v>
      </c>
      <c r="W33" s="37" t="s">
        <v>10</v>
      </c>
      <c r="X33" s="37" t="s">
        <v>100</v>
      </c>
      <c r="Y33" s="37" t="s">
        <v>106</v>
      </c>
      <c r="Z33" s="37" t="s">
        <v>12</v>
      </c>
      <c r="AA33" s="37" t="s">
        <v>258</v>
      </c>
      <c r="AB33" s="37" t="s">
        <v>13</v>
      </c>
      <c r="AC33" s="37" t="s">
        <v>74</v>
      </c>
      <c r="AD33" s="37" t="s">
        <v>21</v>
      </c>
      <c r="AE33" s="37" t="s">
        <v>14</v>
      </c>
      <c r="AF33" s="37" t="s">
        <v>15</v>
      </c>
      <c r="AG33" s="37" t="s">
        <v>16</v>
      </c>
      <c r="AH33" s="15" t="s">
        <v>17</v>
      </c>
      <c r="AI33" s="14" t="s">
        <v>679</v>
      </c>
      <c r="AJ33" s="14" t="s">
        <v>678</v>
      </c>
      <c r="AL33" s="247">
        <f>AL15-AL30</f>
        <v>85518.497666666182</v>
      </c>
      <c r="AM33" s="248">
        <f>AL33*30%</f>
        <v>25655.549299999853</v>
      </c>
      <c r="AN33" s="12"/>
    </row>
    <row r="34" spans="1:42" x14ac:dyDescent="0.35">
      <c r="A34" s="38">
        <v>45307</v>
      </c>
      <c r="B34" s="39" t="s">
        <v>743</v>
      </c>
      <c r="C34" s="39" t="s">
        <v>573</v>
      </c>
      <c r="D34" s="45">
        <v>1905695</v>
      </c>
      <c r="E34" s="45" t="s">
        <v>652</v>
      </c>
      <c r="F34" s="39">
        <v>100</v>
      </c>
      <c r="G34" s="39"/>
      <c r="H34" s="40">
        <v>51360</v>
      </c>
      <c r="I34" s="53">
        <v>0.53</v>
      </c>
      <c r="J34" s="42">
        <f>52195/99800</f>
        <v>0.52299599198396796</v>
      </c>
      <c r="K34" s="40">
        <f>52195/200*F34</f>
        <v>26097.500000000004</v>
      </c>
      <c r="L34" s="39">
        <v>18</v>
      </c>
      <c r="M34" s="39">
        <v>54</v>
      </c>
      <c r="N34" s="39">
        <v>16</v>
      </c>
      <c r="O34" s="39">
        <v>11</v>
      </c>
      <c r="P34" s="39">
        <v>1</v>
      </c>
      <c r="Q34" s="39"/>
      <c r="R34" s="39"/>
      <c r="S34" s="39"/>
      <c r="T34" s="39"/>
      <c r="U34" s="43">
        <v>230</v>
      </c>
      <c r="V34" s="43">
        <f>H34*U34*I34/15</f>
        <v>417385.6</v>
      </c>
      <c r="W34" s="43">
        <v>255.83</v>
      </c>
      <c r="X34" s="43">
        <f>890201.27/200*F34</f>
        <v>445100.63499999995</v>
      </c>
      <c r="Y34" s="43">
        <f>IF(B34="FRANCISCO CAMACHO",((F34*42)+(G34*42)),IF(B34="DANILO VIANA",((F34*60)+(G34*60)),0))</f>
        <v>0</v>
      </c>
      <c r="Z34" s="264">
        <f>9377.6+9186.4</f>
        <v>18564</v>
      </c>
      <c r="AA34" s="43">
        <v>0</v>
      </c>
      <c r="AB34" s="264">
        <v>2875</v>
      </c>
      <c r="AC34" s="43">
        <f>38*F34</f>
        <v>3800</v>
      </c>
      <c r="AD34" s="43">
        <f>IF(F34="",G34*4.11,F34*4.11)</f>
        <v>411.00000000000006</v>
      </c>
      <c r="AE34" s="43">
        <f>1780.4/200*F34</f>
        <v>890.2</v>
      </c>
      <c r="AF34" s="43">
        <f>V34+Y34+Z34+AA34+AB34+AC34+AD34</f>
        <v>443035.6</v>
      </c>
      <c r="AG34" s="43">
        <f>IFERROR(IFERROR((H34*W34*J34/15)-AE34,""),"")</f>
        <v>457234.37329058116</v>
      </c>
      <c r="AH34" s="26">
        <f>IFERROR(AG34-AF34,0)</f>
        <v>14198.773290581186</v>
      </c>
      <c r="AI34" s="25">
        <f>(AH34/$AH$143)*$AL$30</f>
        <v>873.44598552257526</v>
      </c>
      <c r="AJ34" s="25">
        <f>(AH34-AI34)*70%</f>
        <v>9327.7291135410269</v>
      </c>
      <c r="AL34" s="57"/>
      <c r="AM34" s="249"/>
      <c r="AN34" s="246"/>
    </row>
    <row r="35" spans="1:42" hidden="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5"/>
      <c r="AC35" s="21"/>
      <c r="AD35" s="21"/>
      <c r="AE35" s="21"/>
      <c r="AF35" s="21"/>
      <c r="AG35" s="21"/>
      <c r="AH35" s="26">
        <f>IFERROR(AH34/F34,0)+IFERROR(AH34/G34,0)</f>
        <v>141.98773290581187</v>
      </c>
      <c r="AL35" s="57"/>
      <c r="AM35" s="288">
        <f>'13.01.24'!AM37</f>
        <v>-53026.178837333457</v>
      </c>
      <c r="AN35" s="286" t="s">
        <v>925</v>
      </c>
      <c r="AO35" s="287"/>
      <c r="AP35" s="287"/>
    </row>
    <row r="36" spans="1:42" hidden="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3.1053599904129682E-2</v>
      </c>
    </row>
    <row r="37" spans="1:42" hidden="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  <c r="AM37" s="289">
        <f>AM33+(AM35)</f>
        <v>-27370.629537333603</v>
      </c>
      <c r="AN37" s="286" t="s">
        <v>923</v>
      </c>
    </row>
    <row r="38" spans="1:42" hidden="1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2" x14ac:dyDescent="0.35">
      <c r="A39" s="20">
        <v>45311</v>
      </c>
      <c r="B39" s="21" t="s">
        <v>419</v>
      </c>
      <c r="C39" s="21" t="s">
        <v>465</v>
      </c>
      <c r="D39" s="44">
        <v>1911795</v>
      </c>
      <c r="E39" s="44" t="s">
        <v>652</v>
      </c>
      <c r="F39" s="21">
        <v>50</v>
      </c>
      <c r="G39" s="21"/>
      <c r="H39" s="22">
        <v>27760</v>
      </c>
      <c r="I39" s="33">
        <v>0.53</v>
      </c>
      <c r="J39" s="24">
        <f>IFERROR(K39/H39,"")</f>
        <v>0.5024135446685879</v>
      </c>
      <c r="K39" s="22">
        <f>27894/100*F39</f>
        <v>13947</v>
      </c>
      <c r="L39" s="21">
        <v>3</v>
      </c>
      <c r="M39" s="21">
        <v>19</v>
      </c>
      <c r="N39" s="21">
        <v>18</v>
      </c>
      <c r="O39" s="21">
        <v>7</v>
      </c>
      <c r="P39" s="21">
        <v>2</v>
      </c>
      <c r="Q39" s="21"/>
      <c r="R39" s="21"/>
      <c r="S39" s="21"/>
      <c r="T39" s="21"/>
      <c r="U39" s="25">
        <v>230</v>
      </c>
      <c r="V39" s="25">
        <f>H39*U39*I39/15</f>
        <v>225596.26666666666</v>
      </c>
      <c r="W39" s="25">
        <v>253</v>
      </c>
      <c r="X39" s="25">
        <f>470484.66/100*F39</f>
        <v>235242.33</v>
      </c>
      <c r="Y39" s="25">
        <f>IF(B39="FRANCISCO CAMACHO",((F39*42)+(G39*42)),IF(B39="DANILO VIANA",((F39*60)+(G39*60)),0))</f>
        <v>3000</v>
      </c>
      <c r="Z39" s="264">
        <v>16027.6</v>
      </c>
      <c r="AA39" s="25">
        <v>0</v>
      </c>
      <c r="AB39" s="264">
        <v>1437.5</v>
      </c>
      <c r="AC39" s="25">
        <f>F39*38</f>
        <v>1900</v>
      </c>
      <c r="AD39" s="25">
        <f>IF(F39="",G39*4.11,F39*4.11)</f>
        <v>205.50000000000003</v>
      </c>
      <c r="AE39" s="25">
        <f>940.97/100*F39</f>
        <v>470.48500000000001</v>
      </c>
      <c r="AF39" s="25">
        <f>V39+Y39+Z39+AA39+AB39+AC39+AD39</f>
        <v>248166.86666666667</v>
      </c>
      <c r="AG39" s="25">
        <f>IFERROR(IFERROR((H39*W39*J39/15)-AE39,""),"")</f>
        <v>234768.91500000001</v>
      </c>
      <c r="AH39" s="26">
        <f>IFERROR(AG39-AF39,0)</f>
        <v>-13397.95166666666</v>
      </c>
      <c r="AI39" s="25">
        <f>(AH39/$AH$143)*$AL$30</f>
        <v>-824.18296693548291</v>
      </c>
      <c r="AJ39" s="25">
        <f>(AH39-AI39)*70%</f>
        <v>-8801.6380898118241</v>
      </c>
    </row>
    <row r="40" spans="1:42" hidden="1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5"/>
      <c r="AC40" s="21"/>
      <c r="AD40" s="21"/>
      <c r="AE40" s="21"/>
      <c r="AF40" s="21"/>
      <c r="AG40" s="21"/>
      <c r="AH40" s="26">
        <f>IFERROR(AH39/F39,0)+IFERROR(AH39/G39,0)</f>
        <v>-267.9590333333332</v>
      </c>
    </row>
    <row r="41" spans="1:42" hidden="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-5.7068678222015293E-2</v>
      </c>
    </row>
    <row r="42" spans="1:42" hidden="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2" hidden="1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2" ht="15" thickBot="1" x14ac:dyDescent="0.4">
      <c r="A44" s="20">
        <v>45311</v>
      </c>
      <c r="B44" s="21" t="s">
        <v>419</v>
      </c>
      <c r="C44" s="21" t="s">
        <v>242</v>
      </c>
      <c r="D44" s="44">
        <v>1911795</v>
      </c>
      <c r="E44" s="44" t="s">
        <v>652</v>
      </c>
      <c r="F44" s="21">
        <v>50</v>
      </c>
      <c r="G44" s="21"/>
      <c r="H44" s="22">
        <v>25410</v>
      </c>
      <c r="I44" s="33">
        <v>0.54</v>
      </c>
      <c r="J44" s="24">
        <f>IFERROR(K44/H44,"")</f>
        <v>0.54887839433293983</v>
      </c>
      <c r="K44" s="22">
        <f>27894/100*F44</f>
        <v>13947</v>
      </c>
      <c r="L44" s="21">
        <v>4</v>
      </c>
      <c r="M44" s="21">
        <v>20</v>
      </c>
      <c r="N44" s="21">
        <v>18</v>
      </c>
      <c r="O44" s="21">
        <v>7</v>
      </c>
      <c r="P44" s="21">
        <v>2</v>
      </c>
      <c r="Q44" s="21"/>
      <c r="R44" s="21"/>
      <c r="S44" s="21"/>
      <c r="T44" s="21"/>
      <c r="U44" s="25">
        <v>235</v>
      </c>
      <c r="V44" s="25">
        <f>H44*U44*I44/15</f>
        <v>214968.6</v>
      </c>
      <c r="W44" s="25">
        <v>253</v>
      </c>
      <c r="X44" s="25">
        <f>470484.66/100*F44</f>
        <v>235242.33</v>
      </c>
      <c r="Y44" s="25">
        <f>IF(B44="FRANCISCO CAMACHO",((F44*42)+(G44*42)),IF(B44="DANILO VIANA",((F44*60)+(G44*60)),0))</f>
        <v>3000</v>
      </c>
      <c r="Z44" s="264">
        <v>11237.2</v>
      </c>
      <c r="AA44" s="25">
        <v>0</v>
      </c>
      <c r="AB44" s="264">
        <v>1468.75</v>
      </c>
      <c r="AC44" s="25">
        <f>F44*38</f>
        <v>1900</v>
      </c>
      <c r="AD44" s="25">
        <f>IF(F44="",G44*4.11,F44*4.11)</f>
        <v>205.50000000000003</v>
      </c>
      <c r="AE44" s="25">
        <f>940.97/100*F44</f>
        <v>470.48500000000001</v>
      </c>
      <c r="AF44" s="25">
        <f>V44+Y44+Z44+AA44+AB44+AC44+AD44</f>
        <v>232780.05000000002</v>
      </c>
      <c r="AG44" s="25">
        <f>IFERROR(IFERROR((H44*W44*J44/15)-AE44,""),"")</f>
        <v>234768.91500000004</v>
      </c>
      <c r="AH44" s="26">
        <f>IFERROR(AG44-AF44,0)</f>
        <v>1988.8650000000198</v>
      </c>
      <c r="AI44" s="25">
        <f>(AH44/$AH$143)*$AL$30</f>
        <v>122.346213609082</v>
      </c>
      <c r="AJ44" s="25">
        <f>(AH44-AI44)*70%</f>
        <v>1306.5631504736564</v>
      </c>
    </row>
    <row r="45" spans="1:42" ht="15" hidden="1" thickBot="1" x14ac:dyDescent="0.4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5"/>
      <c r="AC45" s="21"/>
      <c r="AD45" s="21"/>
      <c r="AE45" s="21"/>
      <c r="AF45" s="21"/>
      <c r="AG45" s="21"/>
      <c r="AH45" s="26">
        <f>IFERROR(AH44/F44,0)+IFERROR(AH44/G44,0)</f>
        <v>39.777300000000395</v>
      </c>
    </row>
    <row r="46" spans="1:42" ht="15" hidden="1" thickBot="1" x14ac:dyDescent="0.4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8.4715857719068963E-3</v>
      </c>
    </row>
    <row r="47" spans="1:42" ht="15" hidden="1" thickBot="1" x14ac:dyDescent="0.4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2" ht="15" hidden="1" thickBot="1" x14ac:dyDescent="0.4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ht="15" hidden="1" thickBot="1" x14ac:dyDescent="0.4">
      <c r="A49" s="20"/>
      <c r="B49" s="21"/>
      <c r="C49" s="21"/>
      <c r="D49" s="44"/>
      <c r="E49" s="44"/>
      <c r="F49" s="21"/>
      <c r="G49" s="21"/>
      <c r="H49" s="22">
        <v>0</v>
      </c>
      <c r="I49" s="33">
        <v>0</v>
      </c>
      <c r="J49" s="24" t="str">
        <f>IFERROR(K49/H49,"")</f>
        <v/>
      </c>
      <c r="K49" s="22">
        <v>0</v>
      </c>
      <c r="L49" s="21"/>
      <c r="M49" s="21"/>
      <c r="N49" s="21"/>
      <c r="O49" s="21"/>
      <c r="P49" s="21"/>
      <c r="Q49" s="21"/>
      <c r="R49" s="21"/>
      <c r="S49" s="21"/>
      <c r="T49" s="21"/>
      <c r="U49" s="25">
        <v>0</v>
      </c>
      <c r="V49" s="25">
        <f>H49*U49*I49/15</f>
        <v>0</v>
      </c>
      <c r="W49" s="25">
        <v>0</v>
      </c>
      <c r="X49" s="25">
        <v>0</v>
      </c>
      <c r="Y49" s="25">
        <f>IF(B49="FRANCISCO CAMACHO",((F49*42)+(G49*42)),IF(B49="DANILO VIANA",((F49*60)+(G49*60)),0))</f>
        <v>0</v>
      </c>
      <c r="Z49" s="25"/>
      <c r="AA49" s="25">
        <v>0</v>
      </c>
      <c r="AB49" s="25">
        <v>0</v>
      </c>
      <c r="AC49" s="25">
        <v>0</v>
      </c>
      <c r="AD49" s="25">
        <f>IF(F49="",G49*4.11,F49*4.11)</f>
        <v>0</v>
      </c>
      <c r="AE49" s="25">
        <v>0</v>
      </c>
      <c r="AF49" s="25">
        <f>V49+Y49+Z49+AA49+AB49+AC49+AD49</f>
        <v>0</v>
      </c>
      <c r="AG49" s="25" t="str">
        <f>IFERROR(IFERROR((H49*W49*J49/15)-AE49,""),"")</f>
        <v/>
      </c>
      <c r="AH49" s="26">
        <f>IFERROR(AG49-AF49,0)</f>
        <v>0</v>
      </c>
      <c r="AI49" s="25">
        <f>(AH49/$AH$143)*$AL$30</f>
        <v>0</v>
      </c>
      <c r="AJ49" s="25">
        <f>(AH49-AI49)*70%</f>
        <v>0</v>
      </c>
    </row>
    <row r="50" spans="1:39" ht="15" hidden="1" thickBot="1" x14ac:dyDescent="0.4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5"/>
      <c r="AC50" s="21"/>
      <c r="AD50" s="21"/>
      <c r="AE50" s="21"/>
      <c r="AF50" s="21"/>
      <c r="AG50" s="21"/>
      <c r="AH50" s="26">
        <f>IFERROR(AH49/F49,0)+IFERROR(AH49/G49,0)</f>
        <v>0</v>
      </c>
    </row>
    <row r="51" spans="1:39" ht="15" hidden="1" thickBot="1" x14ac:dyDescent="0.4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 t="str">
        <f>IFERROR(AH49/AG49,"")</f>
        <v/>
      </c>
    </row>
    <row r="52" spans="1:39" ht="15" hidden="1" thickBot="1" x14ac:dyDescent="0.4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3" spans="1:39" ht="15" hidden="1" thickBot="1" x14ac:dyDescent="0.4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9" ht="15" hidden="1" thickBot="1" x14ac:dyDescent="0.4">
      <c r="A54" s="20"/>
      <c r="B54" s="21"/>
      <c r="C54" s="21"/>
      <c r="D54" s="44"/>
      <c r="E54" s="44"/>
      <c r="F54" s="21"/>
      <c r="G54" s="21"/>
      <c r="H54" s="22">
        <v>0</v>
      </c>
      <c r="I54" s="33">
        <v>0</v>
      </c>
      <c r="J54" s="24" t="str">
        <f>IFERROR(K54/H54,"")</f>
        <v/>
      </c>
      <c r="K54" s="22">
        <v>0</v>
      </c>
      <c r="L54" s="21"/>
      <c r="M54" s="21"/>
      <c r="N54" s="21"/>
      <c r="O54" s="21"/>
      <c r="P54" s="21"/>
      <c r="Q54" s="21"/>
      <c r="R54" s="21"/>
      <c r="S54" s="21"/>
      <c r="T54" s="21"/>
      <c r="U54" s="25">
        <v>0</v>
      </c>
      <c r="V54" s="25">
        <f>H54*U54*I54/15</f>
        <v>0</v>
      </c>
      <c r="W54" s="25">
        <v>0</v>
      </c>
      <c r="X54" s="25">
        <v>0</v>
      </c>
      <c r="Y54" s="25">
        <f>IF(B54="FRANCISCO CAMACHO",((F54*42)+(G54*42)),IF(B54="DANILO VIANA",((F54*60)+(G54*60)),0))</f>
        <v>0</v>
      </c>
      <c r="Z54" s="25"/>
      <c r="AA54" s="25">
        <v>0</v>
      </c>
      <c r="AB54" s="25">
        <v>0</v>
      </c>
      <c r="AC54" s="25">
        <v>0</v>
      </c>
      <c r="AD54" s="25">
        <f>IF(F54="",G54*4.11,F54*4.11)</f>
        <v>0</v>
      </c>
      <c r="AE54" s="25">
        <v>0</v>
      </c>
      <c r="AF54" s="25">
        <f>V54+Y54+Z54+AA54+AB54+AC54+AD54</f>
        <v>0</v>
      </c>
      <c r="AG54" s="25" t="str">
        <f>IFERROR(IFERROR((H54*W54*J54/15)-AE54,""),"")</f>
        <v/>
      </c>
      <c r="AH54" s="26">
        <f>IFERROR(AG54-AF54,0)</f>
        <v>0</v>
      </c>
      <c r="AI54" s="25">
        <f>(AH54/$AH$143)*$AL$30</f>
        <v>0</v>
      </c>
      <c r="AJ54" s="25">
        <f>(AH54-AI54)*70%</f>
        <v>0</v>
      </c>
      <c r="AL54" s="6"/>
      <c r="AM54" s="6"/>
    </row>
    <row r="55" spans="1:39" ht="15" hidden="1" thickBot="1" x14ac:dyDescent="0.4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5"/>
      <c r="AC55" s="21"/>
      <c r="AD55" s="21"/>
      <c r="AE55" s="21"/>
      <c r="AF55" s="21"/>
      <c r="AG55" s="21"/>
      <c r="AH55" s="26">
        <f>IFERROR(AH54/F54,0)+IFERROR(AH54/G54,0)</f>
        <v>0</v>
      </c>
    </row>
    <row r="56" spans="1:39" ht="15" hidden="1" thickBot="1" x14ac:dyDescent="0.4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 t="str">
        <f>IFERROR(AH54/AG54,"")</f>
        <v/>
      </c>
    </row>
    <row r="57" spans="1:39" ht="15" hidden="1" thickBot="1" x14ac:dyDescent="0.4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ht="15" hidden="1" thickBot="1" x14ac:dyDescent="0.4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ht="15" hidden="1" thickBot="1" x14ac:dyDescent="0.4">
      <c r="A59" s="20"/>
      <c r="B59" s="21"/>
      <c r="C59" s="21"/>
      <c r="D59" s="44"/>
      <c r="E59" s="44"/>
      <c r="F59" s="21"/>
      <c r="G59" s="21"/>
      <c r="H59" s="22">
        <v>0</v>
      </c>
      <c r="I59" s="33">
        <v>0</v>
      </c>
      <c r="J59" s="24" t="str">
        <f>IFERROR(K59/H59,"")</f>
        <v/>
      </c>
      <c r="K59" s="22">
        <v>0</v>
      </c>
      <c r="L59" s="21"/>
      <c r="M59" s="21"/>
      <c r="N59" s="21"/>
      <c r="O59" s="21"/>
      <c r="P59" s="21"/>
      <c r="Q59" s="21"/>
      <c r="R59" s="21"/>
      <c r="S59" s="21"/>
      <c r="T59" s="21"/>
      <c r="U59" s="25">
        <v>0</v>
      </c>
      <c r="V59" s="25">
        <f>H59*U59*I59/15</f>
        <v>0</v>
      </c>
      <c r="W59" s="25">
        <v>0</v>
      </c>
      <c r="X59" s="25">
        <v>0</v>
      </c>
      <c r="Y59" s="25">
        <f>IF(B59="FRANCISCO CAMACHO",((F59*42)+(G59*42)),IF(B59="DANILO VIANA",((F59*60)+(G59*60)),0))</f>
        <v>0</v>
      </c>
      <c r="Z59" s="25"/>
      <c r="AA59" s="25">
        <v>0</v>
      </c>
      <c r="AB59" s="25">
        <v>0</v>
      </c>
      <c r="AC59" s="25">
        <v>0</v>
      </c>
      <c r="AD59" s="25">
        <f>IF(F59="",G59*4.11,F59*4.11)</f>
        <v>0</v>
      </c>
      <c r="AE59" s="25">
        <v>0</v>
      </c>
      <c r="AF59" s="25">
        <f>V59+Y59+Z59+AA59+AB59+AC59+AD59</f>
        <v>0</v>
      </c>
      <c r="AG59" s="25" t="str">
        <f>IFERROR(IFERROR((H59*W59*J59/15)-AE59,""),"")</f>
        <v/>
      </c>
      <c r="AH59" s="26">
        <f>IFERROR(AG59-AF59,0)</f>
        <v>0</v>
      </c>
      <c r="AI59" s="25">
        <f>(AH59/$AH$143)*$AL$30</f>
        <v>0</v>
      </c>
      <c r="AJ59" s="25">
        <f>(AH59-AI59)*70%</f>
        <v>0</v>
      </c>
    </row>
    <row r="60" spans="1:39" ht="15" hidden="1" thickBot="1" x14ac:dyDescent="0.4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0</v>
      </c>
    </row>
    <row r="61" spans="1:39" ht="15" hidden="1" thickBot="1" x14ac:dyDescent="0.4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 t="str">
        <f>IFERROR(AH59/AG59,"")</f>
        <v/>
      </c>
    </row>
    <row r="62" spans="1:39" ht="15" hidden="1" thickBot="1" x14ac:dyDescent="0.4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ht="15" hidden="1" thickBot="1" x14ac:dyDescent="0.4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ht="15" hidden="1" thickBot="1" x14ac:dyDescent="0.4">
      <c r="A64" s="20"/>
      <c r="B64" s="21"/>
      <c r="C64" s="21"/>
      <c r="D64" s="44"/>
      <c r="E64" s="44"/>
      <c r="F64" s="21"/>
      <c r="G64" s="21"/>
      <c r="H64" s="22">
        <v>0</v>
      </c>
      <c r="I64" s="33">
        <v>0</v>
      </c>
      <c r="J64" s="24" t="str">
        <f>IFERROR(K64/H64,"")</f>
        <v/>
      </c>
      <c r="K64" s="22">
        <v>0</v>
      </c>
      <c r="L64" s="21"/>
      <c r="M64" s="21"/>
      <c r="N64" s="21"/>
      <c r="O64" s="21"/>
      <c r="P64" s="21"/>
      <c r="Q64" s="21"/>
      <c r="R64" s="21"/>
      <c r="S64" s="21"/>
      <c r="T64" s="21"/>
      <c r="U64" s="25">
        <v>0</v>
      </c>
      <c r="V64" s="25">
        <f>H64*U64*I64/15</f>
        <v>0</v>
      </c>
      <c r="W64" s="25">
        <v>0</v>
      </c>
      <c r="X64" s="25">
        <v>0</v>
      </c>
      <c r="Y64" s="25">
        <f>IF(B64="FRANCISCO CAMACHO",((F64*42)+(G64*42)),IF(B64="DANILO VIANA",((F64*60)+(G64*60)),0))</f>
        <v>0</v>
      </c>
      <c r="Z64" s="25"/>
      <c r="AA64" s="25">
        <v>0</v>
      </c>
      <c r="AB64" s="25">
        <v>0</v>
      </c>
      <c r="AC64" s="25">
        <v>0</v>
      </c>
      <c r="AD64" s="25">
        <f>IF(F64="",G64*4.11,F64*4.11)</f>
        <v>0</v>
      </c>
      <c r="AE64" s="25">
        <v>0</v>
      </c>
      <c r="AF64" s="25">
        <f>V64+Y64+Z64+AA64+AB64+AC64+AD64</f>
        <v>0</v>
      </c>
      <c r="AG64" s="25" t="str">
        <f>IFERROR(IFERROR((H64*W64*J64/15)-AE64,""),"")</f>
        <v/>
      </c>
      <c r="AH64" s="26">
        <f>IFERROR(AG64-AF64,0)</f>
        <v>0</v>
      </c>
      <c r="AI64" s="25">
        <f>(AH64/$AH$143)*$AL$30</f>
        <v>0</v>
      </c>
      <c r="AJ64" s="25">
        <f>(AH64-AI64)*70%</f>
        <v>0</v>
      </c>
    </row>
    <row r="65" spans="1:36" ht="15" hidden="1" thickBot="1" x14ac:dyDescent="0.4">
      <c r="A65" s="20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0</v>
      </c>
    </row>
    <row r="66" spans="1:36" ht="15" hidden="1" thickBot="1" x14ac:dyDescent="0.4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 t="str">
        <f>IFERROR(AH64/AG64,"")</f>
        <v/>
      </c>
    </row>
    <row r="67" spans="1:36" ht="15" hidden="1" thickBot="1" x14ac:dyDescent="0.4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ht="15" hidden="1" thickBot="1" x14ac:dyDescent="0.4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ht="15" hidden="1" thickBot="1" x14ac:dyDescent="0.4">
      <c r="A69" s="20"/>
      <c r="B69" s="21"/>
      <c r="C69" s="21"/>
      <c r="D69" s="44"/>
      <c r="E69" s="44"/>
      <c r="F69" s="21"/>
      <c r="G69" s="21"/>
      <c r="H69" s="22">
        <v>0</v>
      </c>
      <c r="I69" s="33">
        <v>0</v>
      </c>
      <c r="J69" s="24" t="str">
        <f>IFERROR(K69/H69,"")</f>
        <v/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>
        <v>0</v>
      </c>
      <c r="V69" s="25">
        <f>H69*U69*I69/15</f>
        <v>0</v>
      </c>
      <c r="W69" s="25">
        <v>0</v>
      </c>
      <c r="X69" s="25">
        <v>0</v>
      </c>
      <c r="Y69" s="25">
        <f>IF(B69="FRANCISCO CAMACHO",((F69*42)+(G69*42)),IF(B69="DANILO VIANA",((F69*60)+(G69*60)),0))</f>
        <v>0</v>
      </c>
      <c r="Z69" s="25"/>
      <c r="AA69" s="25">
        <v>0</v>
      </c>
      <c r="AB69" s="25">
        <v>0</v>
      </c>
      <c r="AC69" s="25">
        <v>0</v>
      </c>
      <c r="AD69" s="25">
        <f>IF(F69="",G69*4.11,F69*4.11)</f>
        <v>0</v>
      </c>
      <c r="AE69" s="25">
        <v>0</v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25">
        <f>(AH69/$AH$143)*$AL$30</f>
        <v>0</v>
      </c>
      <c r="AJ69" s="25">
        <f>(AH69-AI69)*70%</f>
        <v>0</v>
      </c>
    </row>
    <row r="70" spans="1:36" ht="15" hidden="1" thickBot="1" x14ac:dyDescent="0.4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</row>
    <row r="71" spans="1:36" ht="15" hidden="1" thickBot="1" x14ac:dyDescent="0.4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</row>
    <row r="72" spans="1:36" ht="15" hidden="1" thickBot="1" x14ac:dyDescent="0.4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ht="15" hidden="1" thickBot="1" x14ac:dyDescent="0.4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ht="15" hidden="1" thickBot="1" x14ac:dyDescent="0.4">
      <c r="A74" s="20"/>
      <c r="B74" s="21"/>
      <c r="C74" s="21"/>
      <c r="D74" s="44"/>
      <c r="E74" s="44"/>
      <c r="F74" s="21"/>
      <c r="G74" s="21"/>
      <c r="H74" s="22">
        <v>0</v>
      </c>
      <c r="I74" s="33">
        <v>0</v>
      </c>
      <c r="J74" s="24" t="str">
        <f>IFERROR(K74/H74,"")</f>
        <v/>
      </c>
      <c r="K74" s="22"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>
        <v>0</v>
      </c>
      <c r="Y74" s="25">
        <f>IF(B74="FRANCISCO CAMACHO",((F74*42)+(G74*42)),IF(B74="DANILO VIANA",((F74*60)+(G74*60)),0))</f>
        <v>0</v>
      </c>
      <c r="Z74" s="25"/>
      <c r="AA74" s="25">
        <v>0</v>
      </c>
      <c r="AB74" s="25">
        <v>0</v>
      </c>
      <c r="AC74" s="25">
        <v>0</v>
      </c>
      <c r="AD74" s="25">
        <f>IF(F74="",G74*4.11,F74*4.11)</f>
        <v>0</v>
      </c>
      <c r="AE74" s="25">
        <v>0</v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25">
        <f>(AH74/$AH$143)*$AL$30</f>
        <v>0</v>
      </c>
      <c r="AJ74" s="25">
        <f>(AH74-AI74)*70%</f>
        <v>0</v>
      </c>
    </row>
    <row r="75" spans="1:36" ht="15" hidden="1" thickBot="1" x14ac:dyDescent="0.4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</row>
    <row r="76" spans="1:36" ht="15" hidden="1" thickBot="1" x14ac:dyDescent="0.4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</row>
    <row r="77" spans="1:36" ht="15" hidden="1" thickBot="1" x14ac:dyDescent="0.4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ht="15" hidden="1" thickBot="1" x14ac:dyDescent="0.4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ht="15" hidden="1" thickBot="1" x14ac:dyDescent="0.4">
      <c r="A79" s="20"/>
      <c r="B79" s="21"/>
      <c r="C79" s="21"/>
      <c r="D79" s="44"/>
      <c r="E79" s="44"/>
      <c r="F79" s="21"/>
      <c r="G79" s="21"/>
      <c r="H79" s="22">
        <v>0</v>
      </c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>
        <v>0</v>
      </c>
      <c r="Y79" s="25">
        <f>IF(B79="FRANCISCO CAMACHO",((F79*42)+(G79*42)),IF(B79="DANILO VIANA",((F79*60)+(G79*60)),0))</f>
        <v>0</v>
      </c>
      <c r="Z79" s="25"/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v>0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25">
        <f>(AH79/$AH$143)*$AL$30</f>
        <v>0</v>
      </c>
      <c r="AJ79" s="25">
        <f>(AH79-AI79)*70%</f>
        <v>0</v>
      </c>
    </row>
    <row r="80" spans="1:36" ht="15" hidden="1" thickBot="1" x14ac:dyDescent="0.4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</row>
    <row r="81" spans="1:36" ht="15" hidden="1" thickBot="1" x14ac:dyDescent="0.4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</row>
    <row r="82" spans="1:36" ht="15" hidden="1" thickBot="1" x14ac:dyDescent="0.4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ht="15" hidden="1" thickBot="1" x14ac:dyDescent="0.4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ht="15" hidden="1" thickBot="1" x14ac:dyDescent="0.4">
      <c r="A84" s="20"/>
      <c r="B84" s="21"/>
      <c r="C84" s="21"/>
      <c r="D84" s="44"/>
      <c r="E84" s="44"/>
      <c r="F84" s="21"/>
      <c r="G84" s="21"/>
      <c r="H84" s="22">
        <v>0</v>
      </c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f>IF(B84="FRANCISCO CAMACHO",((F84*42)+(G84*42)),IF(B84="DANILO VIANA",((F84*60)+(G84*60)),0))</f>
        <v>0</v>
      </c>
      <c r="Z84" s="25"/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25">
        <f>(AH84/$AH$143)*$AL$30</f>
        <v>0</v>
      </c>
      <c r="AJ84" s="25">
        <f>(AH84-AI84)*70%</f>
        <v>0</v>
      </c>
    </row>
    <row r="85" spans="1:36" ht="15" hidden="1" thickBot="1" x14ac:dyDescent="0.4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ht="15" hidden="1" thickBot="1" x14ac:dyDescent="0.4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ht="15" hidden="1" thickBot="1" x14ac:dyDescent="0.4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ht="15" hidden="1" thickBot="1" x14ac:dyDescent="0.4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ht="15" hidden="1" thickBot="1" x14ac:dyDescent="0.4">
      <c r="A89" s="20"/>
      <c r="B89" s="21"/>
      <c r="C89" s="21"/>
      <c r="D89" s="44"/>
      <c r="E89" s="44"/>
      <c r="F89" s="21"/>
      <c r="G89" s="21"/>
      <c r="H89" s="22">
        <v>0</v>
      </c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>
        <v>0</v>
      </c>
      <c r="Y89" s="25">
        <f>IF(B89="FRANCISCO CAMACHO",((F89*42)+(G89*42)),IF(B89="DANILO VIANA",((F89*60)+(G89*60)),0))</f>
        <v>0</v>
      </c>
      <c r="Z89" s="25"/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25">
        <f>(AH89/$AH$143)*$AL$30</f>
        <v>0</v>
      </c>
      <c r="AJ89" s="25">
        <f>(AH89-AI89)*70%</f>
        <v>0</v>
      </c>
    </row>
    <row r="90" spans="1:36" ht="15" hidden="1" thickBot="1" x14ac:dyDescent="0.4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ht="15" hidden="1" thickBot="1" x14ac:dyDescent="0.4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ht="15" hidden="1" thickBot="1" x14ac:dyDescent="0.4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ht="15" hidden="1" thickBot="1" x14ac:dyDescent="0.4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ht="15" hidden="1" thickBot="1" x14ac:dyDescent="0.4">
      <c r="A94" s="20"/>
      <c r="B94" s="21"/>
      <c r="C94" s="21"/>
      <c r="D94" s="44"/>
      <c r="E94" s="44"/>
      <c r="F94" s="21"/>
      <c r="G94" s="21"/>
      <c r="H94" s="22">
        <v>0</v>
      </c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f>IF(B94="FRANCISCO CAMACHO",((F94*42)+(G94*42)),IF(B94="DANILO VIANA",((F94*60)+(G94*60)),0))</f>
        <v>0</v>
      </c>
      <c r="Z94" s="25"/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25">
        <f>(AH94/$AH$143)*$AL$30</f>
        <v>0</v>
      </c>
      <c r="AJ94" s="25">
        <f>(AH94-AI94)*70%</f>
        <v>0</v>
      </c>
    </row>
    <row r="95" spans="1:36" ht="15" hidden="1" thickBot="1" x14ac:dyDescent="0.4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ht="15" hidden="1" thickBot="1" x14ac:dyDescent="0.4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ht="15" hidden="1" thickBot="1" x14ac:dyDescent="0.4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ht="15" hidden="1" thickBot="1" x14ac:dyDescent="0.4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ht="15" hidden="1" thickBot="1" x14ac:dyDescent="0.4">
      <c r="A99" s="20"/>
      <c r="B99" s="21"/>
      <c r="C99" s="21"/>
      <c r="D99" s="44"/>
      <c r="E99" s="44"/>
      <c r="F99" s="21"/>
      <c r="G99" s="21"/>
      <c r="H99" s="22">
        <v>0</v>
      </c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IF(B99="FRANCISCO CAMACHO",((F99*42)+(G99*42)),IF(B99="DANILO VIANA",((F99*60)+(G99*60)),0))</f>
        <v>0</v>
      </c>
      <c r="Z99" s="25"/>
      <c r="AA99" s="25">
        <v>0</v>
      </c>
      <c r="AB99" s="25">
        <v>0</v>
      </c>
      <c r="AC99" s="25"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(AH99/$AH$143)*$AL$30</f>
        <v>0</v>
      </c>
      <c r="AJ99" s="25">
        <f>(AH99-AI99)*70%</f>
        <v>0</v>
      </c>
    </row>
    <row r="100" spans="1:36" ht="15" hidden="1" thickBot="1" x14ac:dyDescent="0.4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ht="15" hidden="1" thickBot="1" x14ac:dyDescent="0.4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ht="15" hidden="1" thickBot="1" x14ac:dyDescent="0.4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ht="15" hidden="1" thickBot="1" x14ac:dyDescent="0.4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ht="15" hidden="1" thickBot="1" x14ac:dyDescent="0.4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IF(B104="FRANCISCO CAMACHO",((F104*42)+(G104*42)),IF(B104="DANILO VIANA",((F104*60)+(G104*60)),0))</f>
        <v>0</v>
      </c>
      <c r="Z104" s="25"/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(AH104/$AH$143)*$AL$30</f>
        <v>0</v>
      </c>
      <c r="AJ104" s="25">
        <f>(AH104-AI104)*70%</f>
        <v>0</v>
      </c>
    </row>
    <row r="105" spans="1:36" ht="15" hidden="1" thickBot="1" x14ac:dyDescent="0.4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ht="15" hidden="1" thickBot="1" x14ac:dyDescent="0.4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ht="15" hidden="1" thickBot="1" x14ac:dyDescent="0.4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ht="15" hidden="1" thickBot="1" x14ac:dyDescent="0.4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ht="15" hidden="1" thickBot="1" x14ac:dyDescent="0.4">
      <c r="A109" s="20"/>
      <c r="B109" s="21"/>
      <c r="C109" s="21"/>
      <c r="D109" s="44"/>
      <c r="E109" s="44"/>
      <c r="F109" s="21"/>
      <c r="G109" s="21"/>
      <c r="H109" s="22">
        <v>0</v>
      </c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>
        <v>0</v>
      </c>
      <c r="Y109" s="25">
        <f>IF(B109="FRANCISCO CAMACHO",((F109*42)+(G109*42)),IF(B109="DANILO VIANA",((F109*60)+(G109*60)),0))</f>
        <v>0</v>
      </c>
      <c r="Z109" s="25"/>
      <c r="AA109" s="25">
        <v>0</v>
      </c>
      <c r="AB109" s="25">
        <v>0</v>
      </c>
      <c r="AC109" s="25"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(AH109/$AH$143)*$AL$30</f>
        <v>0</v>
      </c>
      <c r="AJ109" s="25">
        <f>(AH109-AI109)*70%</f>
        <v>0</v>
      </c>
    </row>
    <row r="110" spans="1:36" ht="15" hidden="1" thickBot="1" x14ac:dyDescent="0.4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ht="15" hidden="1" thickBot="1" x14ac:dyDescent="0.4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ht="15" hidden="1" thickBot="1" x14ac:dyDescent="0.4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hidden="1" customHeight="1" x14ac:dyDescent="0.4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ht="15" hidden="1" thickBot="1" x14ac:dyDescent="0.4">
      <c r="A114" s="20"/>
      <c r="B114" s="21"/>
      <c r="C114" s="21"/>
      <c r="D114" s="44"/>
      <c r="E114" s="44"/>
      <c r="F114" s="21"/>
      <c r="G114" s="21"/>
      <c r="H114" s="22">
        <v>0</v>
      </c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>
        <v>0</v>
      </c>
      <c r="X114" s="25">
        <v>0</v>
      </c>
      <c r="Y114" s="25">
        <f>IF(B114="FRANCISCO CAMACHO",((F114*42)+(G114*42)),IF(B114="DANILO VIANA",((F114*60)+(G114*60)),0))</f>
        <v>0</v>
      </c>
      <c r="Z114" s="25"/>
      <c r="AA114" s="25">
        <v>0</v>
      </c>
      <c r="AB114" s="25">
        <v>0</v>
      </c>
      <c r="AC114" s="25">
        <v>0</v>
      </c>
      <c r="AD114" s="25">
        <f>IF(F114="",G114*4.11,F114*4.11)</f>
        <v>0</v>
      </c>
      <c r="AE114" s="25">
        <v>0</v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25">
        <f>(AH114/$AH$143)*$AL$30</f>
        <v>0</v>
      </c>
      <c r="AJ114" s="25">
        <f>(AH114-AI114)*70%</f>
        <v>0</v>
      </c>
    </row>
    <row r="115" spans="1:36" ht="15" hidden="1" thickBot="1" x14ac:dyDescent="0.4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ht="15" hidden="1" thickBot="1" x14ac:dyDescent="0.4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ht="15" hidden="1" thickBot="1" x14ac:dyDescent="0.4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47"/>
      <c r="AJ117" s="47"/>
    </row>
    <row r="118" spans="1:36" ht="15" hidden="1" thickBot="1" x14ac:dyDescent="0.4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ht="15" hidden="1" thickBot="1" x14ac:dyDescent="0.4">
      <c r="A119" s="20"/>
      <c r="B119" s="21"/>
      <c r="C119" s="21"/>
      <c r="D119" s="44"/>
      <c r="E119" s="44"/>
      <c r="F119" s="21"/>
      <c r="G119" s="21"/>
      <c r="H119" s="22">
        <v>0</v>
      </c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>
        <v>0</v>
      </c>
      <c r="X119" s="25">
        <v>0</v>
      </c>
      <c r="Y119" s="25">
        <f>IF(B119="FRANCISCO CAMACHO",((F119*42)+(G119*42)),IF(B119="DANILO VIANA",((F119*60)+(G119*60)),0))</f>
        <v>0</v>
      </c>
      <c r="Z119" s="25"/>
      <c r="AA119" s="25">
        <v>0</v>
      </c>
      <c r="AB119" s="25">
        <v>0</v>
      </c>
      <c r="AC119" s="25">
        <v>0</v>
      </c>
      <c r="AD119" s="25">
        <f>IF(F119="",G119*4.11,F119*4.11)</f>
        <v>0</v>
      </c>
      <c r="AE119" s="25">
        <v>0</v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25">
        <f>(AH119/$AH$143)*$AL$30</f>
        <v>0</v>
      </c>
      <c r="AJ119" s="25">
        <f>(AH119-AI119)*70%</f>
        <v>0</v>
      </c>
    </row>
    <row r="120" spans="1:36" ht="15" hidden="1" thickBot="1" x14ac:dyDescent="0.4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ht="15" hidden="1" thickBot="1" x14ac:dyDescent="0.4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ht="15" hidden="1" thickBot="1" x14ac:dyDescent="0.4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ht="15" hidden="1" thickBot="1" x14ac:dyDescent="0.4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ht="15" hidden="1" thickBot="1" x14ac:dyDescent="0.4">
      <c r="A124" s="20"/>
      <c r="B124" s="21"/>
      <c r="C124" s="21"/>
      <c r="D124" s="44"/>
      <c r="E124" s="44"/>
      <c r="F124" s="21"/>
      <c r="G124" s="21"/>
      <c r="H124" s="22">
        <v>0</v>
      </c>
      <c r="I124" s="33">
        <v>0</v>
      </c>
      <c r="J124" s="24" t="str">
        <f>IFERROR(K124/H124,"")</f>
        <v/>
      </c>
      <c r="K124" s="22">
        <v>0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>
        <v>0</v>
      </c>
      <c r="X124" s="25">
        <v>0</v>
      </c>
      <c r="Y124" s="25">
        <f>IF(B124="FRANCISCO CAMACHO",((F124*42)+(G124*42)),IF(B124="DANILO VIANA",((F124*60)+(G124*60)),0))</f>
        <v>0</v>
      </c>
      <c r="Z124" s="25"/>
      <c r="AA124" s="25">
        <v>0</v>
      </c>
      <c r="AB124" s="25">
        <v>0</v>
      </c>
      <c r="AC124" s="25">
        <v>0</v>
      </c>
      <c r="AD124" s="25">
        <f>IF(F124="",G124*4.11,F124*4.11)</f>
        <v>0</v>
      </c>
      <c r="AE124" s="25">
        <v>0</v>
      </c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25">
        <f>(AH124/$AH$143)*$AL$30</f>
        <v>0</v>
      </c>
      <c r="AJ124" s="25">
        <f>(AH124-AI124)*70%</f>
        <v>0</v>
      </c>
    </row>
    <row r="125" spans="1:36" ht="15" hidden="1" thickBot="1" x14ac:dyDescent="0.4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ht="15" hidden="1" thickBot="1" x14ac:dyDescent="0.4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ht="15" hidden="1" thickBot="1" x14ac:dyDescent="0.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</row>
    <row r="128" spans="1:36" ht="15" hidden="1" thickBot="1" x14ac:dyDescent="0.4">
      <c r="A128" s="14" t="s">
        <v>1</v>
      </c>
      <c r="B128" s="14" t="s">
        <v>2</v>
      </c>
      <c r="C128" s="14" t="s">
        <v>110</v>
      </c>
      <c r="D128" s="14" t="s">
        <v>66</v>
      </c>
      <c r="E128" s="14" t="s">
        <v>638</v>
      </c>
      <c r="F128" s="14" t="s">
        <v>137</v>
      </c>
      <c r="G128" s="14" t="s">
        <v>138</v>
      </c>
      <c r="H128" s="14" t="s">
        <v>4</v>
      </c>
      <c r="I128" s="14" t="s">
        <v>5</v>
      </c>
      <c r="J128" s="14" t="s">
        <v>6</v>
      </c>
      <c r="K128" s="14" t="s">
        <v>7</v>
      </c>
      <c r="L128" s="14" t="s">
        <v>279</v>
      </c>
      <c r="M128" s="14" t="s">
        <v>280</v>
      </c>
      <c r="N128" s="14" t="s">
        <v>281</v>
      </c>
      <c r="O128" s="14" t="s">
        <v>282</v>
      </c>
      <c r="P128" s="14" t="s">
        <v>283</v>
      </c>
      <c r="Q128" s="14" t="s">
        <v>284</v>
      </c>
      <c r="R128" s="14" t="s">
        <v>904</v>
      </c>
      <c r="S128" s="14" t="s">
        <v>285</v>
      </c>
      <c r="T128" s="14" t="s">
        <v>289</v>
      </c>
      <c r="U128" s="14" t="s">
        <v>8</v>
      </c>
      <c r="V128" s="14" t="s">
        <v>9</v>
      </c>
      <c r="W128" s="14" t="s">
        <v>10</v>
      </c>
      <c r="X128" s="14" t="s">
        <v>100</v>
      </c>
      <c r="Y128" s="14" t="s">
        <v>106</v>
      </c>
      <c r="Z128" s="14" t="s">
        <v>12</v>
      </c>
      <c r="AA128" s="14" t="s">
        <v>258</v>
      </c>
      <c r="AB128" s="14" t="s">
        <v>13</v>
      </c>
      <c r="AC128" s="14" t="s">
        <v>74</v>
      </c>
      <c r="AD128" s="14" t="s">
        <v>21</v>
      </c>
      <c r="AE128" s="14" t="s">
        <v>14</v>
      </c>
      <c r="AF128" s="14" t="s">
        <v>15</v>
      </c>
      <c r="AG128" s="14" t="s">
        <v>16</v>
      </c>
      <c r="AH128" s="15" t="s">
        <v>17</v>
      </c>
      <c r="AI128" s="14" t="s">
        <v>679</v>
      </c>
      <c r="AJ128" s="14" t="s">
        <v>678</v>
      </c>
    </row>
    <row r="129" spans="1:36" ht="15" hidden="1" thickBot="1" x14ac:dyDescent="0.4">
      <c r="A129" s="20"/>
      <c r="B129" s="21"/>
      <c r="C129" s="21"/>
      <c r="D129" s="44"/>
      <c r="E129" s="44"/>
      <c r="F129" s="21"/>
      <c r="G129" s="21"/>
      <c r="H129" s="22">
        <v>0</v>
      </c>
      <c r="I129" s="33">
        <v>0</v>
      </c>
      <c r="J129" s="24" t="str">
        <f>IFERROR(K129/H129,"")</f>
        <v/>
      </c>
      <c r="K129" s="22">
        <v>0</v>
      </c>
      <c r="L129" s="21"/>
      <c r="M129" s="21"/>
      <c r="N129" s="21"/>
      <c r="O129" s="21"/>
      <c r="P129" s="21"/>
      <c r="Q129" s="21"/>
      <c r="R129" s="21"/>
      <c r="S129" s="21"/>
      <c r="T129" s="21"/>
      <c r="U129" s="25">
        <v>0</v>
      </c>
      <c r="V129" s="25">
        <f>H129*U129*I129/15</f>
        <v>0</v>
      </c>
      <c r="W129" s="25">
        <v>0</v>
      </c>
      <c r="X129" s="25">
        <v>0</v>
      </c>
      <c r="Y129" s="25">
        <f>IF(B129="FRANCISCO CAMACHO",((F129*42)+(G129*42)),IF(B129="DANILO VIANA",((F129*60)+(G129*60)),0))</f>
        <v>0</v>
      </c>
      <c r="Z129" s="25"/>
      <c r="AA129" s="25">
        <v>0</v>
      </c>
      <c r="AB129" s="25">
        <v>0</v>
      </c>
      <c r="AC129" s="25">
        <v>0</v>
      </c>
      <c r="AD129" s="25">
        <f>IF(F129="",G129*4.11,F129*4.11)</f>
        <v>0</v>
      </c>
      <c r="AE129" s="25">
        <v>0</v>
      </c>
      <c r="AF129" s="25">
        <f>V129+Y129+Z129+AA129+AB129+AC129+AD129</f>
        <v>0</v>
      </c>
      <c r="AG129" s="25" t="str">
        <f>IFERROR(IFERROR((H129*W129*J129/15)-AE129,""),"")</f>
        <v/>
      </c>
      <c r="AH129" s="26">
        <f>IFERROR(AG129-AF129,0)</f>
        <v>0</v>
      </c>
      <c r="AI129" s="25">
        <f>(AH129/$AH$143)*$AL$30</f>
        <v>0</v>
      </c>
      <c r="AJ129" s="25">
        <f>(AH129-AI129)*70%</f>
        <v>0</v>
      </c>
    </row>
    <row r="130" spans="1:36" ht="15" hidden="1" thickBot="1" x14ac:dyDescent="0.4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3"/>
      <c r="AA130" s="21"/>
      <c r="AB130" s="21"/>
      <c r="AC130" s="21"/>
      <c r="AD130" s="21"/>
      <c r="AE130" s="21"/>
      <c r="AF130" s="21"/>
      <c r="AG130" s="21"/>
      <c r="AH130" s="26">
        <f>IFERROR(AH129/F129,0)+IFERROR(AH129/G129,0)</f>
        <v>0</v>
      </c>
    </row>
    <row r="131" spans="1:36" ht="15" hidden="1" thickBot="1" x14ac:dyDescent="0.4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7" t="str">
        <f>IFERROR(AH129/AG129,"")</f>
        <v/>
      </c>
    </row>
    <row r="132" spans="1:36" ht="15" hidden="1" thickBot="1" x14ac:dyDescent="0.4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</row>
    <row r="133" spans="1:36" ht="15" hidden="1" thickBot="1" x14ac:dyDescent="0.4">
      <c r="A133" s="14" t="s">
        <v>1</v>
      </c>
      <c r="B133" s="14" t="s">
        <v>2</v>
      </c>
      <c r="C133" s="14" t="s">
        <v>110</v>
      </c>
      <c r="D133" s="14" t="s">
        <v>66</v>
      </c>
      <c r="E133" s="14" t="s">
        <v>638</v>
      </c>
      <c r="F133" s="14" t="s">
        <v>137</v>
      </c>
      <c r="G133" s="14" t="s">
        <v>138</v>
      </c>
      <c r="H133" s="14" t="s">
        <v>4</v>
      </c>
      <c r="I133" s="14" t="s">
        <v>5</v>
      </c>
      <c r="J133" s="14" t="s">
        <v>6</v>
      </c>
      <c r="K133" s="14" t="s">
        <v>7</v>
      </c>
      <c r="L133" s="14" t="s">
        <v>279</v>
      </c>
      <c r="M133" s="14" t="s">
        <v>280</v>
      </c>
      <c r="N133" s="14" t="s">
        <v>281</v>
      </c>
      <c r="O133" s="14" t="s">
        <v>282</v>
      </c>
      <c r="P133" s="14" t="s">
        <v>283</v>
      </c>
      <c r="Q133" s="14" t="s">
        <v>284</v>
      </c>
      <c r="R133" s="14" t="s">
        <v>904</v>
      </c>
      <c r="S133" s="14" t="s">
        <v>285</v>
      </c>
      <c r="T133" s="14" t="s">
        <v>289</v>
      </c>
      <c r="U133" s="14" t="s">
        <v>8</v>
      </c>
      <c r="V133" s="14" t="s">
        <v>9</v>
      </c>
      <c r="W133" s="14" t="s">
        <v>10</v>
      </c>
      <c r="X133" s="14" t="s">
        <v>100</v>
      </c>
      <c r="Y133" s="14" t="s">
        <v>106</v>
      </c>
      <c r="Z133" s="14" t="s">
        <v>12</v>
      </c>
      <c r="AA133" s="14" t="s">
        <v>258</v>
      </c>
      <c r="AB133" s="14" t="s">
        <v>13</v>
      </c>
      <c r="AC133" s="14" t="s">
        <v>74</v>
      </c>
      <c r="AD133" s="14" t="s">
        <v>21</v>
      </c>
      <c r="AE133" s="14" t="s">
        <v>14</v>
      </c>
      <c r="AF133" s="14" t="s">
        <v>15</v>
      </c>
      <c r="AG133" s="14" t="s">
        <v>16</v>
      </c>
      <c r="AH133" s="15" t="s">
        <v>17</v>
      </c>
      <c r="AI133" s="14" t="s">
        <v>679</v>
      </c>
      <c r="AJ133" s="14" t="s">
        <v>678</v>
      </c>
    </row>
    <row r="134" spans="1:36" ht="15" hidden="1" thickBot="1" x14ac:dyDescent="0.4">
      <c r="A134" s="20"/>
      <c r="B134" s="21"/>
      <c r="C134" s="21"/>
      <c r="D134" s="44"/>
      <c r="E134" s="44"/>
      <c r="F134" s="21"/>
      <c r="G134" s="21"/>
      <c r="H134" s="22">
        <v>0</v>
      </c>
      <c r="I134" s="33">
        <v>0</v>
      </c>
      <c r="J134" s="24" t="str">
        <f>IFERROR(K134/H134,"")</f>
        <v/>
      </c>
      <c r="K134" s="22">
        <v>0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5">
        <v>0</v>
      </c>
      <c r="V134" s="25">
        <f>H134*U134*I134/15</f>
        <v>0</v>
      </c>
      <c r="W134" s="25">
        <v>0</v>
      </c>
      <c r="X134" s="25">
        <v>0</v>
      </c>
      <c r="Y134" s="25">
        <f>IF(B134="FRANCISCO CAMACHO",((F134*42)+(G134*42)),IF(B134="DANILO VIANA",((F134*60)+(G134*60)),0))</f>
        <v>0</v>
      </c>
      <c r="Z134" s="25"/>
      <c r="AA134" s="25">
        <v>0</v>
      </c>
      <c r="AB134" s="25">
        <v>0</v>
      </c>
      <c r="AC134" s="25">
        <v>0</v>
      </c>
      <c r="AD134" s="25">
        <f>IF(F134="",G134*4.11,F134*4.11)</f>
        <v>0</v>
      </c>
      <c r="AE134" s="25">
        <v>0</v>
      </c>
      <c r="AF134" s="25">
        <f>V134+Y134+Z134+AA134+AB134+AC134+AD134</f>
        <v>0</v>
      </c>
      <c r="AG134" s="25" t="str">
        <f>IFERROR(IFERROR((H134*W134*J134/15)-AE134,""),"")</f>
        <v/>
      </c>
      <c r="AH134" s="26">
        <f>IFERROR(AG134-AF134,0)</f>
        <v>0</v>
      </c>
      <c r="AI134" s="25">
        <f>(AH134/$AH$143)*$AL$30</f>
        <v>0</v>
      </c>
      <c r="AJ134" s="25">
        <f>(AH134-AI134)*70%</f>
        <v>0</v>
      </c>
    </row>
    <row r="135" spans="1:36" ht="15" hidden="1" thickBot="1" x14ac:dyDescent="0.4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3"/>
      <c r="AA135" s="21"/>
      <c r="AB135" s="21"/>
      <c r="AC135" s="21"/>
      <c r="AD135" s="21"/>
      <c r="AE135" s="21"/>
      <c r="AF135" s="21"/>
      <c r="AG135" s="21"/>
      <c r="AH135" s="26">
        <f>IFERROR(AH134/F134,0)+IFERROR(AH134/G134,0)</f>
        <v>0</v>
      </c>
    </row>
    <row r="136" spans="1:36" ht="15" hidden="1" thickBot="1" x14ac:dyDescent="0.4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7" t="str">
        <f>IFERROR(AH134/AG134,"")</f>
        <v/>
      </c>
    </row>
    <row r="137" spans="1:36" ht="15" hidden="1" thickBot="1" x14ac:dyDescent="0.4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47"/>
    </row>
    <row r="138" spans="1:36" ht="15" hidden="1" thickBot="1" x14ac:dyDescent="0.4">
      <c r="A138" s="14" t="s">
        <v>1</v>
      </c>
      <c r="B138" s="14" t="s">
        <v>2</v>
      </c>
      <c r="C138" s="14" t="s">
        <v>110</v>
      </c>
      <c r="D138" s="14" t="s">
        <v>66</v>
      </c>
      <c r="E138" s="14" t="s">
        <v>638</v>
      </c>
      <c r="F138" s="14" t="s">
        <v>137</v>
      </c>
      <c r="G138" s="14" t="s">
        <v>138</v>
      </c>
      <c r="H138" s="14" t="s">
        <v>4</v>
      </c>
      <c r="I138" s="14" t="s">
        <v>5</v>
      </c>
      <c r="J138" s="14" t="s">
        <v>6</v>
      </c>
      <c r="K138" s="14" t="s">
        <v>7</v>
      </c>
      <c r="L138" s="14" t="s">
        <v>279</v>
      </c>
      <c r="M138" s="14" t="s">
        <v>280</v>
      </c>
      <c r="N138" s="14" t="s">
        <v>281</v>
      </c>
      <c r="O138" s="14" t="s">
        <v>282</v>
      </c>
      <c r="P138" s="14" t="s">
        <v>283</v>
      </c>
      <c r="Q138" s="14" t="s">
        <v>284</v>
      </c>
      <c r="R138" s="14" t="s">
        <v>904</v>
      </c>
      <c r="S138" s="14" t="s">
        <v>285</v>
      </c>
      <c r="T138" s="14" t="s">
        <v>289</v>
      </c>
      <c r="U138" s="14" t="s">
        <v>8</v>
      </c>
      <c r="V138" s="14" t="s">
        <v>9</v>
      </c>
      <c r="W138" s="14" t="s">
        <v>10</v>
      </c>
      <c r="X138" s="14" t="s">
        <v>100</v>
      </c>
      <c r="Y138" s="14" t="s">
        <v>106</v>
      </c>
      <c r="Z138" s="14" t="s">
        <v>12</v>
      </c>
      <c r="AA138" s="14" t="s">
        <v>258</v>
      </c>
      <c r="AB138" s="14" t="s">
        <v>13</v>
      </c>
      <c r="AC138" s="14" t="s">
        <v>74</v>
      </c>
      <c r="AD138" s="14" t="s">
        <v>21</v>
      </c>
      <c r="AE138" s="14" t="s">
        <v>14</v>
      </c>
      <c r="AF138" s="14" t="s">
        <v>15</v>
      </c>
      <c r="AG138" s="14" t="s">
        <v>16</v>
      </c>
      <c r="AH138" s="15" t="s">
        <v>17</v>
      </c>
      <c r="AI138" s="14" t="s">
        <v>679</v>
      </c>
      <c r="AJ138" s="14" t="s">
        <v>678</v>
      </c>
    </row>
    <row r="139" spans="1:36" ht="15" hidden="1" thickBot="1" x14ac:dyDescent="0.4">
      <c r="A139" s="20"/>
      <c r="B139" s="21"/>
      <c r="C139" s="21"/>
      <c r="D139" s="44"/>
      <c r="E139" s="44"/>
      <c r="F139" s="21"/>
      <c r="G139" s="21"/>
      <c r="H139" s="22">
        <v>0</v>
      </c>
      <c r="I139" s="33">
        <v>0</v>
      </c>
      <c r="J139" s="24" t="str">
        <f>IFERROR(K139/H139,"")</f>
        <v/>
      </c>
      <c r="K139" s="22">
        <v>0</v>
      </c>
      <c r="L139" s="21"/>
      <c r="M139" s="21"/>
      <c r="N139" s="21"/>
      <c r="O139" s="21"/>
      <c r="P139" s="21"/>
      <c r="Q139" s="21"/>
      <c r="R139" s="21"/>
      <c r="S139" s="21"/>
      <c r="T139" s="21"/>
      <c r="U139" s="25">
        <v>0</v>
      </c>
      <c r="V139" s="25">
        <f>H139*U139*I139/15</f>
        <v>0</v>
      </c>
      <c r="W139" s="25">
        <v>0</v>
      </c>
      <c r="X139" s="25">
        <v>0</v>
      </c>
      <c r="Y139" s="25">
        <f>IF(B139="FRANCISCO CAMACHO",((F139*42)+(G139*42)),IF(B139="DANILO VIANA",((F139*60)+(G139*60)),0))</f>
        <v>0</v>
      </c>
      <c r="Z139" s="25"/>
      <c r="AA139" s="25">
        <v>0</v>
      </c>
      <c r="AB139" s="25">
        <v>0</v>
      </c>
      <c r="AC139" s="25">
        <v>0</v>
      </c>
      <c r="AD139" s="25">
        <f>IF(F139="",G139*4.11,F139*4.11)</f>
        <v>0</v>
      </c>
      <c r="AE139" s="25">
        <v>0</v>
      </c>
      <c r="AF139" s="25">
        <f>V139+Y139+Z139+AA139+AB139+AC139+AD139</f>
        <v>0</v>
      </c>
      <c r="AG139" s="25" t="str">
        <f>IFERROR(IFERROR((H139*W139*J139/15)-AE139,""),"")</f>
        <v/>
      </c>
      <c r="AH139" s="26">
        <f>IFERROR(AG139-AF139,0)</f>
        <v>0</v>
      </c>
      <c r="AI139" s="25">
        <f>(AH139/$AH$143)*$AL$30</f>
        <v>0</v>
      </c>
      <c r="AJ139" s="25">
        <f>(AH139-AI139)*70%</f>
        <v>0</v>
      </c>
    </row>
    <row r="140" spans="1:36" ht="15" hidden="1" thickBot="1" x14ac:dyDescent="0.4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3"/>
      <c r="AA140" s="21"/>
      <c r="AB140" s="21"/>
      <c r="AC140" s="21"/>
      <c r="AD140" s="21"/>
      <c r="AE140" s="21"/>
      <c r="AF140" s="21"/>
      <c r="AG140" s="21"/>
      <c r="AH140" s="26">
        <f>IFERROR(AH139/F139,0)+IFERROR(AH139/G139,0)</f>
        <v>0</v>
      </c>
    </row>
    <row r="141" spans="1:36" ht="15" hidden="1" thickBot="1" x14ac:dyDescent="0.4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7" t="str">
        <f>IFERROR(AH139/AG139,"")</f>
        <v/>
      </c>
    </row>
    <row r="142" spans="1:36" ht="15" hidden="1" thickBot="1" x14ac:dyDescent="0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47"/>
      <c r="AI142" s="47"/>
      <c r="AJ142" s="47"/>
    </row>
    <row r="143" spans="1:36" ht="16" thickBot="1" x14ac:dyDescent="0.4">
      <c r="A143" s="377" t="s">
        <v>803</v>
      </c>
      <c r="B143" s="378"/>
      <c r="C143" s="378"/>
      <c r="D143" s="378"/>
      <c r="E143" s="378"/>
      <c r="F143" s="163">
        <f>SUM(F4:F142)</f>
        <v>750</v>
      </c>
      <c r="G143" s="163">
        <f>SUM(G4:G142)</f>
        <v>0</v>
      </c>
      <c r="H143" s="30"/>
      <c r="I143" s="30"/>
      <c r="J143" s="30"/>
      <c r="K143" s="30"/>
      <c r="L143" s="46"/>
      <c r="M143" s="46"/>
      <c r="N143" s="46"/>
      <c r="O143" s="46"/>
      <c r="P143" s="46"/>
      <c r="Q143" s="46"/>
      <c r="R143" s="46"/>
      <c r="S143" s="46"/>
      <c r="T143" s="46"/>
      <c r="U143" s="30"/>
      <c r="V143" s="31">
        <f>SUM(V4:V142)</f>
        <v>3364589.2666666671</v>
      </c>
      <c r="W143" s="31"/>
      <c r="X143" s="31"/>
      <c r="Y143" s="31">
        <f t="shared" ref="Y143:AG143" si="0">SUM(Y4:Y142)</f>
        <v>23400</v>
      </c>
      <c r="Z143" s="31">
        <f t="shared" si="0"/>
        <v>187804.14</v>
      </c>
      <c r="AA143" s="31">
        <f t="shared" si="0"/>
        <v>0</v>
      </c>
      <c r="AB143" s="31">
        <f t="shared" si="0"/>
        <v>21562.5</v>
      </c>
      <c r="AC143" s="31">
        <f t="shared" si="0"/>
        <v>20900</v>
      </c>
      <c r="AD143" s="31">
        <f t="shared" si="0"/>
        <v>3082.5</v>
      </c>
      <c r="AE143" s="31">
        <f t="shared" si="0"/>
        <v>7439.75</v>
      </c>
      <c r="AF143" s="31">
        <f t="shared" si="0"/>
        <v>3621338.4066666667</v>
      </c>
      <c r="AG143" s="31">
        <f t="shared" si="0"/>
        <v>3712462.4543333328</v>
      </c>
      <c r="AH143" s="161">
        <f>AH4+AH9+AH14+AH19+AH24+AH29+AH34+AH39+AH44+AH49+AH54+AH59+AH64+AH69+AH74+AH79+AH84+AH89+AH94+AH99+AH104+AH109+AH114+AH119+AH124+AH129+AH134+AH139</f>
        <v>91124.047666666185</v>
      </c>
      <c r="AI143" s="165">
        <f>SUM(AI4:AI141)</f>
        <v>5605.5499999999993</v>
      </c>
      <c r="AJ143" s="165">
        <f>SUM(AJ4:AJ141)</f>
        <v>59862.948366666322</v>
      </c>
    </row>
    <row r="144" spans="1:36" hidden="1" x14ac:dyDescent="0.35"/>
    <row r="145" spans="22:35" hidden="1" x14ac:dyDescent="0.35">
      <c r="V145" s="162"/>
      <c r="AI145" s="25"/>
    </row>
  </sheetData>
  <autoFilter ref="A3:AJ145">
    <filterColumn colId="0">
      <filters>
        <filter val="FECHAMENTO 18/11/2023"/>
        <dateGroupItem year="2024" dateTimeGrouping="year"/>
      </filters>
    </filterColumn>
  </autoFilter>
  <mergeCells count="2">
    <mergeCell ref="U2:AC2"/>
    <mergeCell ref="A143:E14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AN145"/>
  <sheetViews>
    <sheetView tabSelected="1" zoomScale="85" zoomScaleNormal="85" workbookViewId="0">
      <pane xSplit="7" ySplit="3" topLeftCell="AG4" activePane="bottomRight" state="frozen"/>
      <selection activeCell="E57" sqref="E57"/>
      <selection pane="topRight" activeCell="E57" sqref="E57"/>
      <selection pane="bottomLeft" activeCell="E57" sqref="E57"/>
      <selection pane="bottomRight" activeCell="E57" sqref="E57"/>
    </sheetView>
  </sheetViews>
  <sheetFormatPr defaultRowHeight="14.5" x14ac:dyDescent="0.35"/>
  <cols>
    <col min="1" max="1" width="12.1796875" customWidth="1"/>
    <col min="2" max="2" width="21.453125" customWidth="1"/>
    <col min="3" max="3" width="34.453125" bestFit="1" customWidth="1"/>
    <col min="4" max="4" width="12.453125" customWidth="1"/>
    <col min="5" max="5" width="16.1796875" bestFit="1" customWidth="1"/>
    <col min="6" max="6" width="8.81640625" customWidth="1"/>
    <col min="7" max="7" width="10.7265625" customWidth="1"/>
    <col min="8" max="8" width="11.7265625" customWidth="1"/>
    <col min="9" max="9" width="8.81640625" customWidth="1"/>
    <col min="10" max="10" width="11.26953125" customWidth="1"/>
    <col min="11" max="11" width="13.81640625" customWidth="1"/>
    <col min="12" max="16" width="8.81640625" customWidth="1"/>
    <col min="17" max="18" width="11.26953125" customWidth="1"/>
    <col min="19" max="20" width="3.7265625" customWidth="1"/>
    <col min="21" max="21" width="15.54296875" customWidth="1"/>
    <col min="22" max="22" width="19.54296875" customWidth="1"/>
    <col min="23" max="23" width="15.1796875" customWidth="1"/>
    <col min="24" max="24" width="16.81640625" customWidth="1"/>
    <col min="25" max="25" width="19.1796875" customWidth="1"/>
    <col min="26" max="26" width="15.453125" customWidth="1"/>
    <col min="27" max="27" width="14.7265625" customWidth="1"/>
    <col min="28" max="28" width="14.26953125" customWidth="1"/>
    <col min="29" max="29" width="14.26953125" bestFit="1" customWidth="1"/>
    <col min="30" max="30" width="17.26953125" customWidth="1"/>
    <col min="31" max="31" width="14" customWidth="1"/>
    <col min="32" max="32" width="19.26953125" customWidth="1"/>
    <col min="33" max="33" width="17.1796875" customWidth="1"/>
    <col min="34" max="34" width="20" bestFit="1" customWidth="1"/>
    <col min="35" max="36" width="20" style="21" customWidth="1"/>
    <col min="38" max="38" width="19" customWidth="1"/>
    <col min="39" max="39" width="20.1796875" customWidth="1"/>
    <col min="40" max="40" width="48.453125" customWidth="1"/>
  </cols>
  <sheetData>
    <row r="1" spans="1:40" ht="15" thickBot="1" x14ac:dyDescent="0.4"/>
    <row r="2" spans="1:40" ht="24" thickBot="1" x14ac:dyDescent="0.6">
      <c r="U2" s="374" t="s">
        <v>0</v>
      </c>
      <c r="V2" s="375"/>
      <c r="W2" s="375"/>
      <c r="X2" s="375"/>
      <c r="Y2" s="375"/>
      <c r="Z2" s="375"/>
      <c r="AA2" s="375"/>
      <c r="AB2" s="375"/>
      <c r="AC2" s="376"/>
    </row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164">
        <f>AF143</f>
        <v>5782271.0200000005</v>
      </c>
      <c r="AM3" s="164">
        <f>AH143-AI143</f>
        <v>65925.917666666355</v>
      </c>
    </row>
    <row r="4" spans="1:40" x14ac:dyDescent="0.35">
      <c r="A4" s="20">
        <v>45307</v>
      </c>
      <c r="B4" s="282" t="s">
        <v>743</v>
      </c>
      <c r="C4" s="282" t="s">
        <v>485</v>
      </c>
      <c r="D4" s="44">
        <v>1913493</v>
      </c>
      <c r="E4" s="44" t="s">
        <v>652</v>
      </c>
      <c r="F4" s="21">
        <v>99</v>
      </c>
      <c r="G4" s="21"/>
      <c r="H4" s="22">
        <f>52080/100*F4</f>
        <v>51559.199999999997</v>
      </c>
      <c r="I4" s="33">
        <v>0.55000000000000004</v>
      </c>
      <c r="J4" s="24">
        <f>IFERROR(K4/H4,"")</f>
        <v>0.54996974351813066</v>
      </c>
      <c r="K4" s="22">
        <v>28356</v>
      </c>
      <c r="L4" s="21">
        <v>41</v>
      </c>
      <c r="M4" s="21">
        <v>53</v>
      </c>
      <c r="N4" s="21">
        <v>5</v>
      </c>
      <c r="O4" s="21"/>
      <c r="P4" s="21"/>
      <c r="Q4" s="21"/>
      <c r="R4" s="21"/>
      <c r="S4" s="21"/>
      <c r="T4" s="21"/>
      <c r="U4" s="25">
        <v>240</v>
      </c>
      <c r="V4" s="25">
        <f>H4*U4*I4/15</f>
        <v>453720.96</v>
      </c>
      <c r="W4" s="25">
        <v>259.68</v>
      </c>
      <c r="X4" s="25">
        <v>490899.07</v>
      </c>
      <c r="Y4" s="159">
        <f>IF(B4="FRANCISCO CAMACHO",((F4*42)+(G4*42)),IF(B4="DANILO VIANA",((F4*60)+(G4*60)),0))</f>
        <v>0</v>
      </c>
      <c r="Z4" s="25">
        <f>18806.4/100*F4</f>
        <v>18618.336000000003</v>
      </c>
      <c r="AA4" s="25">
        <v>0</v>
      </c>
      <c r="AB4" s="25">
        <f>4500/150*F4</f>
        <v>2970</v>
      </c>
      <c r="AC4" s="25">
        <f>F4*38</f>
        <v>3762</v>
      </c>
      <c r="AD4" s="25">
        <f>IF(F4="",G4*4.11,F4*4.11)</f>
        <v>406.89000000000004</v>
      </c>
      <c r="AE4" s="25">
        <v>981.8</v>
      </c>
      <c r="AF4" s="25">
        <f>V4+Y4+Z4+AA4+AB4+AC4+AD4</f>
        <v>479478.18600000005</v>
      </c>
      <c r="AG4" s="25">
        <f>IFERROR(IFERROR((H4*W4*J4/15)-AE4,""),"")</f>
        <v>489917.272</v>
      </c>
      <c r="AH4" s="26">
        <f>IFERROR(AG4-AF4,0)</f>
        <v>10439.085999999952</v>
      </c>
      <c r="AI4" s="25">
        <f>(AH4/$AH$143)*$AL$28</f>
        <v>5822.1289966488484</v>
      </c>
      <c r="AJ4" s="25">
        <f>(AH4-AI4)*70%</f>
        <v>3231.8699023457725</v>
      </c>
      <c r="AL4" s="166" t="s">
        <v>749</v>
      </c>
      <c r="AM4" s="167">
        <f>AM3/AL3</f>
        <v>1.1401388388513541E-2</v>
      </c>
    </row>
    <row r="5" spans="1:40" ht="14.5" hidden="1" customHeight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105.44531313131264</v>
      </c>
      <c r="AM5" s="63"/>
    </row>
    <row r="6" spans="1:40" hidden="1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2.1307854604480963E-2</v>
      </c>
      <c r="AM6" s="63"/>
    </row>
    <row r="7" spans="1:40" hidden="1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M7" s="63"/>
    </row>
    <row r="8" spans="1:40" hidden="1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M8" s="63"/>
    </row>
    <row r="9" spans="1:40" x14ac:dyDescent="0.35">
      <c r="A9" s="20">
        <v>45307</v>
      </c>
      <c r="B9" s="282" t="s">
        <v>743</v>
      </c>
      <c r="C9" s="282" t="s">
        <v>485</v>
      </c>
      <c r="D9" s="44"/>
      <c r="E9" s="44" t="s">
        <v>652</v>
      </c>
      <c r="F9" s="21">
        <v>1</v>
      </c>
      <c r="G9" s="21"/>
      <c r="H9" s="22">
        <f>52080/100*F9</f>
        <v>520.79999999999995</v>
      </c>
      <c r="I9" s="33">
        <v>0.55000000000000004</v>
      </c>
      <c r="J9" s="24">
        <f>IFERROR(K9/H9,"")</f>
        <v>0</v>
      </c>
      <c r="K9" s="22">
        <v>0</v>
      </c>
      <c r="L9" s="21"/>
      <c r="M9" s="21"/>
      <c r="N9" s="21"/>
      <c r="O9" s="21"/>
      <c r="P9" s="21"/>
      <c r="Q9" s="21"/>
      <c r="R9" s="21"/>
      <c r="S9" s="21"/>
      <c r="T9" s="21"/>
      <c r="U9" s="25">
        <v>240</v>
      </c>
      <c r="V9" s="25">
        <f>H9*U9*I9/15</f>
        <v>4583.0399999999991</v>
      </c>
      <c r="W9" s="25">
        <v>0</v>
      </c>
      <c r="X9" s="25">
        <v>0</v>
      </c>
      <c r="Y9" s="159">
        <f>IF(B9="FRANCISCO CAMACHO",((F9*42)+(G9*42)),IF(B9="DANILO VIANA",((F9*60)+(G9*60)),0))</f>
        <v>0</v>
      </c>
      <c r="Z9" s="25">
        <f>18806.4/100*F9</f>
        <v>188.06400000000002</v>
      </c>
      <c r="AA9" s="25">
        <v>0</v>
      </c>
      <c r="AB9" s="25">
        <f>4500/150*F9</f>
        <v>30</v>
      </c>
      <c r="AC9" s="25">
        <f>F9*38</f>
        <v>38</v>
      </c>
      <c r="AD9" s="25">
        <f>IF(F9="",G9*4.11,F9*4.11)</f>
        <v>4.1100000000000003</v>
      </c>
      <c r="AE9" s="25">
        <v>0</v>
      </c>
      <c r="AF9" s="25">
        <f>V9+Y9+Z9+AA9+AB9+AC9+AD9</f>
        <v>4843.213999999999</v>
      </c>
      <c r="AG9" s="25">
        <f>IFERROR(IFERROR((H9*W9*J9/15)-AE9,""),"")</f>
        <v>0</v>
      </c>
      <c r="AH9" s="26">
        <f>IFERROR(AG9-AF9,0)</f>
        <v>-4843.213999999999</v>
      </c>
      <c r="AI9" s="25">
        <f>(AH9/$AH$143)*$AL$28</f>
        <v>-2701.1767760487633</v>
      </c>
      <c r="AJ9" s="25">
        <f>(AH9-AI9)*70%</f>
        <v>-1499.426056765865</v>
      </c>
    </row>
    <row r="10" spans="1:40" hidden="1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-4843.213999999999</v>
      </c>
    </row>
    <row r="11" spans="1:40" hidden="1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 t="str">
        <f>IFERROR(AH9/AG9,"")</f>
        <v/>
      </c>
    </row>
    <row r="12" spans="1:40" hidden="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</row>
    <row r="13" spans="1:40" hidden="1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</row>
    <row r="14" spans="1:40" x14ac:dyDescent="0.35">
      <c r="A14" s="20">
        <v>45312</v>
      </c>
      <c r="B14" s="21" t="s">
        <v>419</v>
      </c>
      <c r="C14" s="21" t="s">
        <v>565</v>
      </c>
      <c r="D14" s="44">
        <v>1905765</v>
      </c>
      <c r="E14" s="44" t="s">
        <v>652</v>
      </c>
      <c r="F14" s="21">
        <v>100</v>
      </c>
      <c r="G14" s="21"/>
      <c r="H14" s="22">
        <v>45040</v>
      </c>
      <c r="I14" s="33">
        <v>0.54500000000000004</v>
      </c>
      <c r="J14" s="24">
        <f>IFERROR(K14/H14,"")</f>
        <v>0.54172957371225572</v>
      </c>
      <c r="K14" s="22">
        <v>24399.5</v>
      </c>
      <c r="L14" s="21">
        <v>32</v>
      </c>
      <c r="M14" s="21">
        <v>51</v>
      </c>
      <c r="N14" s="21">
        <v>16</v>
      </c>
      <c r="O14" s="21">
        <v>1</v>
      </c>
      <c r="P14" s="21"/>
      <c r="Q14" s="21"/>
      <c r="R14" s="21"/>
      <c r="S14" s="21"/>
      <c r="T14" s="21"/>
      <c r="U14" s="25">
        <v>230</v>
      </c>
      <c r="V14" s="25">
        <f>H14*U14*I14/15</f>
        <v>376384.26666666666</v>
      </c>
      <c r="W14" s="25">
        <v>258.43</v>
      </c>
      <c r="X14" s="25">
        <f>915791.35/194*F14</f>
        <v>472057.39690721646</v>
      </c>
      <c r="Y14" s="25">
        <f>IF(B14="FRANCISCO CAMACHO",((F14*42)+(G14*42)),IF(B14="DANILO VIANA",((F14*60)+(G14*60)),0))</f>
        <v>6000</v>
      </c>
      <c r="Z14" s="25">
        <f>9198.4+9175.6</f>
        <v>18374</v>
      </c>
      <c r="AA14" s="25">
        <v>0</v>
      </c>
      <c r="AB14" s="25">
        <v>2875</v>
      </c>
      <c r="AC14" s="25">
        <f>F14*38</f>
        <v>3800</v>
      </c>
      <c r="AD14" s="25">
        <f>IF(F14="",G14*4.11,F14*4.11)</f>
        <v>411.00000000000006</v>
      </c>
      <c r="AE14" s="25">
        <f>1831.58/194*F14</f>
        <v>944.1134020618556</v>
      </c>
      <c r="AF14" s="25">
        <f>V14+Y14+Z14+AA14+AB14+AC14+AD14</f>
        <v>407844.26666666666</v>
      </c>
      <c r="AG14" s="25">
        <f>IFERROR(IFERROR((H14*W14*J14/15)-AE14,""),"")</f>
        <v>419426.73893127148</v>
      </c>
      <c r="AH14" s="26">
        <f>IFERROR(AG14-AF14,0)</f>
        <v>11582.472264604818</v>
      </c>
      <c r="AI14" s="25">
        <f>(AH14/$AH$143)*$AL$28</f>
        <v>6459.8229791992399</v>
      </c>
      <c r="AJ14" s="25">
        <f>(AH14-AI14)*70%</f>
        <v>3585.854499783904</v>
      </c>
      <c r="AL14" s="14">
        <f>F4+G4+F9+G9+F14+G14+F19+G19+F24+G24+F29+G29+F34+G34+F39+G39+F44+G44+F49+G49+F54+G54+F59+G59+F64+G64+F74+G74+F79+G79+F69+G69+F84+G84+F89+G89+F94+G94+F99+G99+F104+G104+F109+G109+F114+G114+F119+G119+F124+G124+F129+G129+F134+G134+F139+G139</f>
        <v>1239</v>
      </c>
      <c r="AM14" s="118" t="s">
        <v>22</v>
      </c>
    </row>
    <row r="15" spans="1:40" hidden="1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115.82472264604817</v>
      </c>
      <c r="AL15" s="11">
        <f>AH143</f>
        <v>149060.58766666637</v>
      </c>
      <c r="AM15" s="11">
        <f>AL15*30%</f>
        <v>44718.176299999912</v>
      </c>
      <c r="AN15" s="2"/>
    </row>
    <row r="16" spans="1:40" hidden="1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2.7615006840331073E-2</v>
      </c>
      <c r="AL16" s="11"/>
      <c r="AM16" s="11"/>
    </row>
    <row r="17" spans="1:40" hidden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</row>
    <row r="18" spans="1:40" hidden="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80" t="s">
        <v>187</v>
      </c>
      <c r="AM18" s="181" t="s">
        <v>680</v>
      </c>
      <c r="AN18" s="191"/>
    </row>
    <row r="19" spans="1:40" x14ac:dyDescent="0.35">
      <c r="A19" s="20">
        <v>45313</v>
      </c>
      <c r="B19" s="21" t="s">
        <v>898</v>
      </c>
      <c r="C19" s="21" t="s">
        <v>899</v>
      </c>
      <c r="D19" s="44">
        <v>1905765</v>
      </c>
      <c r="E19" s="44" t="s">
        <v>652</v>
      </c>
      <c r="F19" s="21">
        <v>44</v>
      </c>
      <c r="G19" s="21"/>
      <c r="H19" s="22">
        <v>26750</v>
      </c>
      <c r="I19" s="33">
        <v>0.56000000000000005</v>
      </c>
      <c r="J19" s="24">
        <f>IFERROR(K19/H19,"")</f>
        <v>0.54887850467289723</v>
      </c>
      <c r="K19" s="22">
        <v>14682.5</v>
      </c>
      <c r="L19" s="21">
        <v>14</v>
      </c>
      <c r="M19" s="21">
        <v>26</v>
      </c>
      <c r="N19" s="21">
        <v>4</v>
      </c>
      <c r="O19" s="21"/>
      <c r="P19" s="21"/>
      <c r="Q19" s="21"/>
      <c r="R19" s="21"/>
      <c r="S19" s="21"/>
      <c r="T19" s="21"/>
      <c r="U19" s="25">
        <v>245</v>
      </c>
      <c r="V19" s="25">
        <f>H19*U19*I19/15</f>
        <v>244673.33333333337</v>
      </c>
      <c r="W19" s="25">
        <v>258.43</v>
      </c>
      <c r="X19" s="25">
        <f>915791.35/194*F19</f>
        <v>207705.25463917525</v>
      </c>
      <c r="Y19" s="25">
        <f>IF(B19="FRANCISCO CAMACHO",((F19*42)+(G19*42)),IF(B19="DANILO VIANA",((F19*60)+(G19*60)),0))</f>
        <v>0</v>
      </c>
      <c r="Z19" s="25">
        <v>2854.62</v>
      </c>
      <c r="AA19" s="25">
        <v>0</v>
      </c>
      <c r="AB19" s="25">
        <v>1347.5</v>
      </c>
      <c r="AC19" s="25">
        <v>0</v>
      </c>
      <c r="AD19" s="25">
        <f>IF(F19="",G19*4.11,F19*4.11)</f>
        <v>180.84</v>
      </c>
      <c r="AE19" s="25">
        <f>1831.58/194*F19</f>
        <v>415.40989690721642</v>
      </c>
      <c r="AF19" s="25">
        <f>V19+Y19+Z19+AA19+AB19+AC19+AD19</f>
        <v>249056.29333333336</v>
      </c>
      <c r="AG19" s="25">
        <f>IFERROR(IFERROR((H19*W19*J19/15)-AE19,""),"")</f>
        <v>252544.48843642612</v>
      </c>
      <c r="AH19" s="26">
        <f>IFERROR(AG19-AF19,0)</f>
        <v>3488.1951030927594</v>
      </c>
      <c r="AI19" s="25">
        <f>(AH19/$AH$143)*$AL$28</f>
        <v>1945.4501912988328</v>
      </c>
      <c r="AJ19" s="25">
        <f>(AH19-AI19)*70%</f>
        <v>1079.9214382557486</v>
      </c>
      <c r="AL19" s="178">
        <v>800</v>
      </c>
      <c r="AM19" s="6" t="s">
        <v>929</v>
      </c>
      <c r="AN19" s="174"/>
    </row>
    <row r="20" spans="1:40" hidden="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79.277161433926352</v>
      </c>
      <c r="AL20" s="178">
        <v>4329.75</v>
      </c>
      <c r="AM20" s="6" t="s">
        <v>1029</v>
      </c>
      <c r="AN20" s="174"/>
    </row>
    <row r="21" spans="1:40" hidden="1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1.3812200474812004E-2</v>
      </c>
      <c r="AL21" s="178">
        <v>455</v>
      </c>
      <c r="AM21" s="6" t="s">
        <v>1030</v>
      </c>
      <c r="AN21" s="174"/>
    </row>
    <row r="22" spans="1:40" hidden="1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L22" s="178">
        <v>1500</v>
      </c>
      <c r="AM22" s="6" t="s">
        <v>928</v>
      </c>
      <c r="AN22" s="174"/>
    </row>
    <row r="23" spans="1:40" hidden="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178">
        <v>15000</v>
      </c>
      <c r="AM23" s="6" t="s">
        <v>927</v>
      </c>
      <c r="AN23" s="174"/>
    </row>
    <row r="24" spans="1:40" x14ac:dyDescent="0.35">
      <c r="A24" s="20">
        <v>45313</v>
      </c>
      <c r="B24" s="21" t="s">
        <v>419</v>
      </c>
      <c r="C24" s="21" t="s">
        <v>565</v>
      </c>
      <c r="D24" s="44">
        <v>1906169</v>
      </c>
      <c r="E24" s="44" t="s">
        <v>652</v>
      </c>
      <c r="F24" s="21">
        <v>195</v>
      </c>
      <c r="G24" s="21"/>
      <c r="H24" s="22">
        <v>89920</v>
      </c>
      <c r="I24" s="33">
        <v>0.54500000000000004</v>
      </c>
      <c r="J24" s="24">
        <f>IFERROR(K24/H24,"")</f>
        <v>0.54778136120996446</v>
      </c>
      <c r="K24" s="22">
        <v>49256.5</v>
      </c>
      <c r="L24" s="21">
        <v>66</v>
      </c>
      <c r="M24" s="21">
        <v>88</v>
      </c>
      <c r="N24" s="21">
        <v>28</v>
      </c>
      <c r="O24" s="21">
        <v>12</v>
      </c>
      <c r="P24" s="21">
        <v>1</v>
      </c>
      <c r="Q24" s="21"/>
      <c r="R24" s="21"/>
      <c r="S24" s="21"/>
      <c r="T24" s="21"/>
      <c r="U24" s="25">
        <v>230</v>
      </c>
      <c r="V24" s="25">
        <f>H24*U24*I24/15</f>
        <v>751431.46666666667</v>
      </c>
      <c r="W24" s="25">
        <v>255.56</v>
      </c>
      <c r="X24" s="25">
        <v>839211.67</v>
      </c>
      <c r="Y24" s="25">
        <f>IF(B24="FRANCISCO CAMACHO",((F24*42)+(G24*42)),IF(B24="DANILO VIANA",((F24*60)+(G24*60)),0))</f>
        <v>11700</v>
      </c>
      <c r="Z24" s="25">
        <f>18014.4+18396.8</f>
        <v>36411.199999999997</v>
      </c>
      <c r="AA24" s="25">
        <v>0</v>
      </c>
      <c r="AB24" s="25">
        <v>5606.25</v>
      </c>
      <c r="AC24" s="25">
        <f>F24*38</f>
        <v>7410</v>
      </c>
      <c r="AD24" s="25">
        <f>IF(F24="",G24*4.11,F24*4.11)</f>
        <v>801.45</v>
      </c>
      <c r="AE24" s="25">
        <v>1678.43</v>
      </c>
      <c r="AF24" s="25">
        <f>V24+Y24+Z24+AA24+AB24+AC24+AD24</f>
        <v>813360.36666666658</v>
      </c>
      <c r="AG24" s="25">
        <f>IFERROR(IFERROR((H24*W24*J24/15)-AE24,""),"")</f>
        <v>837520.97933333332</v>
      </c>
      <c r="AH24" s="26">
        <f>IFERROR(AG24-AF24,0)</f>
        <v>24160.612666666741</v>
      </c>
      <c r="AI24" s="25">
        <f>(AH24/$AH$143)*$AL$28</f>
        <v>13474.953993424571</v>
      </c>
      <c r="AJ24" s="25">
        <f>(AH24-AI24)*70%</f>
        <v>7479.9610712695176</v>
      </c>
      <c r="AL24" s="178">
        <f>236+236</f>
        <v>472</v>
      </c>
      <c r="AM24" s="6" t="s">
        <v>930</v>
      </c>
      <c r="AN24" s="174"/>
    </row>
    <row r="25" spans="1:40" hidden="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123.90057777777815</v>
      </c>
      <c r="AL25" s="178">
        <v>60577.919999999998</v>
      </c>
      <c r="AM25" s="6" t="s">
        <v>954</v>
      </c>
      <c r="AN25" s="174"/>
    </row>
    <row r="26" spans="1:40" hidden="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2.8847770101112676E-2</v>
      </c>
      <c r="AL26" s="178"/>
      <c r="AM26" s="6"/>
      <c r="AN26" s="174"/>
    </row>
    <row r="27" spans="1:40" hidden="1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L27" s="178"/>
      <c r="AM27" s="6"/>
      <c r="AN27" s="174"/>
    </row>
    <row r="28" spans="1:40" hidden="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4">
        <f>SUM(AL19:AL27)</f>
        <v>83134.67</v>
      </c>
      <c r="AM28" s="189" t="s">
        <v>673</v>
      </c>
      <c r="AN28" s="191"/>
    </row>
    <row r="29" spans="1:40" x14ac:dyDescent="0.35">
      <c r="A29" s="20">
        <v>45313</v>
      </c>
      <c r="B29" s="21" t="s">
        <v>632</v>
      </c>
      <c r="C29" s="21" t="s">
        <v>633</v>
      </c>
      <c r="D29" s="44">
        <v>1906184</v>
      </c>
      <c r="E29" s="44" t="s">
        <v>652</v>
      </c>
      <c r="F29" s="21">
        <v>200</v>
      </c>
      <c r="G29" s="21"/>
      <c r="H29" s="22">
        <v>108527</v>
      </c>
      <c r="I29" s="33">
        <v>0.55000000000000004</v>
      </c>
      <c r="J29" s="24">
        <f>IFERROR(K29/H29,"")</f>
        <v>0.55053120421646229</v>
      </c>
      <c r="K29" s="22">
        <v>59747.5</v>
      </c>
      <c r="L29" s="21">
        <v>14</v>
      </c>
      <c r="M29" s="21">
        <v>139</v>
      </c>
      <c r="N29" s="21">
        <v>42</v>
      </c>
      <c r="O29" s="21">
        <v>5</v>
      </c>
      <c r="P29" s="21"/>
      <c r="Q29" s="21"/>
      <c r="R29" s="21"/>
      <c r="S29" s="21"/>
      <c r="T29" s="21"/>
      <c r="U29" s="25">
        <v>220</v>
      </c>
      <c r="V29" s="25">
        <f>H29*U29*I29/15</f>
        <v>875451.13333333342</v>
      </c>
      <c r="W29" s="25">
        <v>255.71</v>
      </c>
      <c r="X29" s="25">
        <f>1267741.84/250*F29</f>
        <v>1014193.4720000001</v>
      </c>
      <c r="Y29" s="25">
        <f>IF(B29="FRANCISCO CAMACHO",((F29*42)+(G29*42)),IF(B29="DANILO VIANA",((F29*60)+(G29*60)),0))</f>
        <v>8400</v>
      </c>
      <c r="Z29" s="25">
        <f>22186.93+22241.31+22120.53+22684.76</f>
        <v>89233.53</v>
      </c>
      <c r="AA29" s="25">
        <v>0</v>
      </c>
      <c r="AB29" s="25">
        <v>5500</v>
      </c>
      <c r="AC29" s="25">
        <v>0</v>
      </c>
      <c r="AD29" s="25">
        <f>IF(F29="",G29*4.11,F29*4.11)</f>
        <v>822.00000000000011</v>
      </c>
      <c r="AE29" s="25">
        <f>2535.48/250*F29</f>
        <v>2028.3840000000002</v>
      </c>
      <c r="AF29" s="25">
        <f>V29+Y29+Z29+AA29+AB29+AC29+AD29</f>
        <v>979406.66333333345</v>
      </c>
      <c r="AG29" s="25">
        <f>IFERROR(IFERROR((H29*W29*J29/15)-AE29,""),"")</f>
        <v>1016507.1643333335</v>
      </c>
      <c r="AH29" s="26">
        <f>IFERROR(AG29-AF29,0)</f>
        <v>37100.501000000047</v>
      </c>
      <c r="AI29" s="25">
        <f>(AH29/$AH$143)*$AL$28</f>
        <v>20691.840517675671</v>
      </c>
      <c r="AJ29" s="25">
        <f>(AH29-AI29)*70%</f>
        <v>11486.062337627063</v>
      </c>
      <c r="AL29" s="57"/>
      <c r="AM29" s="6"/>
    </row>
    <row r="30" spans="1:40" hidden="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5"/>
      <c r="W30" s="21"/>
      <c r="X30" s="25"/>
      <c r="Y30" s="21"/>
      <c r="Z30" s="3"/>
      <c r="AA30" s="21"/>
      <c r="AB30" s="21"/>
      <c r="AC30" s="21"/>
      <c r="AD30" s="21"/>
      <c r="AE30" s="21"/>
      <c r="AF30" s="25"/>
      <c r="AG30" s="21"/>
      <c r="AH30" s="26">
        <f>IFERROR(AH29/F29,0)+IFERROR(AH29/G29,0)</f>
        <v>185.50250500000024</v>
      </c>
      <c r="AL30" s="57"/>
      <c r="AM30" s="118" t="s">
        <v>22</v>
      </c>
      <c r="AN30" s="12"/>
    </row>
    <row r="31" spans="1:40" hidden="1" x14ac:dyDescent="0.35">
      <c r="A31" s="21"/>
      <c r="B31" s="21"/>
      <c r="C31" s="21"/>
      <c r="D31" s="21"/>
      <c r="E31" s="21"/>
      <c r="F31" s="21"/>
      <c r="G31" s="21"/>
      <c r="H31" s="22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5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3.6498022150519768E-2</v>
      </c>
      <c r="AL31" s="247">
        <f>AL15-AL28</f>
        <v>65925.91766666637</v>
      </c>
      <c r="AM31" s="248">
        <f>AL31*30%</f>
        <v>19777.77529999991</v>
      </c>
      <c r="AN31" s="12"/>
    </row>
    <row r="32" spans="1:40" hidden="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4"/>
    </row>
    <row r="33" spans="1:40" hidden="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7"/>
      <c r="AM33" s="249"/>
      <c r="AN33" s="246"/>
    </row>
    <row r="34" spans="1:40" x14ac:dyDescent="0.35">
      <c r="A34" s="20">
        <v>45313</v>
      </c>
      <c r="B34" s="21" t="s">
        <v>900</v>
      </c>
      <c r="C34" s="21" t="s">
        <v>901</v>
      </c>
      <c r="D34" s="44">
        <v>1905765</v>
      </c>
      <c r="E34" s="44" t="s">
        <v>652</v>
      </c>
      <c r="F34" s="21">
        <v>21</v>
      </c>
      <c r="G34" s="21"/>
      <c r="H34" s="22">
        <v>11179</v>
      </c>
      <c r="I34" s="33">
        <v>0.53</v>
      </c>
      <c r="J34" s="24">
        <f>IFERROR(K34/H34,"")</f>
        <v>0.52634403792825835</v>
      </c>
      <c r="K34" s="22">
        <v>5884</v>
      </c>
      <c r="L34" s="21">
        <v>21</v>
      </c>
      <c r="M34" s="21"/>
      <c r="N34" s="21"/>
      <c r="O34" s="21"/>
      <c r="P34" s="21"/>
      <c r="Q34" s="21"/>
      <c r="R34" s="21"/>
      <c r="S34" s="21"/>
      <c r="T34" s="21"/>
      <c r="U34" s="25">
        <v>240</v>
      </c>
      <c r="V34" s="25">
        <f>H34*U34*I34/15</f>
        <v>94797.92</v>
      </c>
      <c r="W34" s="25">
        <v>258.43</v>
      </c>
      <c r="X34" s="25">
        <f>915791.35/194*F34</f>
        <v>99132.05335051546</v>
      </c>
      <c r="Y34" s="25">
        <f>IF(B34="FRANCISCO CAMACHO",((F34*42)+(G34*42)),IF(B34="DANILO VIANA",((F34*60)+(G34*60)),0))</f>
        <v>0</v>
      </c>
      <c r="Z34" s="25">
        <f>4491.96/50*F34</f>
        <v>1886.6232</v>
      </c>
      <c r="AA34" s="25">
        <v>0</v>
      </c>
      <c r="AB34" s="25">
        <f>1500/50*F34</f>
        <v>630</v>
      </c>
      <c r="AC34" s="25">
        <v>0</v>
      </c>
      <c r="AD34" s="25">
        <f>IF(F34="",G34*4.11,F34*4.11)</f>
        <v>86.31</v>
      </c>
      <c r="AE34" s="25">
        <f>1831.58/194*F34</f>
        <v>198.26381443298968</v>
      </c>
      <c r="AF34" s="25">
        <f>V34+Y34+Z34+AA34+AB34+AC34+AD34</f>
        <v>97400.853199999998</v>
      </c>
      <c r="AG34" s="25">
        <f>IFERROR(IFERROR((H34*W34*J34/15)-AE34,""),"")</f>
        <v>101175.21085223369</v>
      </c>
      <c r="AH34" s="26">
        <f>IFERROR(AG34-AF34,0)</f>
        <v>3774.3576522336953</v>
      </c>
      <c r="AI34" s="25">
        <f>(AH34/$AH$143)*$AL$28</f>
        <v>2105.0499182393332</v>
      </c>
      <c r="AJ34" s="25">
        <f>(AH34-AI34)*70%</f>
        <v>1168.5154137960533</v>
      </c>
      <c r="AL34" s="57"/>
      <c r="AM34" s="248">
        <f>'20.01.24'!AM37</f>
        <v>-27370.629537333603</v>
      </c>
      <c r="AN34" s="286" t="s">
        <v>926</v>
      </c>
    </row>
    <row r="35" spans="1:40" hidden="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5"/>
      <c r="W35" s="21"/>
      <c r="X35" s="25"/>
      <c r="Y35" s="21"/>
      <c r="Z35" s="3"/>
      <c r="AA35" s="21"/>
      <c r="AB35" s="21"/>
      <c r="AC35" s="21"/>
      <c r="AD35" s="21"/>
      <c r="AE35" s="21"/>
      <c r="AF35" s="25"/>
      <c r="AG35" s="21"/>
      <c r="AH35" s="26">
        <f>IFERROR(AH34/F34,0)+IFERROR(AH34/G34,0)</f>
        <v>179.73131677303311</v>
      </c>
    </row>
    <row r="36" spans="1:40" hidden="1" x14ac:dyDescent="0.35">
      <c r="A36" s="21"/>
      <c r="B36" s="21"/>
      <c r="C36" s="21"/>
      <c r="D36" s="21"/>
      <c r="E36" s="21"/>
      <c r="F36" s="21"/>
      <c r="G36" s="21"/>
      <c r="H36" s="22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5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3.7305162207629507E-2</v>
      </c>
      <c r="AM36" s="359">
        <f>AM31+(AM34)</f>
        <v>-7592.8542373336932</v>
      </c>
      <c r="AN36" s="269" t="s">
        <v>897</v>
      </c>
    </row>
    <row r="37" spans="1:40" hidden="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4"/>
    </row>
    <row r="38" spans="1:40" hidden="1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45313</v>
      </c>
      <c r="B39" s="21" t="s">
        <v>900</v>
      </c>
      <c r="C39" s="21" t="s">
        <v>899</v>
      </c>
      <c r="D39" s="44">
        <v>1905765</v>
      </c>
      <c r="E39" s="44" t="s">
        <v>652</v>
      </c>
      <c r="F39" s="21">
        <v>12</v>
      </c>
      <c r="G39" s="21"/>
      <c r="H39" s="22">
        <v>5654</v>
      </c>
      <c r="I39" s="33">
        <v>0.53</v>
      </c>
      <c r="J39" s="24">
        <f>IFERROR(K39/H39,"")</f>
        <v>0.59928277813693087</v>
      </c>
      <c r="K39" s="22">
        <f>8188.5/29*F39</f>
        <v>3388.3448275862074</v>
      </c>
      <c r="L39" s="21">
        <v>11</v>
      </c>
      <c r="M39" s="21">
        <v>1</v>
      </c>
      <c r="N39" s="21"/>
      <c r="O39" s="21"/>
      <c r="P39" s="21"/>
      <c r="Q39" s="21"/>
      <c r="R39" s="21"/>
      <c r="S39" s="21"/>
      <c r="T39" s="21"/>
      <c r="U39" s="25">
        <v>240</v>
      </c>
      <c r="V39" s="25">
        <f>H39*U39*I39/15</f>
        <v>47945.920000000006</v>
      </c>
      <c r="W39" s="25">
        <v>258.43</v>
      </c>
      <c r="X39" s="25">
        <f>915791.35/194*F39</f>
        <v>56646.887628865981</v>
      </c>
      <c r="Y39" s="25">
        <f>IF(B39="FRANCISCO CAMACHO",((F39*42)+(G39*42)),IF(B39="DANILO VIANA",((F39*60)+(G39*60)),0))</f>
        <v>0</v>
      </c>
      <c r="Z39" s="25">
        <f>4491.96/50*F39</f>
        <v>1078.0704000000001</v>
      </c>
      <c r="AA39" s="25">
        <v>0</v>
      </c>
      <c r="AB39" s="25">
        <f>1500/50*F39</f>
        <v>360</v>
      </c>
      <c r="AC39" s="25">
        <v>0</v>
      </c>
      <c r="AD39" s="25">
        <f>IF(F39="",G39*4.11,F39*4.11)</f>
        <v>49.320000000000007</v>
      </c>
      <c r="AE39" s="25">
        <f>1831.58/194*F39</f>
        <v>113.29360824742267</v>
      </c>
      <c r="AF39" s="25">
        <f>V39+Y39+Z39+AA39+AB39+AC39+AD39</f>
        <v>49433.310400000002</v>
      </c>
      <c r="AG39" s="25">
        <f>IFERROR(IFERROR((H39*W39*J39/15)-AE39,""),"")</f>
        <v>58263.369977959468</v>
      </c>
      <c r="AH39" s="26">
        <f>IFERROR(AG39-AF39,0)</f>
        <v>8830.059577959466</v>
      </c>
      <c r="AI39" s="25">
        <f>(AH39/$AH$143)*$AL$28</f>
        <v>4924.7363141729975</v>
      </c>
      <c r="AJ39" s="25">
        <f>(AH39-AI39)*70%</f>
        <v>2733.7262846505278</v>
      </c>
    </row>
    <row r="40" spans="1:40" hidden="1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5"/>
      <c r="AC40" s="21"/>
      <c r="AD40" s="21"/>
      <c r="AE40" s="21"/>
      <c r="AF40" s="21"/>
      <c r="AG40" s="21"/>
      <c r="AH40" s="26">
        <f>IFERROR(AH39/F39,0)+IFERROR(AH39/G39,0)</f>
        <v>735.83829816328887</v>
      </c>
    </row>
    <row r="41" spans="1:40" hidden="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0.15155421976620648</v>
      </c>
    </row>
    <row r="42" spans="1:40" hidden="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47"/>
      <c r="AJ42" s="47"/>
    </row>
    <row r="43" spans="1:40" hidden="1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45313</v>
      </c>
      <c r="B44" s="21" t="s">
        <v>900</v>
      </c>
      <c r="C44" s="21" t="s">
        <v>899</v>
      </c>
      <c r="D44" s="44">
        <v>1905765</v>
      </c>
      <c r="E44" s="44" t="s">
        <v>652</v>
      </c>
      <c r="F44" s="21">
        <v>8</v>
      </c>
      <c r="G44" s="21"/>
      <c r="H44" s="22">
        <v>4413</v>
      </c>
      <c r="I44" s="33">
        <v>0.55000000000000004</v>
      </c>
      <c r="J44" s="24">
        <f>IFERROR(K44/H44,"")</f>
        <v>0.5118732272205162</v>
      </c>
      <c r="K44" s="22">
        <f>8188.5/29*F44</f>
        <v>2258.8965517241381</v>
      </c>
      <c r="L44" s="21">
        <v>7</v>
      </c>
      <c r="M44" s="21">
        <v>1</v>
      </c>
      <c r="N44" s="21"/>
      <c r="O44" s="21"/>
      <c r="P44" s="21"/>
      <c r="Q44" s="21"/>
      <c r="R44" s="21"/>
      <c r="S44" s="21"/>
      <c r="T44" s="21"/>
      <c r="U44" s="25">
        <v>240</v>
      </c>
      <c r="V44" s="25">
        <f>H44*U44*I44/15</f>
        <v>38834.400000000001</v>
      </c>
      <c r="W44" s="25">
        <v>258.43</v>
      </c>
      <c r="X44" s="25">
        <f>915791.35/194*F44</f>
        <v>37764.591752577318</v>
      </c>
      <c r="Y44" s="25">
        <f>IF(B44="FRANCISCO CAMACHO",((F44*42)+(G44*42)),IF(B44="DANILO VIANA",((F44*60)+(G44*60)),0))</f>
        <v>0</v>
      </c>
      <c r="Z44" s="25">
        <f>4491.96/50*F44</f>
        <v>718.71360000000004</v>
      </c>
      <c r="AA44" s="25">
        <v>0</v>
      </c>
      <c r="AB44" s="25">
        <f>1500/50*F44</f>
        <v>240</v>
      </c>
      <c r="AC44" s="25">
        <v>0</v>
      </c>
      <c r="AD44" s="25">
        <f>IF(F44="",G44*4.11,F44*4.11)</f>
        <v>32.880000000000003</v>
      </c>
      <c r="AE44" s="25">
        <f>1831.58/194*F44</f>
        <v>75.529072164948445</v>
      </c>
      <c r="AF44" s="25">
        <f>V44+Y44+Z44+AA44+AB44+AC44+AD44</f>
        <v>39825.993600000002</v>
      </c>
      <c r="AG44" s="25">
        <f>IFERROR(IFERROR((H44*W44*J44/15)-AE44,""),"")</f>
        <v>38842.246651972979</v>
      </c>
      <c r="AH44" s="26">
        <f>IFERROR(AG44-AF44,0)</f>
        <v>-983.74694802702288</v>
      </c>
      <c r="AI44" s="25">
        <f>(AH44/$AH$143)*$AL$28</f>
        <v>-548.65930134812231</v>
      </c>
      <c r="AJ44" s="25">
        <f>(AH44-AI44)*70%</f>
        <v>-304.56135267523035</v>
      </c>
    </row>
    <row r="45" spans="1:40" hidden="1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5"/>
      <c r="AC45" s="21"/>
      <c r="AD45" s="21"/>
      <c r="AE45" s="21"/>
      <c r="AF45" s="21"/>
      <c r="AG45" s="21"/>
      <c r="AH45" s="26">
        <f>IFERROR(AH44/F44,0)+IFERROR(AH44/G44,0)</f>
        <v>-122.96836850337786</v>
      </c>
    </row>
    <row r="46" spans="1:40" hidden="1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-2.5326726253540585E-2</v>
      </c>
    </row>
    <row r="47" spans="1:40" hidden="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</row>
    <row r="48" spans="1:40" hidden="1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9" x14ac:dyDescent="0.35">
      <c r="A49" s="20">
        <v>45313</v>
      </c>
      <c r="B49" s="21" t="s">
        <v>900</v>
      </c>
      <c r="C49" s="21" t="s">
        <v>899</v>
      </c>
      <c r="D49" s="44">
        <v>1905765</v>
      </c>
      <c r="E49" s="44" t="s">
        <v>652</v>
      </c>
      <c r="F49" s="21">
        <v>9</v>
      </c>
      <c r="G49" s="21"/>
      <c r="H49" s="22">
        <v>4617</v>
      </c>
      <c r="I49" s="33">
        <v>0.54</v>
      </c>
      <c r="J49" s="24">
        <f>IFERROR(K49/H49,"")</f>
        <v>0.55041338979632992</v>
      </c>
      <c r="K49" s="22">
        <f>8188.5/29*F49</f>
        <v>2541.2586206896553</v>
      </c>
      <c r="L49" s="21">
        <v>8</v>
      </c>
      <c r="M49" s="21">
        <v>1</v>
      </c>
      <c r="N49" s="21"/>
      <c r="O49" s="21"/>
      <c r="P49" s="21"/>
      <c r="Q49" s="21"/>
      <c r="R49" s="21"/>
      <c r="S49" s="21"/>
      <c r="T49" s="21"/>
      <c r="U49" s="25">
        <v>240</v>
      </c>
      <c r="V49" s="25">
        <f>H49*U49*I49/15</f>
        <v>39890.880000000005</v>
      </c>
      <c r="W49" s="25">
        <v>258.43</v>
      </c>
      <c r="X49" s="25">
        <f>915791.35/194*F49</f>
        <v>42485.165721649486</v>
      </c>
      <c r="Y49" s="25">
        <f>IF(B49="FRANCISCO CAMACHO",((F49*42)+(G49*42)),IF(B49="DANILO VIANA",((F49*60)+(G49*60)),0))</f>
        <v>0</v>
      </c>
      <c r="Z49" s="25">
        <f>4491.96/50*F49</f>
        <v>808.55280000000005</v>
      </c>
      <c r="AA49" s="25">
        <v>0</v>
      </c>
      <c r="AB49" s="25">
        <f>1500/50*F49</f>
        <v>270</v>
      </c>
      <c r="AC49" s="25">
        <v>0</v>
      </c>
      <c r="AD49" s="25">
        <f>IF(F49="",G49*4.11,F49*4.11)</f>
        <v>36.99</v>
      </c>
      <c r="AE49" s="25">
        <f>1831.58/194*F49</f>
        <v>84.970206185567008</v>
      </c>
      <c r="AF49" s="25">
        <f>V49+Y49+Z49+AA49+AB49+AC49+AD49</f>
        <v>41006.4228</v>
      </c>
      <c r="AG49" s="25">
        <f>IFERROR(IFERROR((H49*W49*J49/15)-AE49,""),"")</f>
        <v>43697.52748346961</v>
      </c>
      <c r="AH49" s="26">
        <f>IFERROR(AG49-AF49,0)</f>
        <v>2691.1046834696099</v>
      </c>
      <c r="AI49" s="25">
        <f>(AH49/$AH$143)*$AL$28</f>
        <v>1500.8937191097007</v>
      </c>
      <c r="AJ49" s="25">
        <f>(AH49-AI49)*70%</f>
        <v>833.1476750519364</v>
      </c>
    </row>
    <row r="50" spans="1:39" hidden="1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5"/>
      <c r="AC50" s="21"/>
      <c r="AD50" s="21"/>
      <c r="AE50" s="21"/>
      <c r="AF50" s="21"/>
      <c r="AG50" s="21"/>
      <c r="AH50" s="26">
        <f>IFERROR(AH49/F49,0)+IFERROR(AH49/G49,0)</f>
        <v>299.01163149662329</v>
      </c>
    </row>
    <row r="51" spans="1:39" hidden="1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6.158482729915625E-2</v>
      </c>
    </row>
    <row r="52" spans="1:39" hidden="1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</row>
    <row r="53" spans="1:39" hidden="1" x14ac:dyDescent="0.35">
      <c r="A53" s="37" t="s">
        <v>1</v>
      </c>
      <c r="B53" s="37" t="s">
        <v>2</v>
      </c>
      <c r="C53" s="37" t="s">
        <v>110</v>
      </c>
      <c r="D53" s="37" t="s">
        <v>66</v>
      </c>
      <c r="E53" s="37" t="s">
        <v>638</v>
      </c>
      <c r="F53" s="37" t="s">
        <v>137</v>
      </c>
      <c r="G53" s="37" t="s">
        <v>138</v>
      </c>
      <c r="H53" s="37" t="s">
        <v>4</v>
      </c>
      <c r="I53" s="37" t="s">
        <v>5</v>
      </c>
      <c r="J53" s="37" t="s">
        <v>6</v>
      </c>
      <c r="K53" s="37" t="s">
        <v>7</v>
      </c>
      <c r="L53" s="37" t="s">
        <v>279</v>
      </c>
      <c r="M53" s="37" t="s">
        <v>280</v>
      </c>
      <c r="N53" s="37" t="s">
        <v>281</v>
      </c>
      <c r="O53" s="37" t="s">
        <v>282</v>
      </c>
      <c r="P53" s="37" t="s">
        <v>283</v>
      </c>
      <c r="Q53" s="37" t="s">
        <v>284</v>
      </c>
      <c r="R53" s="37" t="s">
        <v>904</v>
      </c>
      <c r="S53" s="37" t="s">
        <v>285</v>
      </c>
      <c r="T53" s="37" t="s">
        <v>289</v>
      </c>
      <c r="U53" s="37" t="s">
        <v>8</v>
      </c>
      <c r="V53" s="37" t="s">
        <v>9</v>
      </c>
      <c r="W53" s="37" t="s">
        <v>10</v>
      </c>
      <c r="X53" s="37" t="s">
        <v>100</v>
      </c>
      <c r="Y53" s="37" t="s">
        <v>106</v>
      </c>
      <c r="Z53" s="37" t="s">
        <v>12</v>
      </c>
      <c r="AA53" s="37" t="s">
        <v>258</v>
      </c>
      <c r="AB53" s="37" t="s">
        <v>13</v>
      </c>
      <c r="AC53" s="37" t="s">
        <v>74</v>
      </c>
      <c r="AD53" s="37" t="s">
        <v>21</v>
      </c>
      <c r="AE53" s="37" t="s">
        <v>14</v>
      </c>
      <c r="AF53" s="37" t="s">
        <v>15</v>
      </c>
      <c r="AG53" s="37" t="s">
        <v>16</v>
      </c>
      <c r="AH53" s="15" t="s">
        <v>17</v>
      </c>
      <c r="AI53" s="14" t="s">
        <v>679</v>
      </c>
      <c r="AJ53" s="14" t="s">
        <v>678</v>
      </c>
      <c r="AL53" s="6"/>
      <c r="AM53" s="6"/>
    </row>
    <row r="54" spans="1:39" x14ac:dyDescent="0.35">
      <c r="A54" s="38">
        <v>45314</v>
      </c>
      <c r="B54" s="39" t="s">
        <v>632</v>
      </c>
      <c r="C54" s="39" t="s">
        <v>611</v>
      </c>
      <c r="D54" s="45">
        <v>1906197</v>
      </c>
      <c r="E54" s="45" t="s">
        <v>652</v>
      </c>
      <c r="F54" s="39">
        <v>100</v>
      </c>
      <c r="G54" s="39"/>
      <c r="H54" s="40">
        <v>54214</v>
      </c>
      <c r="I54" s="53">
        <v>0.55000000000000004</v>
      </c>
      <c r="J54" s="42">
        <f>IFERROR(K54/H54,"")</f>
        <v>0.51186962777142431</v>
      </c>
      <c r="K54" s="40">
        <v>27750.5</v>
      </c>
      <c r="L54" s="39">
        <v>14</v>
      </c>
      <c r="M54" s="39">
        <v>54</v>
      </c>
      <c r="N54" s="39">
        <v>28</v>
      </c>
      <c r="O54" s="39">
        <v>3</v>
      </c>
      <c r="P54" s="39">
        <v>1</v>
      </c>
      <c r="Q54" s="39"/>
      <c r="R54" s="39"/>
      <c r="S54" s="39"/>
      <c r="T54" s="39"/>
      <c r="U54" s="43">
        <v>215</v>
      </c>
      <c r="V54" s="43">
        <f>H54*U54*I54/15</f>
        <v>427387.03333333338</v>
      </c>
      <c r="W54" s="43">
        <v>253.07</v>
      </c>
      <c r="X54" s="43">
        <f>990751.88/200*F54</f>
        <v>495375.94</v>
      </c>
      <c r="Y54" s="43">
        <f>IF(B54="FRANCISCO CAMACHO",((F54*42)+(G54*42)),IF(B54="DANILO VIANA",((F54*60)+(G54*60)),0))</f>
        <v>4200</v>
      </c>
      <c r="Z54" s="43">
        <f>20850.96+20846.56</f>
        <v>41697.520000000004</v>
      </c>
      <c r="AA54" s="43">
        <v>0</v>
      </c>
      <c r="AB54" s="43">
        <f>2687.5</f>
        <v>2687.5</v>
      </c>
      <c r="AC54" s="43">
        <v>0</v>
      </c>
      <c r="AD54" s="43">
        <f>IF(F54="",G54*4.11,F54*4.11)</f>
        <v>411.00000000000006</v>
      </c>
      <c r="AE54" s="43">
        <f>1981.5/200*F54</f>
        <v>990.75000000000011</v>
      </c>
      <c r="AF54" s="43">
        <f>V54+Y54+Z54+AA54+AB54+AC54+AD54</f>
        <v>476383.0533333334</v>
      </c>
      <c r="AG54" s="43">
        <f>IFERROR(IFERROR((H54*W54*J54/15)-AE54,""),"")</f>
        <v>467197.1856666666</v>
      </c>
      <c r="AH54" s="26">
        <f>IFERROR(AG54-AF54,0)</f>
        <v>-9185.8676666668034</v>
      </c>
      <c r="AI54" s="25">
        <f>(AH54/$AH$143)*$AL$28</f>
        <v>-5123.1790313328338</v>
      </c>
      <c r="AJ54" s="25">
        <f>(AH54-AI54)*70%</f>
        <v>-2843.8820447337785</v>
      </c>
    </row>
    <row r="55" spans="1:39" hidden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5"/>
      <c r="AC55" s="21"/>
      <c r="AD55" s="21"/>
      <c r="AE55" s="25"/>
      <c r="AF55" s="21"/>
      <c r="AG55" s="21"/>
      <c r="AH55" s="26">
        <f>IFERROR(AH54/F54,0)+IFERROR(AH54/G54,0)</f>
        <v>-91.858676666668032</v>
      </c>
    </row>
    <row r="56" spans="1:39" hidden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-1.9661650259213438E-2</v>
      </c>
    </row>
    <row r="57" spans="1:39" hidden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</row>
    <row r="58" spans="1:39" hidden="1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9" x14ac:dyDescent="0.35">
      <c r="A59" s="20">
        <v>45314</v>
      </c>
      <c r="B59" s="21" t="s">
        <v>419</v>
      </c>
      <c r="C59" s="21" t="s">
        <v>872</v>
      </c>
      <c r="D59" s="44">
        <v>1906184</v>
      </c>
      <c r="E59" s="44" t="s">
        <v>652</v>
      </c>
      <c r="F59" s="21">
        <v>50</v>
      </c>
      <c r="G59" s="21"/>
      <c r="H59" s="22">
        <v>26100</v>
      </c>
      <c r="I59" s="33">
        <v>0.54500000000000004</v>
      </c>
      <c r="J59" s="24">
        <f>IFERROR(K59/H59,"")</f>
        <v>0.56007662835249039</v>
      </c>
      <c r="K59" s="22">
        <v>14618</v>
      </c>
      <c r="L59" s="21">
        <v>22</v>
      </c>
      <c r="M59" s="21">
        <v>27</v>
      </c>
      <c r="N59" s="21"/>
      <c r="O59" s="21">
        <v>1</v>
      </c>
      <c r="P59" s="21"/>
      <c r="Q59" s="21"/>
      <c r="R59" s="21"/>
      <c r="S59" s="21"/>
      <c r="T59" s="21"/>
      <c r="U59" s="25">
        <v>235</v>
      </c>
      <c r="V59" s="25">
        <f>H59*U59*I59/15</f>
        <v>222850.50000000003</v>
      </c>
      <c r="W59" s="25">
        <v>255.71</v>
      </c>
      <c r="X59" s="25">
        <f>1267741.84/250*F59</f>
        <v>253548.36800000002</v>
      </c>
      <c r="Y59" s="25">
        <f>IF(B59="FRANCISCO CAMACHO",((F59*42)+(G59*42)),IF(B59="DANILO VIANA",((F59*60)+(G59*60)),0))</f>
        <v>3000</v>
      </c>
      <c r="Z59" s="25">
        <v>11233.92</v>
      </c>
      <c r="AA59" s="25">
        <v>0</v>
      </c>
      <c r="AB59" s="25">
        <v>1468.75</v>
      </c>
      <c r="AC59" s="25">
        <f>F59*38</f>
        <v>1900</v>
      </c>
      <c r="AD59" s="25">
        <f>IF(F59="",G59*4.11,F59*4.11)</f>
        <v>205.50000000000003</v>
      </c>
      <c r="AE59" s="25">
        <f>2535.48/250*F59</f>
        <v>507.09600000000006</v>
      </c>
      <c r="AF59" s="25">
        <f>V59+Y59+Z59+AA59+AB59+AC59+AD59</f>
        <v>240658.67000000004</v>
      </c>
      <c r="AG59" s="25">
        <f>IFERROR(IFERROR((H59*W59*J59/15)-AE59,""),"")</f>
        <v>248690.82266666667</v>
      </c>
      <c r="AH59" s="26">
        <f>IFERROR(AG59-AF59,0)</f>
        <v>8032.1526666666323</v>
      </c>
      <c r="AI59" s="25">
        <f>(AH59/$AH$143)*$AL$28</f>
        <v>4479.7244649685217</v>
      </c>
      <c r="AJ59" s="25">
        <f>(AH59-AI59)*70%</f>
        <v>2486.6997411886773</v>
      </c>
    </row>
    <row r="60" spans="1:39" hidden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160.64305333333266</v>
      </c>
    </row>
    <row r="61" spans="1:39" hidden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3.2297744567086603E-2</v>
      </c>
    </row>
    <row r="62" spans="1:39" hidden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</row>
    <row r="63" spans="1:39" hidden="1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9" x14ac:dyDescent="0.35">
      <c r="A64" s="20">
        <v>45315</v>
      </c>
      <c r="B64" s="21" t="s">
        <v>419</v>
      </c>
      <c r="C64" s="21" t="s">
        <v>465</v>
      </c>
      <c r="D64" s="44">
        <v>1906197</v>
      </c>
      <c r="E64" s="44" t="s">
        <v>652</v>
      </c>
      <c r="F64" s="21">
        <v>100</v>
      </c>
      <c r="G64" s="21"/>
      <c r="H64" s="22">
        <v>58660</v>
      </c>
      <c r="I64" s="33">
        <v>0.53</v>
      </c>
      <c r="J64" s="24">
        <f>IFERROR(K64/H64,"")</f>
        <v>0.52800886464370955</v>
      </c>
      <c r="K64" s="22">
        <v>30973</v>
      </c>
      <c r="L64" s="21">
        <v>2</v>
      </c>
      <c r="M64" s="21">
        <v>28</v>
      </c>
      <c r="N64" s="21">
        <v>45</v>
      </c>
      <c r="O64" s="21">
        <v>25</v>
      </c>
      <c r="P64" s="21"/>
      <c r="Q64" s="21"/>
      <c r="R64" s="21"/>
      <c r="S64" s="21"/>
      <c r="T64" s="21"/>
      <c r="U64" s="25">
        <v>230</v>
      </c>
      <c r="V64" s="25">
        <f>H64*U64*I64/15</f>
        <v>476710.26666666666</v>
      </c>
      <c r="W64" s="25">
        <v>253.07</v>
      </c>
      <c r="X64" s="25">
        <f>990751.88/200*F64</f>
        <v>495375.94</v>
      </c>
      <c r="Y64" s="25">
        <f>IF(B64="FRANCISCO CAMACHO",((F64*42)+(G64*42)),IF(B64="DANILO VIANA",((F64*60)+(G64*60)),0))</f>
        <v>6000</v>
      </c>
      <c r="Z64" s="25">
        <f>32055.2</f>
        <v>32055.200000000001</v>
      </c>
      <c r="AA64" s="25">
        <v>0</v>
      </c>
      <c r="AB64" s="25">
        <f>2875</f>
        <v>2875</v>
      </c>
      <c r="AC64" s="25">
        <f>F64*38</f>
        <v>3800</v>
      </c>
      <c r="AD64" s="25">
        <f>IF(F64="",G64*4.11,F64*4.11)</f>
        <v>411.00000000000006</v>
      </c>
      <c r="AE64" s="25">
        <f>1981.5/200*F64</f>
        <v>990.75000000000011</v>
      </c>
      <c r="AF64" s="25">
        <f>V64+Y64+Z64+AA64+AB64+AC64+AD64</f>
        <v>521851.46666666667</v>
      </c>
      <c r="AG64" s="25">
        <f>IFERROR(IFERROR((H64*W64*J64/15)-AE64,""),"")</f>
        <v>521565.05733333336</v>
      </c>
      <c r="AH64" s="26">
        <f>IFERROR(AG64-AF64,0)</f>
        <v>-286.40933333331486</v>
      </c>
      <c r="AI64" s="25">
        <f>(AH64/$AH$143)*$AL$28</f>
        <v>-159.73736441205349</v>
      </c>
      <c r="AJ64" s="25">
        <f>(AH64-AI64)*70%</f>
        <v>-88.670378244882954</v>
      </c>
    </row>
    <row r="65" spans="1:36" hidden="1" x14ac:dyDescent="0.35">
      <c r="A65" s="20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-2.8640933333331486</v>
      </c>
    </row>
    <row r="66" spans="1:36" hidden="1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-5.4913443549626075E-4</v>
      </c>
    </row>
    <row r="67" spans="1:36" hidden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hidden="1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45317</v>
      </c>
      <c r="B69" s="21" t="s">
        <v>419</v>
      </c>
      <c r="C69" s="21" t="s">
        <v>872</v>
      </c>
      <c r="D69" s="44">
        <v>1906206</v>
      </c>
      <c r="E69" s="44" t="s">
        <v>652</v>
      </c>
      <c r="F69" s="21">
        <v>50</v>
      </c>
      <c r="G69" s="21"/>
      <c r="H69" s="22">
        <v>25040</v>
      </c>
      <c r="I69" s="33">
        <v>0.54</v>
      </c>
      <c r="J69" s="24">
        <f>IFERROR(K69/H69,"")</f>
        <v>0.55421325878594252</v>
      </c>
      <c r="K69" s="22">
        <v>13877.5</v>
      </c>
      <c r="L69" s="21">
        <v>36</v>
      </c>
      <c r="M69" s="21">
        <v>14</v>
      </c>
      <c r="N69" s="21"/>
      <c r="O69" s="21"/>
      <c r="P69" s="21"/>
      <c r="Q69" s="21"/>
      <c r="R69" s="21"/>
      <c r="S69" s="21"/>
      <c r="T69" s="21"/>
      <c r="U69" s="25">
        <v>235</v>
      </c>
      <c r="V69" s="25">
        <f>H69*U69*I69/15</f>
        <v>211838.4</v>
      </c>
      <c r="W69" s="25">
        <v>256.86</v>
      </c>
      <c r="X69" s="25">
        <f>1438843.98/300*F69</f>
        <v>239807.33000000002</v>
      </c>
      <c r="Y69" s="25">
        <f>IF(B69="FRANCISCO CAMACHO",((F69*42)+(G69*42)),IF(B69="DANILO VIANA",((F69*60)+(G69*60)),0))</f>
        <v>3000</v>
      </c>
      <c r="Z69" s="25">
        <v>11375.6</v>
      </c>
      <c r="AA69" s="25">
        <v>0</v>
      </c>
      <c r="AB69" s="25">
        <f>1468.75</f>
        <v>1468.75</v>
      </c>
      <c r="AC69" s="25">
        <f>F69*38</f>
        <v>1900</v>
      </c>
      <c r="AD69" s="25">
        <f>IF(F69="",G69*4.11,F69*4.11)</f>
        <v>205.50000000000003</v>
      </c>
      <c r="AE69" s="25">
        <f>2877.68/300*F69</f>
        <v>479.61333333333329</v>
      </c>
      <c r="AF69" s="25">
        <f>V69+Y69+Z69+AA69+AB69+AC69+AD69</f>
        <v>229788.25</v>
      </c>
      <c r="AG69" s="25">
        <f>IFERROR(IFERROR((H69*W69*J69/15)-AE69,""),"")</f>
        <v>237158.69666666668</v>
      </c>
      <c r="AH69" s="26">
        <f>IFERROR(AG69-AF69,0)</f>
        <v>7370.4466666666849</v>
      </c>
      <c r="AI69" s="25">
        <f>(AH69/$AH$143)*$AL$28</f>
        <v>4110.6751353762347</v>
      </c>
      <c r="AJ69" s="25">
        <f>(AH69-AI69)*70%</f>
        <v>2281.8400719033148</v>
      </c>
    </row>
    <row r="70" spans="1:36" hidden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147.40893333333369</v>
      </c>
    </row>
    <row r="71" spans="1:36" hidden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3.1078120980847092E-2</v>
      </c>
    </row>
    <row r="72" spans="1:36" hidden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</row>
    <row r="73" spans="1:36" hidden="1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45317</v>
      </c>
      <c r="B74" s="21" t="s">
        <v>632</v>
      </c>
      <c r="C74" s="21" t="s">
        <v>913</v>
      </c>
      <c r="D74" s="44">
        <v>1906206</v>
      </c>
      <c r="E74" s="44" t="s">
        <v>652</v>
      </c>
      <c r="F74" s="21">
        <v>200</v>
      </c>
      <c r="G74" s="21"/>
      <c r="H74" s="22">
        <v>106760</v>
      </c>
      <c r="I74" s="33">
        <v>0.55000000000000004</v>
      </c>
      <c r="J74" s="24">
        <f>IFERROR(K74/H74,"")</f>
        <v>0.52565380292244279</v>
      </c>
      <c r="K74" s="22">
        <f>70148.5/250*F74</f>
        <v>56118.799999999996</v>
      </c>
      <c r="L74" s="21">
        <v>69</v>
      </c>
      <c r="M74" s="21">
        <v>96</v>
      </c>
      <c r="N74" s="21">
        <v>28</v>
      </c>
      <c r="O74" s="21">
        <v>4</v>
      </c>
      <c r="P74" s="21">
        <v>3</v>
      </c>
      <c r="Q74" s="21"/>
      <c r="R74" s="21"/>
      <c r="S74" s="21"/>
      <c r="T74" s="21"/>
      <c r="U74" s="25">
        <v>215</v>
      </c>
      <c r="V74" s="25">
        <f>H74*U74*I74/15</f>
        <v>841624.66666666674</v>
      </c>
      <c r="W74" s="25">
        <v>256.86</v>
      </c>
      <c r="X74" s="25">
        <f>1438843.98/300*F74</f>
        <v>959229.32000000007</v>
      </c>
      <c r="Y74" s="25">
        <f>IF(B74="FRANCISCO CAMACHO",((F74*42)+(G74*42)),IF(B74="DANILO VIANA",((F74*60)+(G74*60)),0))</f>
        <v>8400</v>
      </c>
      <c r="Z74" s="25">
        <f>(20749.16+62847.25+20867)/250*F74</f>
        <v>83570.728000000003</v>
      </c>
      <c r="AA74" s="25">
        <v>0</v>
      </c>
      <c r="AB74" s="25">
        <f>6718.75/250*F74</f>
        <v>5375</v>
      </c>
      <c r="AC74" s="25">
        <v>0</v>
      </c>
      <c r="AD74" s="25">
        <f>IF(F74="",G74*4.11,F74*4.11)</f>
        <v>822.00000000000011</v>
      </c>
      <c r="AE74" s="25">
        <f>2877.68/300*F74</f>
        <v>1918.4533333333331</v>
      </c>
      <c r="AF74" s="25">
        <f>V74+Y74+Z74+AA74+AB74+AC74+AD74</f>
        <v>939792.39466666675</v>
      </c>
      <c r="AG74" s="25">
        <f>IFERROR(IFERROR((H74*W74*J74/15)-AE74,""),"")</f>
        <v>959059.87786666653</v>
      </c>
      <c r="AH74" s="26">
        <f>IFERROR(AG74-AF74,0)</f>
        <v>19267.483199999784</v>
      </c>
      <c r="AI74" s="25">
        <f>(AH74/$AH$143)*$AL$28</f>
        <v>10745.938162705414</v>
      </c>
      <c r="AJ74" s="25">
        <f>(AH74-AI74)*70%</f>
        <v>5965.0815261060588</v>
      </c>
    </row>
    <row r="75" spans="1:36" hidden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96.337415999998925</v>
      </c>
    </row>
    <row r="76" spans="1:36" hidden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2.0089968983853634E-2</v>
      </c>
    </row>
    <row r="77" spans="1:36" hidden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</row>
    <row r="78" spans="1:36" hidden="1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>
        <v>45317</v>
      </c>
      <c r="B79" s="21" t="s">
        <v>632</v>
      </c>
      <c r="C79" s="21" t="s">
        <v>913</v>
      </c>
      <c r="D79" s="44">
        <v>1906206</v>
      </c>
      <c r="E79" s="44" t="s">
        <v>652</v>
      </c>
      <c r="F79" s="21">
        <v>50</v>
      </c>
      <c r="G79" s="21"/>
      <c r="H79" s="22">
        <v>24695</v>
      </c>
      <c r="I79" s="33">
        <v>0.53</v>
      </c>
      <c r="J79" s="24">
        <f>IFERROR(K79/H79,"")</f>
        <v>0.56811905243976513</v>
      </c>
      <c r="K79" s="22">
        <f>70148.5/250*F79</f>
        <v>14029.699999999999</v>
      </c>
      <c r="L79" s="21">
        <v>17</v>
      </c>
      <c r="M79" s="21">
        <v>24</v>
      </c>
      <c r="N79" s="21">
        <v>7</v>
      </c>
      <c r="O79" s="21">
        <v>1</v>
      </c>
      <c r="P79" s="21">
        <v>1</v>
      </c>
      <c r="Q79" s="21"/>
      <c r="R79" s="21"/>
      <c r="S79" s="21"/>
      <c r="T79" s="21"/>
      <c r="U79" s="25">
        <v>215</v>
      </c>
      <c r="V79" s="25">
        <f>H79*U79*I79/15</f>
        <v>187599.68333333332</v>
      </c>
      <c r="W79" s="25">
        <v>256.86</v>
      </c>
      <c r="X79" s="25">
        <f>1438843.98/300*F79</f>
        <v>239807.33000000002</v>
      </c>
      <c r="Y79" s="25">
        <f>IF(B79="FRANCISCO CAMACHO",((F79*42)+(G79*42)),IF(B79="DANILO VIANA",((F79*60)+(G79*60)),0))</f>
        <v>2100</v>
      </c>
      <c r="Z79" s="25">
        <f>(20749.16+62847.25+20867)/250*F79</f>
        <v>20892.682000000001</v>
      </c>
      <c r="AA79" s="25">
        <v>0</v>
      </c>
      <c r="AB79" s="25">
        <f>6718.75/250*F79</f>
        <v>1343.75</v>
      </c>
      <c r="AC79" s="25">
        <v>0</v>
      </c>
      <c r="AD79" s="25">
        <f>IF(F79="",G79*4.11,F79*4.11)</f>
        <v>205.50000000000003</v>
      </c>
      <c r="AE79" s="25">
        <f>2877.68/300*F79</f>
        <v>479.61333333333329</v>
      </c>
      <c r="AF79" s="25">
        <f>V79+Y79+Z79+AA79+AB79+AC79+AD79</f>
        <v>212141.61533333332</v>
      </c>
      <c r="AG79" s="25">
        <f>IFERROR(IFERROR((H79*W79*J79/15)-AE79,""),"")</f>
        <v>239764.96946666666</v>
      </c>
      <c r="AH79" s="26">
        <f>IFERROR(AG79-AF79,0)</f>
        <v>27623.354133333341</v>
      </c>
      <c r="AI79" s="25">
        <f>(AH79/$AH$143)*$AL$28</f>
        <v>15406.208080322416</v>
      </c>
      <c r="AJ79" s="25">
        <f>(AH79-AI79)*70%</f>
        <v>8552.0022371076466</v>
      </c>
    </row>
    <row r="80" spans="1:36" hidden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552.46708266666678</v>
      </c>
    </row>
    <row r="81" spans="1:36" hidden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>
        <f>IFERROR(AH79/AG79,"")</f>
        <v>0.11521013346853273</v>
      </c>
    </row>
    <row r="82" spans="1:36" hidden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</row>
    <row r="83" spans="1:36" hidden="1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hidden="1" x14ac:dyDescent="0.35">
      <c r="A84" s="20"/>
      <c r="B84" s="21"/>
      <c r="C84" s="21"/>
      <c r="D84" s="44"/>
      <c r="E84" s="44"/>
      <c r="F84" s="21"/>
      <c r="G84" s="21"/>
      <c r="H84" s="22">
        <v>0</v>
      </c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f>IF(B84="FRANCISCO CAMACHO",((F84*42)+(G84*42)),IF(B84="DANILO VIANA",((F84*60)+(G84*60)),0))</f>
        <v>0</v>
      </c>
      <c r="Z84" s="25"/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25">
        <f>(AH84/$AH$143)*$AL$28</f>
        <v>0</v>
      </c>
      <c r="AJ84" s="25">
        <f>(AH84-AI84)*70%</f>
        <v>0</v>
      </c>
    </row>
    <row r="85" spans="1:36" hidden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</row>
    <row r="86" spans="1:36" hidden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</row>
    <row r="87" spans="1:36" hidden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</row>
    <row r="88" spans="1:36" hidden="1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hidden="1" x14ac:dyDescent="0.35">
      <c r="A89" s="20"/>
      <c r="B89" s="21"/>
      <c r="C89" s="21"/>
      <c r="D89" s="44"/>
      <c r="E89" s="44"/>
      <c r="F89" s="21"/>
      <c r="G89" s="21"/>
      <c r="H89" s="22">
        <v>0</v>
      </c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>
        <v>0</v>
      </c>
      <c r="Y89" s="25">
        <f>IF(B89="FRANCISCO CAMACHO",((F89*42)+(G89*42)),IF(B89="DANILO VIANA",((F89*60)+(G89*60)),0))</f>
        <v>0</v>
      </c>
      <c r="Z89" s="25"/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25">
        <f>(AH89/$AH$143)*$AL$28</f>
        <v>0</v>
      </c>
      <c r="AJ89" s="25">
        <f>(AH89-AI89)*70%</f>
        <v>0</v>
      </c>
    </row>
    <row r="90" spans="1:36" hidden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</row>
    <row r="91" spans="1:36" hidden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</row>
    <row r="92" spans="1:36" hidden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hidden="1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hidden="1" x14ac:dyDescent="0.35">
      <c r="A94" s="20"/>
      <c r="B94" s="21"/>
      <c r="C94" s="21"/>
      <c r="D94" s="44"/>
      <c r="E94" s="44"/>
      <c r="F94" s="21"/>
      <c r="G94" s="21"/>
      <c r="H94" s="22">
        <v>0</v>
      </c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f>IF(B94="FRANCISCO CAMACHO",((F94*42)+(G94*42)),IF(B94="DANILO VIANA",((F94*60)+(G94*60)),0))</f>
        <v>0</v>
      </c>
      <c r="Z94" s="25"/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25">
        <f>(AH94/$AH$143)*$AL$28</f>
        <v>0</v>
      </c>
      <c r="AJ94" s="25">
        <f>(AH94-AI94)*70%</f>
        <v>0</v>
      </c>
    </row>
    <row r="95" spans="1:36" hidden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</row>
    <row r="96" spans="1:36" hidden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</row>
    <row r="97" spans="1:36" hidden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</row>
    <row r="98" spans="1:36" hidden="1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hidden="1" x14ac:dyDescent="0.35">
      <c r="A99" s="20"/>
      <c r="B99" s="21"/>
      <c r="C99" s="21"/>
      <c r="D99" s="44"/>
      <c r="E99" s="44"/>
      <c r="F99" s="21"/>
      <c r="G99" s="21"/>
      <c r="H99" s="22">
        <v>0</v>
      </c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IF(B99="FRANCISCO CAMACHO",((F99*42)+(G99*42)),IF(B99="DANILO VIANA",((F99*60)+(G99*60)),0))</f>
        <v>0</v>
      </c>
      <c r="Z99" s="25"/>
      <c r="AA99" s="25">
        <v>0</v>
      </c>
      <c r="AB99" s="25">
        <v>0</v>
      </c>
      <c r="AC99" s="25"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(AH99/$AH$143)*$AL$28</f>
        <v>0</v>
      </c>
      <c r="AJ99" s="25">
        <f>(AH99-AI99)*70%</f>
        <v>0</v>
      </c>
    </row>
    <row r="100" spans="1:36" hidden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</row>
    <row r="101" spans="1:36" hidden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</row>
    <row r="102" spans="1:36" hidden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</row>
    <row r="103" spans="1:36" hidden="1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hidden="1" x14ac:dyDescent="0.35">
      <c r="A104" s="20"/>
      <c r="B104" s="21"/>
      <c r="C104" s="21"/>
      <c r="D104" s="44"/>
      <c r="E104" s="44"/>
      <c r="F104" s="21"/>
      <c r="G104" s="21"/>
      <c r="H104" s="22">
        <v>0</v>
      </c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IF(B104="FRANCISCO CAMACHO",((F104*42)+(G104*42)),IF(B104="DANILO VIANA",((F104*60)+(G104*60)),0))</f>
        <v>0</v>
      </c>
      <c r="Z104" s="25"/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(AH104/$AH$143)*$AL$28</f>
        <v>0</v>
      </c>
      <c r="AJ104" s="25">
        <f>(AH104-AI104)*70%</f>
        <v>0</v>
      </c>
    </row>
    <row r="105" spans="1:36" hidden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</row>
    <row r="106" spans="1:36" hidden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</row>
    <row r="107" spans="1:36" hidden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</row>
    <row r="108" spans="1:36" hidden="1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hidden="1" x14ac:dyDescent="0.35">
      <c r="A109" s="20"/>
      <c r="B109" s="21"/>
      <c r="C109" s="21"/>
      <c r="D109" s="44"/>
      <c r="E109" s="44"/>
      <c r="F109" s="21"/>
      <c r="G109" s="21"/>
      <c r="H109" s="22">
        <v>0</v>
      </c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>
        <v>0</v>
      </c>
      <c r="Y109" s="25">
        <f>IF(B109="FRANCISCO CAMACHO",((F109*42)+(G109*42)),IF(B109="DANILO VIANA",((F109*60)+(G109*60)),0))</f>
        <v>0</v>
      </c>
      <c r="Z109" s="25"/>
      <c r="AA109" s="25">
        <v>0</v>
      </c>
      <c r="AB109" s="25">
        <v>0</v>
      </c>
      <c r="AC109" s="25"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(AH109/$AH$143)*$AL$28</f>
        <v>0</v>
      </c>
      <c r="AJ109" s="25">
        <f>(AH109-AI109)*70%</f>
        <v>0</v>
      </c>
    </row>
    <row r="110" spans="1:36" hidden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</row>
    <row r="111" spans="1:36" hidden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</row>
    <row r="112" spans="1:36" hidden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</row>
    <row r="113" spans="1:36" ht="15" hidden="1" customHeight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hidden="1" x14ac:dyDescent="0.35">
      <c r="A114" s="20"/>
      <c r="B114" s="21"/>
      <c r="C114" s="21"/>
      <c r="D114" s="44"/>
      <c r="E114" s="44"/>
      <c r="F114" s="21"/>
      <c r="G114" s="21"/>
      <c r="H114" s="22">
        <v>0</v>
      </c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>
        <v>0</v>
      </c>
      <c r="X114" s="25">
        <v>0</v>
      </c>
      <c r="Y114" s="25">
        <f>IF(B114="FRANCISCO CAMACHO",((F114*42)+(G114*42)),IF(B114="DANILO VIANA",((F114*60)+(G114*60)),0))</f>
        <v>0</v>
      </c>
      <c r="Z114" s="25"/>
      <c r="AA114" s="25">
        <v>0</v>
      </c>
      <c r="AB114" s="25">
        <v>0</v>
      </c>
      <c r="AC114" s="25">
        <v>0</v>
      </c>
      <c r="AD114" s="25">
        <f>IF(F114="",G114*4.11,F114*4.11)</f>
        <v>0</v>
      </c>
      <c r="AE114" s="25">
        <v>0</v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25">
        <f>(AH114/$AH$143)*$AL$28</f>
        <v>0</v>
      </c>
      <c r="AJ114" s="25">
        <f>(AH114-AI114)*70%</f>
        <v>0</v>
      </c>
    </row>
    <row r="115" spans="1:36" hidden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</row>
    <row r="116" spans="1:36" hidden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</row>
    <row r="117" spans="1:36" hidden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47"/>
      <c r="AJ117" s="47"/>
    </row>
    <row r="118" spans="1:36" hidden="1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hidden="1" x14ac:dyDescent="0.35">
      <c r="A119" s="20"/>
      <c r="B119" s="21"/>
      <c r="C119" s="21"/>
      <c r="D119" s="44"/>
      <c r="E119" s="44"/>
      <c r="F119" s="21"/>
      <c r="G119" s="21"/>
      <c r="H119" s="22">
        <v>0</v>
      </c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>
        <v>0</v>
      </c>
      <c r="X119" s="25">
        <v>0</v>
      </c>
      <c r="Y119" s="25">
        <f>IF(B119="FRANCISCO CAMACHO",((F119*42)+(G119*42)),IF(B119="DANILO VIANA",((F119*60)+(G119*60)),0))</f>
        <v>0</v>
      </c>
      <c r="Z119" s="25"/>
      <c r="AA119" s="25">
        <v>0</v>
      </c>
      <c r="AB119" s="25">
        <v>0</v>
      </c>
      <c r="AC119" s="25">
        <v>0</v>
      </c>
      <c r="AD119" s="25">
        <f>IF(F119="",G119*4.11,F119*4.11)</f>
        <v>0</v>
      </c>
      <c r="AE119" s="25">
        <v>0</v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25">
        <f>(AH119/$AH$143)*$AL$28</f>
        <v>0</v>
      </c>
      <c r="AJ119" s="25">
        <f>(AH119-AI119)*70%</f>
        <v>0</v>
      </c>
    </row>
    <row r="120" spans="1:36" hidden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</row>
    <row r="121" spans="1:36" hidden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</row>
    <row r="122" spans="1:36" hidden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</row>
    <row r="123" spans="1:36" hidden="1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hidden="1" x14ac:dyDescent="0.35">
      <c r="A124" s="20"/>
      <c r="B124" s="21"/>
      <c r="C124" s="21"/>
      <c r="D124" s="44"/>
      <c r="E124" s="44"/>
      <c r="F124" s="21"/>
      <c r="G124" s="21"/>
      <c r="H124" s="22">
        <v>0</v>
      </c>
      <c r="I124" s="33">
        <v>0</v>
      </c>
      <c r="J124" s="24" t="str">
        <f>IFERROR(K124/H124,"")</f>
        <v/>
      </c>
      <c r="K124" s="22">
        <v>0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>
        <v>0</v>
      </c>
      <c r="X124" s="25">
        <v>0</v>
      </c>
      <c r="Y124" s="25">
        <f>IF(B124="FRANCISCO CAMACHO",((F124*42)+(G124*42)),IF(B124="DANILO VIANA",((F124*60)+(G124*60)),0))</f>
        <v>0</v>
      </c>
      <c r="Z124" s="25"/>
      <c r="AA124" s="25">
        <v>0</v>
      </c>
      <c r="AB124" s="25">
        <v>0</v>
      </c>
      <c r="AC124" s="25">
        <v>0</v>
      </c>
      <c r="AD124" s="25">
        <f>IF(F124="",G124*4.11,F124*4.11)</f>
        <v>0</v>
      </c>
      <c r="AE124" s="25">
        <v>0</v>
      </c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25">
        <f>(AH124/$AH$143)*$AL$28</f>
        <v>0</v>
      </c>
      <c r="AJ124" s="25">
        <f>(AH124-AI124)*70%</f>
        <v>0</v>
      </c>
    </row>
    <row r="125" spans="1:36" hidden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</row>
    <row r="126" spans="1:36" hidden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</row>
    <row r="127" spans="1:36" hidden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</row>
    <row r="128" spans="1:36" hidden="1" x14ac:dyDescent="0.35">
      <c r="A128" s="14" t="s">
        <v>1</v>
      </c>
      <c r="B128" s="14" t="s">
        <v>2</v>
      </c>
      <c r="C128" s="14" t="s">
        <v>110</v>
      </c>
      <c r="D128" s="14" t="s">
        <v>66</v>
      </c>
      <c r="E128" s="14" t="s">
        <v>638</v>
      </c>
      <c r="F128" s="14" t="s">
        <v>137</v>
      </c>
      <c r="G128" s="14" t="s">
        <v>138</v>
      </c>
      <c r="H128" s="14" t="s">
        <v>4</v>
      </c>
      <c r="I128" s="14" t="s">
        <v>5</v>
      </c>
      <c r="J128" s="14" t="s">
        <v>6</v>
      </c>
      <c r="K128" s="14" t="s">
        <v>7</v>
      </c>
      <c r="L128" s="14" t="s">
        <v>279</v>
      </c>
      <c r="M128" s="14" t="s">
        <v>280</v>
      </c>
      <c r="N128" s="14" t="s">
        <v>281</v>
      </c>
      <c r="O128" s="14" t="s">
        <v>282</v>
      </c>
      <c r="P128" s="14" t="s">
        <v>283</v>
      </c>
      <c r="Q128" s="14" t="s">
        <v>284</v>
      </c>
      <c r="R128" s="14" t="s">
        <v>904</v>
      </c>
      <c r="S128" s="14" t="s">
        <v>285</v>
      </c>
      <c r="T128" s="14" t="s">
        <v>289</v>
      </c>
      <c r="U128" s="14" t="s">
        <v>8</v>
      </c>
      <c r="V128" s="14" t="s">
        <v>9</v>
      </c>
      <c r="W128" s="14" t="s">
        <v>10</v>
      </c>
      <c r="X128" s="14" t="s">
        <v>100</v>
      </c>
      <c r="Y128" s="14" t="s">
        <v>106</v>
      </c>
      <c r="Z128" s="14" t="s">
        <v>12</v>
      </c>
      <c r="AA128" s="14" t="s">
        <v>258</v>
      </c>
      <c r="AB128" s="14" t="s">
        <v>13</v>
      </c>
      <c r="AC128" s="14" t="s">
        <v>74</v>
      </c>
      <c r="AD128" s="14" t="s">
        <v>21</v>
      </c>
      <c r="AE128" s="14" t="s">
        <v>14</v>
      </c>
      <c r="AF128" s="14" t="s">
        <v>15</v>
      </c>
      <c r="AG128" s="14" t="s">
        <v>16</v>
      </c>
      <c r="AH128" s="15" t="s">
        <v>17</v>
      </c>
      <c r="AI128" s="14" t="s">
        <v>679</v>
      </c>
      <c r="AJ128" s="14" t="s">
        <v>678</v>
      </c>
    </row>
    <row r="129" spans="1:36" hidden="1" x14ac:dyDescent="0.35">
      <c r="A129" s="20"/>
      <c r="B129" s="21"/>
      <c r="C129" s="21"/>
      <c r="D129" s="44"/>
      <c r="E129" s="44"/>
      <c r="F129" s="21"/>
      <c r="G129" s="21"/>
      <c r="H129" s="22">
        <v>0</v>
      </c>
      <c r="I129" s="33">
        <v>0</v>
      </c>
      <c r="J129" s="24" t="str">
        <f>IFERROR(K129/H129,"")</f>
        <v/>
      </c>
      <c r="K129" s="22">
        <v>0</v>
      </c>
      <c r="L129" s="21"/>
      <c r="M129" s="21"/>
      <c r="N129" s="21"/>
      <c r="O129" s="21"/>
      <c r="P129" s="21"/>
      <c r="Q129" s="21"/>
      <c r="R129" s="21"/>
      <c r="S129" s="21"/>
      <c r="T129" s="21"/>
      <c r="U129" s="25">
        <v>0</v>
      </c>
      <c r="V129" s="25">
        <f>H129*U129*I129/15</f>
        <v>0</v>
      </c>
      <c r="W129" s="25">
        <v>0</v>
      </c>
      <c r="X129" s="25">
        <v>0</v>
      </c>
      <c r="Y129" s="25">
        <f>IF(B129="FRANCISCO CAMACHO",((F129*42)+(G129*42)),IF(B129="DANILO VIANA",((F129*60)+(G129*60)),0))</f>
        <v>0</v>
      </c>
      <c r="Z129" s="25"/>
      <c r="AA129" s="25">
        <v>0</v>
      </c>
      <c r="AB129" s="25">
        <v>0</v>
      </c>
      <c r="AC129" s="25">
        <v>0</v>
      </c>
      <c r="AD129" s="25">
        <f>IF(F129="",G129*4.11,F129*4.11)</f>
        <v>0</v>
      </c>
      <c r="AE129" s="25">
        <v>0</v>
      </c>
      <c r="AF129" s="25">
        <f>V129+Y129+Z129+AA129+AB129+AC129+AD129</f>
        <v>0</v>
      </c>
      <c r="AG129" s="25" t="str">
        <f>IFERROR(IFERROR((H129*W129*J129/15)-AE129,""),"")</f>
        <v/>
      </c>
      <c r="AH129" s="26">
        <f>IFERROR(AG129-AF129,0)</f>
        <v>0</v>
      </c>
      <c r="AI129" s="25">
        <f>(AH129/$AH$143)*$AL$28</f>
        <v>0</v>
      </c>
      <c r="AJ129" s="25">
        <f>(AH129-AI129)*70%</f>
        <v>0</v>
      </c>
    </row>
    <row r="130" spans="1:36" hidden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3"/>
      <c r="AA130" s="21"/>
      <c r="AB130" s="21"/>
      <c r="AC130" s="21"/>
      <c r="AD130" s="21"/>
      <c r="AE130" s="21"/>
      <c r="AF130" s="21"/>
      <c r="AG130" s="21"/>
      <c r="AH130" s="26">
        <f>IFERROR(AH129/F129,0)+IFERROR(AH129/G129,0)</f>
        <v>0</v>
      </c>
    </row>
    <row r="131" spans="1:36" hidden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7" t="str">
        <f>IFERROR(AH129/AG129,"")</f>
        <v/>
      </c>
    </row>
    <row r="132" spans="1:36" hidden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47"/>
    </row>
    <row r="133" spans="1:36" hidden="1" x14ac:dyDescent="0.35">
      <c r="A133" s="14" t="s">
        <v>1</v>
      </c>
      <c r="B133" s="14" t="s">
        <v>2</v>
      </c>
      <c r="C133" s="14" t="s">
        <v>110</v>
      </c>
      <c r="D133" s="14" t="s">
        <v>66</v>
      </c>
      <c r="E133" s="14" t="s">
        <v>638</v>
      </c>
      <c r="F133" s="14" t="s">
        <v>137</v>
      </c>
      <c r="G133" s="14" t="s">
        <v>138</v>
      </c>
      <c r="H133" s="14" t="s">
        <v>4</v>
      </c>
      <c r="I133" s="14" t="s">
        <v>5</v>
      </c>
      <c r="J133" s="14" t="s">
        <v>6</v>
      </c>
      <c r="K133" s="14" t="s">
        <v>7</v>
      </c>
      <c r="L133" s="14" t="s">
        <v>279</v>
      </c>
      <c r="M133" s="14" t="s">
        <v>280</v>
      </c>
      <c r="N133" s="14" t="s">
        <v>281</v>
      </c>
      <c r="O133" s="14" t="s">
        <v>282</v>
      </c>
      <c r="P133" s="14" t="s">
        <v>283</v>
      </c>
      <c r="Q133" s="14" t="s">
        <v>284</v>
      </c>
      <c r="R133" s="14" t="s">
        <v>904</v>
      </c>
      <c r="S133" s="14" t="s">
        <v>285</v>
      </c>
      <c r="T133" s="14" t="s">
        <v>289</v>
      </c>
      <c r="U133" s="14" t="s">
        <v>8</v>
      </c>
      <c r="V133" s="14" t="s">
        <v>9</v>
      </c>
      <c r="W133" s="14" t="s">
        <v>10</v>
      </c>
      <c r="X133" s="14" t="s">
        <v>100</v>
      </c>
      <c r="Y133" s="14" t="s">
        <v>106</v>
      </c>
      <c r="Z133" s="14" t="s">
        <v>12</v>
      </c>
      <c r="AA133" s="14" t="s">
        <v>258</v>
      </c>
      <c r="AB133" s="14" t="s">
        <v>13</v>
      </c>
      <c r="AC133" s="14" t="s">
        <v>74</v>
      </c>
      <c r="AD133" s="14" t="s">
        <v>21</v>
      </c>
      <c r="AE133" s="14" t="s">
        <v>14</v>
      </c>
      <c r="AF133" s="14" t="s">
        <v>15</v>
      </c>
      <c r="AG133" s="14" t="s">
        <v>16</v>
      </c>
      <c r="AH133" s="15" t="s">
        <v>17</v>
      </c>
      <c r="AI133" s="14" t="s">
        <v>679</v>
      </c>
      <c r="AJ133" s="14" t="s">
        <v>678</v>
      </c>
    </row>
    <row r="134" spans="1:36" hidden="1" x14ac:dyDescent="0.35">
      <c r="A134" s="20"/>
      <c r="B134" s="21"/>
      <c r="C134" s="21"/>
      <c r="D134" s="44"/>
      <c r="E134" s="44"/>
      <c r="F134" s="21"/>
      <c r="G134" s="21"/>
      <c r="H134" s="22">
        <v>0</v>
      </c>
      <c r="I134" s="33">
        <v>0</v>
      </c>
      <c r="J134" s="24" t="str">
        <f>IFERROR(K134/H134,"")</f>
        <v/>
      </c>
      <c r="K134" s="22">
        <v>0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5">
        <v>0</v>
      </c>
      <c r="V134" s="25">
        <f>H134*U134*I134/15</f>
        <v>0</v>
      </c>
      <c r="W134" s="25">
        <v>0</v>
      </c>
      <c r="X134" s="25">
        <v>0</v>
      </c>
      <c r="Y134" s="25">
        <f>IF(B134="FRANCISCO CAMACHO",((F134*42)+(G134*42)),IF(B134="DANILO VIANA",((F134*60)+(G134*60)),0))</f>
        <v>0</v>
      </c>
      <c r="Z134" s="25"/>
      <c r="AA134" s="25">
        <v>0</v>
      </c>
      <c r="AB134" s="25">
        <v>0</v>
      </c>
      <c r="AC134" s="25">
        <v>0</v>
      </c>
      <c r="AD134" s="25">
        <f>IF(F134="",G134*4.11,F134*4.11)</f>
        <v>0</v>
      </c>
      <c r="AE134" s="25">
        <v>0</v>
      </c>
      <c r="AF134" s="25">
        <f>V134+Y134+Z134+AA134+AB134+AC134+AD134</f>
        <v>0</v>
      </c>
      <c r="AG134" s="25" t="str">
        <f>IFERROR(IFERROR((H134*W134*J134/15)-AE134,""),"")</f>
        <v/>
      </c>
      <c r="AH134" s="26">
        <f>IFERROR(AG134-AF134,0)</f>
        <v>0</v>
      </c>
      <c r="AI134" s="25">
        <f>(AH134/$AH$143)*$AL$28</f>
        <v>0</v>
      </c>
      <c r="AJ134" s="25">
        <f>(AH134-AI134)*70%</f>
        <v>0</v>
      </c>
    </row>
    <row r="135" spans="1:36" hidden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3"/>
      <c r="AA135" s="21"/>
      <c r="AB135" s="21"/>
      <c r="AC135" s="21"/>
      <c r="AD135" s="21"/>
      <c r="AE135" s="21"/>
      <c r="AF135" s="21"/>
      <c r="AG135" s="21"/>
      <c r="AH135" s="26">
        <f>IFERROR(AH134/F134,0)+IFERROR(AH134/G134,0)</f>
        <v>0</v>
      </c>
    </row>
    <row r="136" spans="1:36" hidden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7" t="str">
        <f>IFERROR(AH134/AG134,"")</f>
        <v/>
      </c>
    </row>
    <row r="137" spans="1:36" hidden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47"/>
    </row>
    <row r="138" spans="1:36" hidden="1" x14ac:dyDescent="0.35">
      <c r="A138" s="14" t="s">
        <v>1</v>
      </c>
      <c r="B138" s="14" t="s">
        <v>2</v>
      </c>
      <c r="C138" s="14" t="s">
        <v>110</v>
      </c>
      <c r="D138" s="14" t="s">
        <v>66</v>
      </c>
      <c r="E138" s="14" t="s">
        <v>638</v>
      </c>
      <c r="F138" s="14" t="s">
        <v>137</v>
      </c>
      <c r="G138" s="14" t="s">
        <v>138</v>
      </c>
      <c r="H138" s="14" t="s">
        <v>4</v>
      </c>
      <c r="I138" s="14" t="s">
        <v>5</v>
      </c>
      <c r="J138" s="14" t="s">
        <v>6</v>
      </c>
      <c r="K138" s="14" t="s">
        <v>7</v>
      </c>
      <c r="L138" s="14" t="s">
        <v>279</v>
      </c>
      <c r="M138" s="14" t="s">
        <v>280</v>
      </c>
      <c r="N138" s="14" t="s">
        <v>281</v>
      </c>
      <c r="O138" s="14" t="s">
        <v>282</v>
      </c>
      <c r="P138" s="14" t="s">
        <v>283</v>
      </c>
      <c r="Q138" s="14" t="s">
        <v>284</v>
      </c>
      <c r="R138" s="14" t="s">
        <v>904</v>
      </c>
      <c r="S138" s="14" t="s">
        <v>285</v>
      </c>
      <c r="T138" s="14" t="s">
        <v>289</v>
      </c>
      <c r="U138" s="14" t="s">
        <v>8</v>
      </c>
      <c r="V138" s="14" t="s">
        <v>9</v>
      </c>
      <c r="W138" s="14" t="s">
        <v>10</v>
      </c>
      <c r="X138" s="14" t="s">
        <v>100</v>
      </c>
      <c r="Y138" s="14" t="s">
        <v>106</v>
      </c>
      <c r="Z138" s="14" t="s">
        <v>12</v>
      </c>
      <c r="AA138" s="14" t="s">
        <v>258</v>
      </c>
      <c r="AB138" s="14" t="s">
        <v>13</v>
      </c>
      <c r="AC138" s="14" t="s">
        <v>74</v>
      </c>
      <c r="AD138" s="14" t="s">
        <v>21</v>
      </c>
      <c r="AE138" s="14" t="s">
        <v>14</v>
      </c>
      <c r="AF138" s="14" t="s">
        <v>15</v>
      </c>
      <c r="AG138" s="14" t="s">
        <v>16</v>
      </c>
      <c r="AH138" s="15" t="s">
        <v>17</v>
      </c>
      <c r="AI138" s="14" t="s">
        <v>679</v>
      </c>
      <c r="AJ138" s="14" t="s">
        <v>678</v>
      </c>
    </row>
    <row r="139" spans="1:36" hidden="1" x14ac:dyDescent="0.35">
      <c r="A139" s="20"/>
      <c r="B139" s="21"/>
      <c r="C139" s="21"/>
      <c r="D139" s="44"/>
      <c r="E139" s="44"/>
      <c r="F139" s="21"/>
      <c r="G139" s="21"/>
      <c r="H139" s="22">
        <v>0</v>
      </c>
      <c r="I139" s="33">
        <v>0</v>
      </c>
      <c r="J139" s="24" t="str">
        <f>IFERROR(K139/H139,"")</f>
        <v/>
      </c>
      <c r="K139" s="22">
        <v>0</v>
      </c>
      <c r="L139" s="21"/>
      <c r="M139" s="21"/>
      <c r="N139" s="21"/>
      <c r="O139" s="21"/>
      <c r="P139" s="21"/>
      <c r="Q139" s="21"/>
      <c r="R139" s="21"/>
      <c r="S139" s="21"/>
      <c r="T139" s="21"/>
      <c r="U139" s="25">
        <v>0</v>
      </c>
      <c r="V139" s="25">
        <f>H139*U139*I139/15</f>
        <v>0</v>
      </c>
      <c r="W139" s="25">
        <v>0</v>
      </c>
      <c r="X139" s="25">
        <v>0</v>
      </c>
      <c r="Y139" s="25">
        <f>IF(B139="FRANCISCO CAMACHO",((F139*42)+(G139*42)),IF(B139="DANILO VIANA",((F139*60)+(G139*60)),0))</f>
        <v>0</v>
      </c>
      <c r="Z139" s="25"/>
      <c r="AA139" s="25">
        <v>0</v>
      </c>
      <c r="AB139" s="25">
        <v>0</v>
      </c>
      <c r="AC139" s="25">
        <v>0</v>
      </c>
      <c r="AD139" s="25">
        <f>IF(F139="",G139*4.11,F139*4.11)</f>
        <v>0</v>
      </c>
      <c r="AE139" s="25">
        <v>0</v>
      </c>
      <c r="AF139" s="25">
        <f>V139+Y139+Z139+AA139+AB139+AC139+AD139</f>
        <v>0</v>
      </c>
      <c r="AG139" s="25" t="str">
        <f>IFERROR(IFERROR((H139*W139*J139/15)-AE139,""),"")</f>
        <v/>
      </c>
      <c r="AH139" s="26">
        <f>IFERROR(AG139-AF139,0)</f>
        <v>0</v>
      </c>
      <c r="AI139" s="25">
        <f>(AH139/$AH$143)*$AL$28</f>
        <v>0</v>
      </c>
      <c r="AJ139" s="25">
        <f>(AH139-AI139)*70%</f>
        <v>0</v>
      </c>
    </row>
    <row r="140" spans="1:36" hidden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3"/>
      <c r="AA140" s="21"/>
      <c r="AB140" s="21"/>
      <c r="AC140" s="21"/>
      <c r="AD140" s="21"/>
      <c r="AE140" s="21"/>
      <c r="AF140" s="21"/>
      <c r="AG140" s="21"/>
      <c r="AH140" s="26">
        <f>IFERROR(AH139/F139,0)+IFERROR(AH139/G139,0)</f>
        <v>0</v>
      </c>
    </row>
    <row r="141" spans="1:36" hidden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7" t="str">
        <f>IFERROR(AH139/AG139,"")</f>
        <v/>
      </c>
    </row>
    <row r="142" spans="1:36" ht="15" thickBot="1" x14ac:dyDescent="0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47"/>
      <c r="AI142" s="47"/>
      <c r="AJ142" s="47"/>
    </row>
    <row r="143" spans="1:36" ht="16" thickBot="1" x14ac:dyDescent="0.4">
      <c r="A143" s="377" t="s">
        <v>803</v>
      </c>
      <c r="B143" s="378"/>
      <c r="C143" s="378"/>
      <c r="D143" s="378"/>
      <c r="E143" s="378"/>
      <c r="F143" s="163">
        <f>SUM(F4:F142)</f>
        <v>1239</v>
      </c>
      <c r="G143" s="163">
        <f>SUM(G4:G142)</f>
        <v>0</v>
      </c>
      <c r="H143" s="30"/>
      <c r="I143" s="30"/>
      <c r="J143" s="30"/>
      <c r="K143" s="30"/>
      <c r="L143" s="46"/>
      <c r="M143" s="46"/>
      <c r="N143" s="46"/>
      <c r="O143" s="46"/>
      <c r="P143" s="46"/>
      <c r="Q143" s="46"/>
      <c r="R143" s="46"/>
      <c r="S143" s="46"/>
      <c r="T143" s="46"/>
      <c r="U143" s="30"/>
      <c r="V143" s="31">
        <f>SUM(V4:V142)</f>
        <v>5295723.87</v>
      </c>
      <c r="W143" s="31"/>
      <c r="X143" s="31"/>
      <c r="Y143" s="31">
        <f t="shared" ref="Y143:AG143" si="0">SUM(Y4:Y142)</f>
        <v>52800</v>
      </c>
      <c r="Z143" s="31">
        <f t="shared" si="0"/>
        <v>370997.36</v>
      </c>
      <c r="AA143" s="31">
        <f t="shared" si="0"/>
        <v>0</v>
      </c>
      <c r="AB143" s="31">
        <f t="shared" si="0"/>
        <v>35047.5</v>
      </c>
      <c r="AC143" s="31">
        <f t="shared" si="0"/>
        <v>22610</v>
      </c>
      <c r="AD143" s="31">
        <f t="shared" si="0"/>
        <v>5092.2900000000009</v>
      </c>
      <c r="AE143" s="31">
        <f t="shared" si="0"/>
        <v>11886.469999999998</v>
      </c>
      <c r="AF143" s="31">
        <f t="shared" si="0"/>
        <v>5782271.0200000005</v>
      </c>
      <c r="AG143" s="31">
        <f t="shared" si="0"/>
        <v>5931331.6076666666</v>
      </c>
      <c r="AH143" s="161">
        <f>AH4+AH9+AH14+AH19+AH24+AH29+AH34+AH39+AH44+AH49+AH54+AH59+AH64+AH69+AH74+AH79+AH84+AH89+AH94+AH99+AH104+AH109+AH114+AH119+AH124+AH129+AH134+AH139</f>
        <v>149060.58766666637</v>
      </c>
      <c r="AI143" s="165">
        <f>SUM(AI4:AI141)</f>
        <v>83134.670000000013</v>
      </c>
      <c r="AJ143" s="165">
        <f>SUM(AJ4:AJ141)</f>
        <v>46148.142366666463</v>
      </c>
    </row>
    <row r="145" spans="22:35" x14ac:dyDescent="0.35">
      <c r="V145" s="162"/>
      <c r="AH145" s="6"/>
      <c r="AI145" s="25"/>
    </row>
  </sheetData>
  <autoFilter ref="A3:AJ141">
    <filterColumn colId="0">
      <filters>
        <dateGroupItem year="2024" dateTimeGrouping="year"/>
      </filters>
    </filterColumn>
  </autoFilter>
  <mergeCells count="2">
    <mergeCell ref="U2:AC2"/>
    <mergeCell ref="A143:E14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3:AK59"/>
  <sheetViews>
    <sheetView showGridLines="0" tabSelected="1" topLeftCell="A37" zoomScale="80" zoomScaleNormal="80" workbookViewId="0">
      <selection activeCell="E57" sqref="E57"/>
    </sheetView>
  </sheetViews>
  <sheetFormatPr defaultRowHeight="14.5" x14ac:dyDescent="0.35"/>
  <cols>
    <col min="2" max="2" width="10.81640625" bestFit="1" customWidth="1"/>
    <col min="3" max="3" width="20.1796875" bestFit="1" customWidth="1"/>
    <col min="4" max="4" width="21" bestFit="1" customWidth="1"/>
    <col min="5" max="5" width="11.90625" bestFit="1" customWidth="1"/>
    <col min="6" max="6" width="9.08984375" bestFit="1" customWidth="1"/>
    <col min="7" max="7" width="8.81640625" bestFit="1" customWidth="1"/>
    <col min="8" max="8" width="8.08984375" bestFit="1" customWidth="1"/>
    <col min="9" max="9" width="9.1796875" bestFit="1" customWidth="1"/>
    <col min="10" max="10" width="8.1796875" bestFit="1" customWidth="1"/>
    <col min="11" max="11" width="10.453125" bestFit="1" customWidth="1"/>
    <col min="12" max="12" width="12.7265625" bestFit="1" customWidth="1"/>
    <col min="13" max="17" width="6.08984375" bestFit="1" customWidth="1"/>
    <col min="18" max="18" width="11.36328125" bestFit="1" customWidth="1"/>
    <col min="19" max="19" width="10" bestFit="1" customWidth="1"/>
    <col min="20" max="20" width="3.7265625" bestFit="1" customWidth="1"/>
    <col min="21" max="21" width="2.90625" bestFit="1" customWidth="1"/>
    <col min="22" max="22" width="15.36328125" bestFit="1" customWidth="1"/>
    <col min="23" max="23" width="15" bestFit="1" customWidth="1"/>
    <col min="24" max="24" width="13.6328125" bestFit="1" customWidth="1"/>
    <col min="25" max="25" width="14.6328125" bestFit="1" customWidth="1"/>
    <col min="26" max="26" width="12.7265625" bestFit="1" customWidth="1"/>
    <col min="27" max="27" width="11.81640625" bestFit="1" customWidth="1"/>
    <col min="28" max="28" width="8.7265625" bestFit="1" customWidth="1"/>
    <col min="29" max="30" width="10.81640625" bestFit="1" customWidth="1"/>
    <col min="31" max="31" width="9.1796875" bestFit="1" customWidth="1"/>
    <col min="32" max="32" width="10.81640625" bestFit="1" customWidth="1"/>
    <col min="33" max="33" width="15.36328125" bestFit="1" customWidth="1"/>
    <col min="34" max="34" width="12.81640625" bestFit="1" customWidth="1"/>
    <col min="35" max="35" width="11.90625" bestFit="1" customWidth="1"/>
    <col min="36" max="36" width="12.81640625" bestFit="1" customWidth="1"/>
    <col min="37" max="37" width="12.453125" bestFit="1" customWidth="1"/>
  </cols>
  <sheetData>
    <row r="3" spans="2:37" x14ac:dyDescent="0.35">
      <c r="B3" s="14" t="s">
        <v>1</v>
      </c>
      <c r="C3" s="14" t="s">
        <v>2</v>
      </c>
      <c r="D3" s="14" t="s">
        <v>110</v>
      </c>
      <c r="E3" s="14" t="s">
        <v>66</v>
      </c>
      <c r="F3" s="14" t="s">
        <v>638</v>
      </c>
      <c r="G3" s="14" t="s">
        <v>137</v>
      </c>
      <c r="H3" s="14" t="s">
        <v>138</v>
      </c>
      <c r="I3" s="14" t="s">
        <v>4</v>
      </c>
      <c r="J3" s="14" t="s">
        <v>5</v>
      </c>
      <c r="K3" s="14" t="s">
        <v>6</v>
      </c>
      <c r="L3" s="14" t="s">
        <v>7</v>
      </c>
      <c r="M3" s="14" t="s">
        <v>279</v>
      </c>
      <c r="N3" s="14" t="s">
        <v>280</v>
      </c>
      <c r="O3" s="14" t="s">
        <v>281</v>
      </c>
      <c r="P3" s="14" t="s">
        <v>282</v>
      </c>
      <c r="Q3" s="14" t="s">
        <v>283</v>
      </c>
      <c r="R3" s="14" t="s">
        <v>284</v>
      </c>
      <c r="S3" s="14" t="s">
        <v>904</v>
      </c>
      <c r="T3" s="14" t="s">
        <v>285</v>
      </c>
      <c r="U3" s="14" t="s">
        <v>289</v>
      </c>
      <c r="V3" s="14" t="s">
        <v>8</v>
      </c>
      <c r="W3" s="14" t="s">
        <v>9</v>
      </c>
      <c r="X3" s="14" t="s">
        <v>10</v>
      </c>
      <c r="Y3" s="14" t="s">
        <v>100</v>
      </c>
      <c r="Z3" s="14" t="s">
        <v>106</v>
      </c>
      <c r="AA3" s="14" t="s">
        <v>12</v>
      </c>
      <c r="AB3" s="14" t="s">
        <v>258</v>
      </c>
      <c r="AC3" s="14" t="s">
        <v>13</v>
      </c>
      <c r="AD3" s="14" t="s">
        <v>74</v>
      </c>
      <c r="AE3" s="14" t="s">
        <v>21</v>
      </c>
      <c r="AF3" s="14" t="s">
        <v>14</v>
      </c>
      <c r="AG3" s="14" t="s">
        <v>15</v>
      </c>
      <c r="AH3" s="14" t="s">
        <v>16</v>
      </c>
      <c r="AI3" s="15" t="s">
        <v>17</v>
      </c>
      <c r="AJ3" s="14" t="s">
        <v>679</v>
      </c>
      <c r="AK3" s="14" t="s">
        <v>678</v>
      </c>
    </row>
    <row r="4" spans="2:37" x14ac:dyDescent="0.35">
      <c r="B4" s="20">
        <v>45296</v>
      </c>
      <c r="C4" s="21" t="s">
        <v>632</v>
      </c>
      <c r="D4" s="21" t="s">
        <v>633</v>
      </c>
      <c r="E4" s="44">
        <v>1905520</v>
      </c>
      <c r="F4" s="44" t="s">
        <v>652</v>
      </c>
      <c r="G4" s="21">
        <v>150</v>
      </c>
      <c r="H4" s="21"/>
      <c r="I4" s="22">
        <v>83351.999999999985</v>
      </c>
      <c r="J4" s="33">
        <v>0.55000000000000004</v>
      </c>
      <c r="K4" s="24">
        <v>0.55060466455513979</v>
      </c>
      <c r="L4" s="22">
        <v>45894</v>
      </c>
      <c r="M4" s="21">
        <v>25</v>
      </c>
      <c r="N4" s="21">
        <v>78</v>
      </c>
      <c r="O4" s="21">
        <v>30</v>
      </c>
      <c r="P4" s="21">
        <v>17</v>
      </c>
      <c r="Q4" s="21"/>
      <c r="R4" s="21"/>
      <c r="S4" s="21"/>
      <c r="T4" s="21"/>
      <c r="U4" s="21"/>
      <c r="V4" s="25">
        <v>220</v>
      </c>
      <c r="W4" s="25">
        <v>672372.79999999993</v>
      </c>
      <c r="X4" s="25">
        <v>259.8</v>
      </c>
      <c r="Y4" s="25">
        <v>781087.8600000001</v>
      </c>
      <c r="Z4" s="25">
        <v>6300</v>
      </c>
      <c r="AA4" s="264">
        <v>69763.92</v>
      </c>
      <c r="AB4" s="25">
        <v>0</v>
      </c>
      <c r="AC4" s="264">
        <v>4125</v>
      </c>
      <c r="AD4" s="25">
        <v>0</v>
      </c>
      <c r="AE4" s="25">
        <v>616.5</v>
      </c>
      <c r="AF4" s="25">
        <v>1562.1799999999998</v>
      </c>
      <c r="AG4" s="25">
        <v>753178.22</v>
      </c>
      <c r="AH4" s="25">
        <v>793321.9</v>
      </c>
      <c r="AI4" s="26">
        <v>40143.680000000051</v>
      </c>
      <c r="AJ4" s="25">
        <v>153246.87125515449</v>
      </c>
      <c r="AK4" s="25">
        <v>-79172.233878608095</v>
      </c>
    </row>
    <row r="5" spans="2:37" x14ac:dyDescent="0.35">
      <c r="B5" s="38">
        <v>45296</v>
      </c>
      <c r="C5" s="39" t="s">
        <v>632</v>
      </c>
      <c r="D5" s="39" t="s">
        <v>633</v>
      </c>
      <c r="E5" s="45">
        <v>1905520</v>
      </c>
      <c r="F5" s="45" t="s">
        <v>652</v>
      </c>
      <c r="G5" s="39">
        <v>100</v>
      </c>
      <c r="H5" s="39"/>
      <c r="I5" s="40">
        <v>55567.999999999993</v>
      </c>
      <c r="J5" s="53">
        <v>0.55000000000000004</v>
      </c>
      <c r="K5" s="42">
        <v>0.55060466455513968</v>
      </c>
      <c r="L5" s="40">
        <v>30595.999999999996</v>
      </c>
      <c r="M5" s="39">
        <v>25</v>
      </c>
      <c r="N5" s="39">
        <v>45</v>
      </c>
      <c r="O5" s="39">
        <v>30</v>
      </c>
      <c r="P5" s="39"/>
      <c r="Q5" s="39"/>
      <c r="R5" s="39"/>
      <c r="S5" s="39"/>
      <c r="T5" s="39"/>
      <c r="U5" s="39"/>
      <c r="V5" s="43">
        <v>220</v>
      </c>
      <c r="W5" s="43">
        <v>448248.53333333327</v>
      </c>
      <c r="X5" s="43">
        <v>259.8</v>
      </c>
      <c r="Y5" s="43">
        <v>520725.24000000005</v>
      </c>
      <c r="Z5" s="43">
        <v>4200</v>
      </c>
      <c r="AA5" s="264">
        <v>46509.279999999999</v>
      </c>
      <c r="AB5" s="43">
        <v>0</v>
      </c>
      <c r="AC5" s="264">
        <v>2750</v>
      </c>
      <c r="AD5" s="43">
        <v>0</v>
      </c>
      <c r="AE5" s="43">
        <v>411.00000000000006</v>
      </c>
      <c r="AF5" s="43">
        <v>1041.4533333333334</v>
      </c>
      <c r="AG5" s="43">
        <v>502118.81333333324</v>
      </c>
      <c r="AH5" s="43">
        <v>528881.2666666666</v>
      </c>
      <c r="AI5" s="26">
        <v>26762.453333333367</v>
      </c>
      <c r="AJ5" s="25">
        <v>102164.58083676967</v>
      </c>
      <c r="AK5" s="25">
        <v>-52781.489252405408</v>
      </c>
    </row>
    <row r="6" spans="2:37" x14ac:dyDescent="0.35">
      <c r="B6" s="20">
        <v>45296</v>
      </c>
      <c r="C6" s="21" t="s">
        <v>419</v>
      </c>
      <c r="D6" s="21" t="s">
        <v>871</v>
      </c>
      <c r="E6" s="44">
        <v>1905522</v>
      </c>
      <c r="F6" s="44" t="s">
        <v>652</v>
      </c>
      <c r="G6" s="21">
        <v>49</v>
      </c>
      <c r="H6" s="21"/>
      <c r="I6" s="22">
        <v>23559.200000000001</v>
      </c>
      <c r="J6" s="33">
        <v>0.51</v>
      </c>
      <c r="K6" s="24">
        <v>0.52319263812013994</v>
      </c>
      <c r="L6" s="22">
        <v>12326</v>
      </c>
      <c r="M6" s="21"/>
      <c r="N6" s="21">
        <v>2</v>
      </c>
      <c r="O6" s="21">
        <v>17</v>
      </c>
      <c r="P6" s="21">
        <v>27</v>
      </c>
      <c r="Q6" s="21">
        <v>3</v>
      </c>
      <c r="R6" s="21"/>
      <c r="S6" s="21"/>
      <c r="T6" s="21"/>
      <c r="U6" s="21"/>
      <c r="V6" s="25">
        <v>230</v>
      </c>
      <c r="W6" s="25">
        <v>184232.94400000002</v>
      </c>
      <c r="X6" s="25">
        <v>253.15</v>
      </c>
      <c r="Y6" s="25">
        <v>228317.40409395972</v>
      </c>
      <c r="Z6" s="25">
        <v>2940</v>
      </c>
      <c r="AA6" s="264">
        <v>9323.5239999999994</v>
      </c>
      <c r="AB6" s="25">
        <v>0</v>
      </c>
      <c r="AC6" s="264">
        <v>1408.75</v>
      </c>
      <c r="AD6" s="25">
        <v>1862</v>
      </c>
      <c r="AE6" s="25">
        <v>201.39000000000001</v>
      </c>
      <c r="AF6" s="25">
        <v>456.63724832214768</v>
      </c>
      <c r="AG6" s="25">
        <v>199968.60800000004</v>
      </c>
      <c r="AH6" s="25">
        <v>207565.15608501123</v>
      </c>
      <c r="AI6" s="26">
        <v>7596.5480850111926</v>
      </c>
      <c r="AJ6" s="25">
        <v>28999.514403445301</v>
      </c>
      <c r="AK6" s="25">
        <v>-14982.076422903874</v>
      </c>
    </row>
    <row r="7" spans="2:37" x14ac:dyDescent="0.35">
      <c r="B7" s="20">
        <v>45296</v>
      </c>
      <c r="C7" s="21" t="s">
        <v>419</v>
      </c>
      <c r="D7" s="21" t="s">
        <v>871</v>
      </c>
      <c r="E7" s="44">
        <v>1905550</v>
      </c>
      <c r="F7" s="44" t="s">
        <v>652</v>
      </c>
      <c r="G7" s="21">
        <v>1</v>
      </c>
      <c r="H7" s="21"/>
      <c r="I7" s="22">
        <v>480.8</v>
      </c>
      <c r="J7" s="33">
        <v>0.51</v>
      </c>
      <c r="K7" s="24">
        <v>0.62669183202125811</v>
      </c>
      <c r="L7" s="22">
        <v>301.31343283582089</v>
      </c>
      <c r="M7" s="21">
        <v>1</v>
      </c>
      <c r="N7" s="21"/>
      <c r="O7" s="21"/>
      <c r="P7" s="21"/>
      <c r="Q7" s="21"/>
      <c r="R7" s="21"/>
      <c r="S7" s="21"/>
      <c r="T7" s="21"/>
      <c r="U7" s="21"/>
      <c r="V7" s="25">
        <v>230</v>
      </c>
      <c r="W7" s="25">
        <v>3759.8560000000002</v>
      </c>
      <c r="X7" s="25">
        <v>249.62</v>
      </c>
      <c r="Y7" s="25">
        <v>4862.7850199203185</v>
      </c>
      <c r="Z7" s="25">
        <v>60</v>
      </c>
      <c r="AA7" s="264">
        <v>190.27599999999998</v>
      </c>
      <c r="AB7" s="25">
        <v>0</v>
      </c>
      <c r="AC7" s="264">
        <v>28.75</v>
      </c>
      <c r="AD7" s="25">
        <v>38</v>
      </c>
      <c r="AE7" s="25">
        <v>4.1100000000000003</v>
      </c>
      <c r="AF7" s="25">
        <v>9.7255776892430266</v>
      </c>
      <c r="AG7" s="25">
        <v>4080.9920000000002</v>
      </c>
      <c r="AH7" s="25">
        <v>5004.5316959425973</v>
      </c>
      <c r="AI7" s="26">
        <v>923.53969594259706</v>
      </c>
      <c r="AJ7" s="25">
        <v>3525.5753554018843</v>
      </c>
      <c r="AK7" s="25">
        <v>-1821.4249616215009</v>
      </c>
    </row>
    <row r="8" spans="2:37" x14ac:dyDescent="0.35">
      <c r="B8" s="20">
        <v>45297</v>
      </c>
      <c r="C8" s="21" t="s">
        <v>632</v>
      </c>
      <c r="D8" s="21" t="s">
        <v>763</v>
      </c>
      <c r="E8" s="44">
        <v>1905522</v>
      </c>
      <c r="F8" s="44" t="s">
        <v>652</v>
      </c>
      <c r="G8" s="21">
        <v>50</v>
      </c>
      <c r="H8" s="21"/>
      <c r="I8" s="22">
        <v>27760</v>
      </c>
      <c r="J8" s="33">
        <v>0.55000000000000004</v>
      </c>
      <c r="K8" s="24">
        <v>0.55293587896253604</v>
      </c>
      <c r="L8" s="22">
        <v>15349.5</v>
      </c>
      <c r="M8" s="21">
        <v>34</v>
      </c>
      <c r="N8" s="21">
        <v>13</v>
      </c>
      <c r="O8" s="21">
        <v>3</v>
      </c>
      <c r="P8" s="21"/>
      <c r="Q8" s="21"/>
      <c r="R8" s="21"/>
      <c r="S8" s="21"/>
      <c r="T8" s="21"/>
      <c r="U8" s="21"/>
      <c r="V8" s="25">
        <v>220</v>
      </c>
      <c r="W8" s="25">
        <v>223930.66666666669</v>
      </c>
      <c r="X8" s="25">
        <v>253.15</v>
      </c>
      <c r="Y8" s="25">
        <v>232976.94295302013</v>
      </c>
      <c r="Z8" s="25">
        <v>2100</v>
      </c>
      <c r="AA8" s="264">
        <v>23245.4</v>
      </c>
      <c r="AB8" s="25">
        <v>0</v>
      </c>
      <c r="AC8" s="264">
        <v>1375</v>
      </c>
      <c r="AD8" s="25">
        <v>0</v>
      </c>
      <c r="AE8" s="25">
        <v>205.50000000000003</v>
      </c>
      <c r="AF8" s="25">
        <v>465.95637583892619</v>
      </c>
      <c r="AG8" s="25">
        <v>250856.56666666668</v>
      </c>
      <c r="AH8" s="25">
        <v>258582.43862416109</v>
      </c>
      <c r="AI8" s="26">
        <v>7725.8719574944116</v>
      </c>
      <c r="AJ8" s="25">
        <v>29493.203044762042</v>
      </c>
      <c r="AK8" s="25">
        <v>-15237.131761087339</v>
      </c>
    </row>
    <row r="9" spans="2:37" x14ac:dyDescent="0.35">
      <c r="B9" s="20">
        <v>45297</v>
      </c>
      <c r="C9" s="21" t="s">
        <v>419</v>
      </c>
      <c r="D9" s="21" t="s">
        <v>872</v>
      </c>
      <c r="E9" s="44">
        <v>1905520</v>
      </c>
      <c r="F9" s="44" t="s">
        <v>652</v>
      </c>
      <c r="G9" s="21">
        <v>50</v>
      </c>
      <c r="H9" s="21"/>
      <c r="I9" s="22">
        <v>26000</v>
      </c>
      <c r="J9" s="33">
        <v>0.52</v>
      </c>
      <c r="K9" s="24">
        <v>0.52705769230769228</v>
      </c>
      <c r="L9" s="22">
        <v>13703.5</v>
      </c>
      <c r="M9" s="21">
        <v>28</v>
      </c>
      <c r="N9" s="21">
        <v>15</v>
      </c>
      <c r="O9" s="21">
        <v>5</v>
      </c>
      <c r="P9" s="21">
        <v>2</v>
      </c>
      <c r="Q9" s="21"/>
      <c r="R9" s="21"/>
      <c r="S9" s="21"/>
      <c r="T9" s="21"/>
      <c r="U9" s="21"/>
      <c r="V9" s="25">
        <v>240</v>
      </c>
      <c r="W9" s="25">
        <v>216320</v>
      </c>
      <c r="X9" s="25">
        <v>259.8</v>
      </c>
      <c r="Y9" s="25">
        <v>260362.62000000002</v>
      </c>
      <c r="Z9" s="25">
        <v>3000</v>
      </c>
      <c r="AA9" s="264">
        <v>11937.14</v>
      </c>
      <c r="AB9" s="25">
        <v>0</v>
      </c>
      <c r="AC9" s="264">
        <v>1500</v>
      </c>
      <c r="AD9" s="25">
        <v>1900</v>
      </c>
      <c r="AE9" s="25">
        <v>205.50000000000003</v>
      </c>
      <c r="AF9" s="25">
        <v>520.72666666666669</v>
      </c>
      <c r="AG9" s="25">
        <v>234862.64</v>
      </c>
      <c r="AH9" s="25">
        <v>236823.89333333334</v>
      </c>
      <c r="AI9" s="26">
        <v>1961.2533333333267</v>
      </c>
      <c r="AJ9" s="25">
        <v>7487.0051044666197</v>
      </c>
      <c r="AK9" s="25">
        <v>-3868.0262397933047</v>
      </c>
    </row>
    <row r="10" spans="2:37" x14ac:dyDescent="0.35">
      <c r="B10" s="20">
        <v>45298</v>
      </c>
      <c r="C10" s="21" t="s">
        <v>632</v>
      </c>
      <c r="D10" s="21" t="s">
        <v>738</v>
      </c>
      <c r="E10" s="44">
        <v>1905550</v>
      </c>
      <c r="F10" s="44" t="s">
        <v>652</v>
      </c>
      <c r="G10" s="21">
        <v>200</v>
      </c>
      <c r="H10" s="21"/>
      <c r="I10" s="22">
        <v>111080</v>
      </c>
      <c r="J10" s="33">
        <v>0.55000000000000004</v>
      </c>
      <c r="K10" s="24">
        <v>0.54251608360788783</v>
      </c>
      <c r="L10" s="22">
        <v>60262.686567164179</v>
      </c>
      <c r="M10" s="21">
        <v>18</v>
      </c>
      <c r="N10" s="21">
        <v>61</v>
      </c>
      <c r="O10" s="21">
        <v>47</v>
      </c>
      <c r="P10" s="21">
        <v>56</v>
      </c>
      <c r="Q10" s="21">
        <v>18</v>
      </c>
      <c r="R10" s="21"/>
      <c r="S10" s="21"/>
      <c r="T10" s="21"/>
      <c r="U10" s="21"/>
      <c r="V10" s="25">
        <v>220</v>
      </c>
      <c r="W10" s="25">
        <v>896045.33333333349</v>
      </c>
      <c r="X10" s="25">
        <v>249.62</v>
      </c>
      <c r="Y10" s="25">
        <v>972557.00398406375</v>
      </c>
      <c r="Z10" s="25">
        <v>8400</v>
      </c>
      <c r="AA10" s="264">
        <v>85463.360000000001</v>
      </c>
      <c r="AB10" s="25">
        <v>0</v>
      </c>
      <c r="AC10" s="264">
        <v>5500</v>
      </c>
      <c r="AD10" s="25">
        <v>0</v>
      </c>
      <c r="AE10" s="25">
        <v>822.00000000000011</v>
      </c>
      <c r="AF10" s="25">
        <v>1945.1155378486053</v>
      </c>
      <c r="AG10" s="25">
        <v>996230.69333333347</v>
      </c>
      <c r="AH10" s="25">
        <v>1000906.3391885196</v>
      </c>
      <c r="AI10" s="26">
        <v>4675.6458551861579</v>
      </c>
      <c r="AJ10" s="25">
        <v>660.83727333452498</v>
      </c>
      <c r="AK10" s="25">
        <v>2810.3660072961429</v>
      </c>
    </row>
    <row r="11" spans="2:37" x14ac:dyDescent="0.35">
      <c r="B11" s="20">
        <v>45299</v>
      </c>
      <c r="C11" s="21" t="s">
        <v>873</v>
      </c>
      <c r="D11" s="21" t="s">
        <v>874</v>
      </c>
      <c r="E11" s="44">
        <v>1905522</v>
      </c>
      <c r="F11" s="44" t="s">
        <v>652</v>
      </c>
      <c r="G11" s="21">
        <v>50</v>
      </c>
      <c r="H11" s="21"/>
      <c r="I11" s="22">
        <v>25180</v>
      </c>
      <c r="J11" s="33">
        <v>0.55000000000000004</v>
      </c>
      <c r="K11" s="24">
        <v>0.53463065925337572</v>
      </c>
      <c r="L11" s="22">
        <v>13462</v>
      </c>
      <c r="M11" s="21">
        <v>5</v>
      </c>
      <c r="N11" s="21">
        <v>22</v>
      </c>
      <c r="O11" s="21">
        <v>16</v>
      </c>
      <c r="P11" s="21">
        <v>7</v>
      </c>
      <c r="Q11" s="21"/>
      <c r="R11" s="21"/>
      <c r="S11" s="21"/>
      <c r="T11" s="21"/>
      <c r="U11" s="21"/>
      <c r="V11" s="25">
        <v>243</v>
      </c>
      <c r="W11" s="25">
        <v>224353.80000000002</v>
      </c>
      <c r="X11" s="25">
        <v>253.15</v>
      </c>
      <c r="Y11" s="25">
        <v>232976.94295302013</v>
      </c>
      <c r="Z11" s="25">
        <v>0</v>
      </c>
      <c r="AA11" s="264">
        <v>3726.3444444444444</v>
      </c>
      <c r="AB11" s="25">
        <v>0</v>
      </c>
      <c r="AC11" s="264">
        <v>1518.75</v>
      </c>
      <c r="AD11" s="25">
        <v>0</v>
      </c>
      <c r="AE11" s="25">
        <v>205.50000000000003</v>
      </c>
      <c r="AF11" s="25">
        <v>465.95637583892619</v>
      </c>
      <c r="AG11" s="25">
        <v>229804.39444444445</v>
      </c>
      <c r="AH11" s="25">
        <v>226727.73029082775</v>
      </c>
      <c r="AI11" s="26">
        <v>-3076.6641536167008</v>
      </c>
      <c r="AJ11" s="25">
        <v>-434.84353033003293</v>
      </c>
      <c r="AK11" s="25">
        <v>-1849.2744363006673</v>
      </c>
    </row>
    <row r="12" spans="2:37" x14ac:dyDescent="0.35">
      <c r="B12" s="20">
        <v>45299</v>
      </c>
      <c r="C12" s="21" t="s">
        <v>419</v>
      </c>
      <c r="D12" s="21" t="s">
        <v>177</v>
      </c>
      <c r="E12" s="44">
        <v>1905550</v>
      </c>
      <c r="F12" s="44" t="s">
        <v>652</v>
      </c>
      <c r="G12" s="21">
        <v>13</v>
      </c>
      <c r="H12" s="21"/>
      <c r="I12" s="22">
        <v>5460</v>
      </c>
      <c r="J12" s="33">
        <v>0.5</v>
      </c>
      <c r="K12" s="24">
        <v>0.60866666666666658</v>
      </c>
      <c r="L12" s="22">
        <v>3323.3199999999997</v>
      </c>
      <c r="M12" s="21">
        <v>10</v>
      </c>
      <c r="N12" s="21">
        <v>3</v>
      </c>
      <c r="O12" s="21"/>
      <c r="P12" s="21"/>
      <c r="Q12" s="21"/>
      <c r="R12" s="21"/>
      <c r="S12" s="21"/>
      <c r="T12" s="21"/>
      <c r="U12" s="21"/>
      <c r="V12" s="25">
        <v>210</v>
      </c>
      <c r="W12" s="25">
        <v>38220</v>
      </c>
      <c r="X12" s="25">
        <v>249.62</v>
      </c>
      <c r="Y12" s="25">
        <v>63216.205258964139</v>
      </c>
      <c r="Z12" s="25">
        <v>780</v>
      </c>
      <c r="AA12" s="264">
        <v>1807.9360000000001</v>
      </c>
      <c r="AB12" s="25">
        <v>0</v>
      </c>
      <c r="AC12" s="264">
        <v>341.25</v>
      </c>
      <c r="AD12" s="25">
        <v>494</v>
      </c>
      <c r="AE12" s="25">
        <v>53.430000000000007</v>
      </c>
      <c r="AF12" s="25">
        <v>126.43250996015935</v>
      </c>
      <c r="AG12" s="25">
        <v>41696.616000000002</v>
      </c>
      <c r="AH12" s="25">
        <v>55178.043383373159</v>
      </c>
      <c r="AI12" s="26">
        <v>13481.427383373157</v>
      </c>
      <c r="AJ12" s="25">
        <v>1905.4115706397977</v>
      </c>
      <c r="AK12" s="25">
        <v>8103.2110689133515</v>
      </c>
    </row>
    <row r="13" spans="2:37" x14ac:dyDescent="0.35">
      <c r="B13" s="20">
        <v>45299</v>
      </c>
      <c r="C13" s="21" t="s">
        <v>419</v>
      </c>
      <c r="D13" s="21" t="s">
        <v>177</v>
      </c>
      <c r="E13" s="44">
        <v>1905550</v>
      </c>
      <c r="F13" s="44" t="s">
        <v>652</v>
      </c>
      <c r="G13" s="21">
        <v>37</v>
      </c>
      <c r="H13" s="21"/>
      <c r="I13" s="22">
        <v>17900</v>
      </c>
      <c r="J13" s="33">
        <v>0.53</v>
      </c>
      <c r="K13" s="24">
        <v>0.52841787709497212</v>
      </c>
      <c r="L13" s="22">
        <v>9458.68</v>
      </c>
      <c r="M13" s="21">
        <v>10</v>
      </c>
      <c r="N13" s="21">
        <v>16</v>
      </c>
      <c r="O13" s="21">
        <v>11</v>
      </c>
      <c r="P13" s="21"/>
      <c r="Q13" s="21"/>
      <c r="R13" s="21"/>
      <c r="S13" s="21"/>
      <c r="T13" s="21"/>
      <c r="U13" s="21"/>
      <c r="V13" s="25">
        <v>240</v>
      </c>
      <c r="W13" s="25">
        <v>151792</v>
      </c>
      <c r="X13" s="25">
        <v>249.62</v>
      </c>
      <c r="Y13" s="25">
        <v>179923.04573705178</v>
      </c>
      <c r="Z13" s="25">
        <v>2220</v>
      </c>
      <c r="AA13" s="264">
        <v>5145.6639999999998</v>
      </c>
      <c r="AB13" s="25">
        <v>0</v>
      </c>
      <c r="AC13" s="264">
        <v>1110</v>
      </c>
      <c r="AD13" s="25">
        <v>1406</v>
      </c>
      <c r="AE13" s="25">
        <v>152.07000000000002</v>
      </c>
      <c r="AF13" s="25">
        <v>359.84637450199199</v>
      </c>
      <c r="AG13" s="25">
        <v>161825.734</v>
      </c>
      <c r="AH13" s="25">
        <v>157045.20039883137</v>
      </c>
      <c r="AI13" s="26">
        <v>-4780.5336011686304</v>
      </c>
      <c r="AJ13" s="25">
        <v>-675.66169207966573</v>
      </c>
      <c r="AK13" s="25">
        <v>-2873.4103363622748</v>
      </c>
    </row>
    <row r="14" spans="2:37" x14ac:dyDescent="0.35">
      <c r="B14" s="20">
        <v>45299</v>
      </c>
      <c r="C14" s="21" t="s">
        <v>632</v>
      </c>
      <c r="D14" s="21" t="s">
        <v>875</v>
      </c>
      <c r="E14" s="44">
        <v>1905560</v>
      </c>
      <c r="F14" s="44" t="s">
        <v>652</v>
      </c>
      <c r="G14" s="21">
        <v>50</v>
      </c>
      <c r="H14" s="21"/>
      <c r="I14" s="22">
        <v>27562</v>
      </c>
      <c r="J14" s="33">
        <v>0.55000000000000004</v>
      </c>
      <c r="K14" s="24">
        <v>0.53504825484362528</v>
      </c>
      <c r="L14" s="22">
        <v>14747</v>
      </c>
      <c r="M14" s="21">
        <v>16</v>
      </c>
      <c r="N14" s="21">
        <v>28</v>
      </c>
      <c r="O14" s="21">
        <v>6</v>
      </c>
      <c r="P14" s="21"/>
      <c r="Q14" s="21"/>
      <c r="R14" s="21"/>
      <c r="S14" s="21"/>
      <c r="T14" s="21"/>
      <c r="U14" s="21"/>
      <c r="V14" s="25">
        <v>215</v>
      </c>
      <c r="W14" s="25">
        <v>217280.43333333338</v>
      </c>
      <c r="X14" s="25">
        <v>257.39</v>
      </c>
      <c r="Y14" s="25">
        <v>250216.82401315789</v>
      </c>
      <c r="Z14" s="25">
        <v>2100</v>
      </c>
      <c r="AA14" s="264">
        <v>20748.349999999999</v>
      </c>
      <c r="AB14" s="25">
        <v>0</v>
      </c>
      <c r="AC14" s="264">
        <v>1343.75</v>
      </c>
      <c r="AD14" s="25">
        <v>0</v>
      </c>
      <c r="AE14" s="25">
        <v>205.50000000000003</v>
      </c>
      <c r="AF14" s="25">
        <v>500.43421052631578</v>
      </c>
      <c r="AG14" s="25">
        <v>241678.03333333338</v>
      </c>
      <c r="AH14" s="25">
        <v>252548.25445614036</v>
      </c>
      <c r="AI14" s="26">
        <v>10870.221122806979</v>
      </c>
      <c r="AJ14" s="25">
        <v>1536.3540160706032</v>
      </c>
      <c r="AK14" s="25">
        <v>6533.7069747154628</v>
      </c>
    </row>
    <row r="15" spans="2:37" x14ac:dyDescent="0.35">
      <c r="B15" s="20">
        <v>45300</v>
      </c>
      <c r="C15" s="21" t="s">
        <v>419</v>
      </c>
      <c r="D15" s="21" t="s">
        <v>465</v>
      </c>
      <c r="E15" s="44">
        <v>1905560</v>
      </c>
      <c r="F15" s="44" t="s">
        <v>652</v>
      </c>
      <c r="G15" s="21">
        <v>50</v>
      </c>
      <c r="H15" s="21"/>
      <c r="I15" s="22">
        <v>29100</v>
      </c>
      <c r="J15" s="33">
        <v>0.53</v>
      </c>
      <c r="K15" s="24">
        <v>0.51929553264604811</v>
      </c>
      <c r="L15" s="22">
        <v>15111.5</v>
      </c>
      <c r="M15" s="21">
        <v>9</v>
      </c>
      <c r="N15" s="21">
        <v>21</v>
      </c>
      <c r="O15" s="21">
        <v>17</v>
      </c>
      <c r="P15" s="21">
        <v>3</v>
      </c>
      <c r="Q15" s="21"/>
      <c r="R15" s="21"/>
      <c r="S15" s="21"/>
      <c r="T15" s="21"/>
      <c r="U15" s="21"/>
      <c r="V15" s="25">
        <v>230</v>
      </c>
      <c r="W15" s="25">
        <v>236486</v>
      </c>
      <c r="X15" s="25">
        <v>257.39</v>
      </c>
      <c r="Y15" s="25">
        <v>250216.82401315789</v>
      </c>
      <c r="Z15" s="25">
        <v>3000</v>
      </c>
      <c r="AA15" s="264">
        <v>15566.8</v>
      </c>
      <c r="AB15" s="25">
        <v>0</v>
      </c>
      <c r="AC15" s="264">
        <v>1437.5</v>
      </c>
      <c r="AD15" s="25">
        <v>1900</v>
      </c>
      <c r="AE15" s="25">
        <v>205.50000000000003</v>
      </c>
      <c r="AF15" s="25">
        <v>500.43421052631578</v>
      </c>
      <c r="AG15" s="25">
        <v>258595.8</v>
      </c>
      <c r="AH15" s="25">
        <v>258802.83145614032</v>
      </c>
      <c r="AI15" s="26">
        <v>207.03145614033565</v>
      </c>
      <c r="AJ15" s="25">
        <v>29.261006331029865</v>
      </c>
      <c r="AK15" s="25">
        <v>124.43931486651404</v>
      </c>
    </row>
    <row r="16" spans="2:37" x14ac:dyDescent="0.35">
      <c r="B16" s="20">
        <v>45300</v>
      </c>
      <c r="C16" s="21" t="s">
        <v>881</v>
      </c>
      <c r="D16" s="119" t="s">
        <v>878</v>
      </c>
      <c r="E16" s="44">
        <v>1905560</v>
      </c>
      <c r="F16" s="44" t="s">
        <v>652</v>
      </c>
      <c r="G16" s="21">
        <v>50</v>
      </c>
      <c r="H16" s="21"/>
      <c r="I16" s="22">
        <v>28070</v>
      </c>
      <c r="J16" s="33">
        <v>0.53</v>
      </c>
      <c r="K16" s="24">
        <v>0.53407552547203418</v>
      </c>
      <c r="L16" s="22">
        <v>14991.5</v>
      </c>
      <c r="M16" s="21">
        <v>11</v>
      </c>
      <c r="N16" s="21">
        <v>31</v>
      </c>
      <c r="O16" s="21">
        <v>6</v>
      </c>
      <c r="P16" s="21">
        <v>2</v>
      </c>
      <c r="Q16" s="21"/>
      <c r="R16" s="21"/>
      <c r="S16" s="21"/>
      <c r="T16" s="21"/>
      <c r="U16" s="21"/>
      <c r="V16" s="25">
        <v>240</v>
      </c>
      <c r="W16" s="25">
        <v>238033.6</v>
      </c>
      <c r="X16" s="25">
        <v>257.39</v>
      </c>
      <c r="Y16" s="25">
        <v>250216.82401315789</v>
      </c>
      <c r="Z16" s="25">
        <v>0</v>
      </c>
      <c r="AA16" s="264">
        <v>4697.6000000000004</v>
      </c>
      <c r="AB16" s="25">
        <v>0</v>
      </c>
      <c r="AC16" s="264">
        <v>1500</v>
      </c>
      <c r="AD16" s="65">
        <v>0</v>
      </c>
      <c r="AE16" s="25">
        <v>205.50000000000003</v>
      </c>
      <c r="AF16" s="25">
        <v>500.43421052631578</v>
      </c>
      <c r="AG16" s="25">
        <v>244436.7</v>
      </c>
      <c r="AH16" s="25">
        <v>256743.71145614033</v>
      </c>
      <c r="AI16" s="26">
        <v>12307.011456140317</v>
      </c>
      <c r="AJ16" s="25">
        <v>1739.4242732373755</v>
      </c>
      <c r="AK16" s="25">
        <v>7397.3110280320589</v>
      </c>
    </row>
    <row r="17" spans="2:37" x14ac:dyDescent="0.35">
      <c r="B17" s="38">
        <v>45300</v>
      </c>
      <c r="C17" s="39" t="s">
        <v>632</v>
      </c>
      <c r="D17" s="39" t="s">
        <v>697</v>
      </c>
      <c r="E17" s="45">
        <v>1905560</v>
      </c>
      <c r="F17" s="45" t="s">
        <v>652</v>
      </c>
      <c r="G17" s="39">
        <v>100</v>
      </c>
      <c r="H17" s="39"/>
      <c r="I17" s="40">
        <v>52468</v>
      </c>
      <c r="J17" s="53">
        <v>0.54</v>
      </c>
      <c r="K17" s="42">
        <v>0.55693946786612791</v>
      </c>
      <c r="L17" s="40">
        <v>29221.5</v>
      </c>
      <c r="M17" s="39">
        <v>12</v>
      </c>
      <c r="N17" s="39">
        <v>49</v>
      </c>
      <c r="O17" s="39">
        <v>33</v>
      </c>
      <c r="P17" s="39">
        <v>6</v>
      </c>
      <c r="Q17" s="39"/>
      <c r="R17" s="39"/>
      <c r="S17" s="39"/>
      <c r="T17" s="39"/>
      <c r="U17" s="39"/>
      <c r="V17" s="43">
        <v>220</v>
      </c>
      <c r="W17" s="43">
        <v>415546.56</v>
      </c>
      <c r="X17" s="43">
        <v>257.39</v>
      </c>
      <c r="Y17" s="43">
        <v>500433.64802631579</v>
      </c>
      <c r="Z17" s="43">
        <v>4200</v>
      </c>
      <c r="AA17" s="264">
        <v>39356.410000000003</v>
      </c>
      <c r="AB17" s="43">
        <v>0</v>
      </c>
      <c r="AC17" s="264">
        <v>2750</v>
      </c>
      <c r="AD17" s="43">
        <v>0</v>
      </c>
      <c r="AE17" s="43">
        <v>411.00000000000006</v>
      </c>
      <c r="AF17" s="43">
        <v>1000.8684210526316</v>
      </c>
      <c r="AG17" s="43">
        <v>462263.97</v>
      </c>
      <c r="AH17" s="43">
        <v>500420.59057894733</v>
      </c>
      <c r="AI17" s="26">
        <v>38156.620578947361</v>
      </c>
      <c r="AJ17" s="25">
        <v>5392.9056827696095</v>
      </c>
      <c r="AK17" s="25">
        <v>22934.600427324422</v>
      </c>
    </row>
    <row r="18" spans="2:37" x14ac:dyDescent="0.35">
      <c r="B18" s="20">
        <v>45301</v>
      </c>
      <c r="C18" s="21" t="s">
        <v>419</v>
      </c>
      <c r="D18" s="21" t="s">
        <v>404</v>
      </c>
      <c r="E18" s="44">
        <v>1910146</v>
      </c>
      <c r="F18" s="44" t="s">
        <v>652</v>
      </c>
      <c r="G18" s="21"/>
      <c r="H18" s="21">
        <v>65</v>
      </c>
      <c r="I18" s="22">
        <v>24900</v>
      </c>
      <c r="J18" s="33">
        <v>0.5</v>
      </c>
      <c r="K18" s="24">
        <v>0.49730923694779117</v>
      </c>
      <c r="L18" s="22">
        <v>12383</v>
      </c>
      <c r="M18" s="21">
        <v>64</v>
      </c>
      <c r="N18" s="21"/>
      <c r="O18" s="21">
        <v>1</v>
      </c>
      <c r="P18" s="21"/>
      <c r="Q18" s="21"/>
      <c r="R18" s="21"/>
      <c r="S18" s="21"/>
      <c r="T18" s="21"/>
      <c r="U18" s="21"/>
      <c r="V18" s="25">
        <v>230</v>
      </c>
      <c r="W18" s="25">
        <v>190900</v>
      </c>
      <c r="X18" s="25">
        <v>236.34</v>
      </c>
      <c r="Y18" s="25">
        <v>195106.49</v>
      </c>
      <c r="Z18" s="25">
        <v>3900</v>
      </c>
      <c r="AA18" s="264">
        <v>11238.2</v>
      </c>
      <c r="AB18" s="25">
        <v>0</v>
      </c>
      <c r="AC18" s="264">
        <v>1868.75</v>
      </c>
      <c r="AD18" s="25">
        <v>2275</v>
      </c>
      <c r="AE18" s="25">
        <v>267.15000000000003</v>
      </c>
      <c r="AF18" s="25">
        <v>390.21</v>
      </c>
      <c r="AG18" s="25">
        <v>210449.1</v>
      </c>
      <c r="AH18" s="25">
        <v>194716.33800000002</v>
      </c>
      <c r="AI18" s="26">
        <v>-15732.761999999988</v>
      </c>
      <c r="AJ18" s="25">
        <v>-2223.6062918599891</v>
      </c>
      <c r="AK18" s="25">
        <v>-9456.4089956979988</v>
      </c>
    </row>
    <row r="19" spans="2:37" x14ac:dyDescent="0.35">
      <c r="B19" s="20">
        <v>45301</v>
      </c>
      <c r="C19" s="21" t="s">
        <v>419</v>
      </c>
      <c r="D19" s="21" t="s">
        <v>325</v>
      </c>
      <c r="E19" s="44">
        <v>1905650</v>
      </c>
      <c r="F19" s="44" t="s">
        <v>652</v>
      </c>
      <c r="G19" s="21">
        <v>149</v>
      </c>
      <c r="H19" s="21"/>
      <c r="I19" s="22">
        <v>85794.2</v>
      </c>
      <c r="J19" s="33">
        <v>0.55000000000000004</v>
      </c>
      <c r="K19" s="24">
        <v>0.52667604570005899</v>
      </c>
      <c r="L19" s="22">
        <v>45185.75</v>
      </c>
      <c r="M19" s="21">
        <v>6</v>
      </c>
      <c r="N19" s="21">
        <v>21</v>
      </c>
      <c r="O19" s="21">
        <v>86</v>
      </c>
      <c r="P19" s="21">
        <v>35</v>
      </c>
      <c r="Q19" s="21">
        <v>1</v>
      </c>
      <c r="R19" s="21"/>
      <c r="S19" s="21"/>
      <c r="T19" s="21"/>
      <c r="U19" s="21"/>
      <c r="V19" s="25">
        <v>241</v>
      </c>
      <c r="W19" s="25">
        <v>758134.74733333336</v>
      </c>
      <c r="X19" s="25">
        <v>252.6</v>
      </c>
      <c r="Y19" s="25">
        <v>755073.76207070705</v>
      </c>
      <c r="Z19" s="25">
        <v>8940</v>
      </c>
      <c r="AA19" s="264">
        <v>17349.758666666665</v>
      </c>
      <c r="AB19" s="25">
        <v>0</v>
      </c>
      <c r="AC19" s="264">
        <v>4488.625</v>
      </c>
      <c r="AD19" s="25">
        <v>5662</v>
      </c>
      <c r="AE19" s="25">
        <v>612.3900000000001</v>
      </c>
      <c r="AF19" s="25">
        <v>1510.1526262626262</v>
      </c>
      <c r="AG19" s="25">
        <v>795187.52100000007</v>
      </c>
      <c r="AH19" s="25">
        <v>759417.87737373728</v>
      </c>
      <c r="AI19" s="26">
        <v>-35769.643626262783</v>
      </c>
      <c r="AJ19" s="25">
        <v>-5055.5398108067448</v>
      </c>
      <c r="AK19" s="25">
        <v>-21499.872670819226</v>
      </c>
    </row>
    <row r="20" spans="2:37" x14ac:dyDescent="0.35">
      <c r="B20" s="20">
        <v>45301</v>
      </c>
      <c r="C20" s="21" t="s">
        <v>419</v>
      </c>
      <c r="D20" s="21" t="s">
        <v>325</v>
      </c>
      <c r="E20" s="44">
        <v>1905662</v>
      </c>
      <c r="F20" s="44" t="s">
        <v>652</v>
      </c>
      <c r="G20" s="21">
        <v>1</v>
      </c>
      <c r="H20" s="21"/>
      <c r="I20" s="22">
        <v>575.79999999999995</v>
      </c>
      <c r="J20" s="33">
        <v>0.55000000000000004</v>
      </c>
      <c r="K20" s="24">
        <v>0.49902744008336225</v>
      </c>
      <c r="L20" s="22">
        <v>287.33999999999997</v>
      </c>
      <c r="M20" s="21">
        <v>1</v>
      </c>
      <c r="N20" s="21"/>
      <c r="O20" s="21"/>
      <c r="P20" s="21"/>
      <c r="Q20" s="21"/>
      <c r="R20" s="21"/>
      <c r="S20" s="21"/>
      <c r="T20" s="21"/>
      <c r="U20" s="21"/>
      <c r="V20" s="25">
        <v>241</v>
      </c>
      <c r="W20" s="25">
        <v>5088.1526666666659</v>
      </c>
      <c r="X20" s="25">
        <v>257.97000000000003</v>
      </c>
      <c r="Y20" s="25">
        <v>4941.6573306772907</v>
      </c>
      <c r="Z20" s="25">
        <v>60</v>
      </c>
      <c r="AA20" s="264">
        <v>116.44133333333333</v>
      </c>
      <c r="AB20" s="25">
        <v>0</v>
      </c>
      <c r="AC20" s="264">
        <v>30.125</v>
      </c>
      <c r="AD20" s="25">
        <v>38</v>
      </c>
      <c r="AE20" s="25">
        <v>4.1100000000000003</v>
      </c>
      <c r="AF20" s="25">
        <v>9.8833067729083659</v>
      </c>
      <c r="AG20" s="25">
        <v>5336.8289999999988</v>
      </c>
      <c r="AH20" s="25">
        <v>4931.7900132270925</v>
      </c>
      <c r="AI20" s="26">
        <v>-405.03898677290636</v>
      </c>
      <c r="AJ20" s="25">
        <v>-57.246606758357508</v>
      </c>
      <c r="AK20" s="25">
        <v>-243.45466601018416</v>
      </c>
    </row>
    <row r="21" spans="2:37" x14ac:dyDescent="0.35">
      <c r="B21" s="20">
        <v>45301</v>
      </c>
      <c r="C21" s="21" t="s">
        <v>419</v>
      </c>
      <c r="D21" s="21" t="s">
        <v>879</v>
      </c>
      <c r="E21" s="44">
        <v>1905650</v>
      </c>
      <c r="F21" s="44" t="s">
        <v>652</v>
      </c>
      <c r="G21" s="21">
        <v>49</v>
      </c>
      <c r="H21" s="21"/>
      <c r="I21" s="22">
        <v>25805.85</v>
      </c>
      <c r="J21" s="33">
        <v>0.54</v>
      </c>
      <c r="K21" s="24">
        <v>0.55796457004903921</v>
      </c>
      <c r="L21" s="22">
        <v>14398.749999999998</v>
      </c>
      <c r="M21" s="21">
        <v>10</v>
      </c>
      <c r="N21" s="21">
        <v>22</v>
      </c>
      <c r="O21" s="21">
        <v>17</v>
      </c>
      <c r="P21" s="21"/>
      <c r="Q21" s="21"/>
      <c r="R21" s="21"/>
      <c r="S21" s="21"/>
      <c r="T21" s="21"/>
      <c r="U21" s="21"/>
      <c r="V21" s="25">
        <v>235</v>
      </c>
      <c r="W21" s="25">
        <v>218317.49100000001</v>
      </c>
      <c r="X21" s="25">
        <v>252.6</v>
      </c>
      <c r="Y21" s="25">
        <v>248312.84792929291</v>
      </c>
      <c r="Z21" s="25">
        <v>2940</v>
      </c>
      <c r="AA21" s="264">
        <v>10487.6</v>
      </c>
      <c r="AB21" s="25">
        <v>0</v>
      </c>
      <c r="AC21" s="264">
        <v>1439.375</v>
      </c>
      <c r="AD21" s="25">
        <v>1862</v>
      </c>
      <c r="AE21" s="25">
        <v>201.39000000000001</v>
      </c>
      <c r="AF21" s="25">
        <v>496.62737373737377</v>
      </c>
      <c r="AG21" s="25">
        <v>235247.85600000003</v>
      </c>
      <c r="AH21" s="25">
        <v>241978.32262626255</v>
      </c>
      <c r="AI21" s="26">
        <v>6730.4666262625251</v>
      </c>
      <c r="AJ21" s="25">
        <v>951.2575056630892</v>
      </c>
      <c r="AK21" s="25">
        <v>4045.4463844196048</v>
      </c>
    </row>
    <row r="22" spans="2:37" x14ac:dyDescent="0.35">
      <c r="B22" s="20">
        <v>45301</v>
      </c>
      <c r="C22" s="21" t="s">
        <v>751</v>
      </c>
      <c r="D22" s="21" t="s">
        <v>880</v>
      </c>
      <c r="E22" s="44">
        <v>1905560</v>
      </c>
      <c r="F22" s="44" t="s">
        <v>652</v>
      </c>
      <c r="G22" s="21">
        <v>54</v>
      </c>
      <c r="H22" s="21"/>
      <c r="I22" s="22">
        <v>26670</v>
      </c>
      <c r="J22" s="33">
        <v>0.55000000000000004</v>
      </c>
      <c r="K22" s="24">
        <v>0.54692538432695914</v>
      </c>
      <c r="L22" s="22">
        <v>14586.5</v>
      </c>
      <c r="M22" s="21">
        <v>35</v>
      </c>
      <c r="N22" s="21">
        <v>16</v>
      </c>
      <c r="O22" s="21">
        <v>1</v>
      </c>
      <c r="P22" s="21">
        <v>1</v>
      </c>
      <c r="Q22" s="21">
        <v>1</v>
      </c>
      <c r="R22" s="21"/>
      <c r="S22" s="21"/>
      <c r="T22" s="21"/>
      <c r="U22" s="21"/>
      <c r="V22" s="25">
        <v>248</v>
      </c>
      <c r="W22" s="25">
        <v>242519.20000000004</v>
      </c>
      <c r="X22" s="25">
        <v>257.39</v>
      </c>
      <c r="Y22" s="25">
        <v>270234.16993421054</v>
      </c>
      <c r="Z22" s="25">
        <v>0</v>
      </c>
      <c r="AA22" s="264">
        <v>1612.8</v>
      </c>
      <c r="AB22" s="25">
        <v>0</v>
      </c>
      <c r="AC22" s="264">
        <v>1674</v>
      </c>
      <c r="AD22" s="25">
        <v>0</v>
      </c>
      <c r="AE22" s="25">
        <v>221.94000000000003</v>
      </c>
      <c r="AF22" s="25">
        <v>540.46894736842103</v>
      </c>
      <c r="AG22" s="25">
        <v>246027.94000000003</v>
      </c>
      <c r="AH22" s="25">
        <v>249754.14671929824</v>
      </c>
      <c r="AI22" s="26">
        <v>3726.2067192982067</v>
      </c>
      <c r="AJ22" s="25">
        <v>526.6473048916946</v>
      </c>
      <c r="AK22" s="25">
        <v>2239.6915900845584</v>
      </c>
    </row>
    <row r="23" spans="2:37" x14ac:dyDescent="0.35">
      <c r="B23" s="20">
        <v>45303</v>
      </c>
      <c r="C23" s="21" t="s">
        <v>632</v>
      </c>
      <c r="D23" s="21" t="s">
        <v>633</v>
      </c>
      <c r="E23" s="44">
        <v>1905662</v>
      </c>
      <c r="F23" s="44" t="s">
        <v>652</v>
      </c>
      <c r="G23" s="21">
        <v>250</v>
      </c>
      <c r="H23" s="21"/>
      <c r="I23" s="22">
        <v>131460</v>
      </c>
      <c r="J23" s="33">
        <v>0.55000000000000004</v>
      </c>
      <c r="K23" s="24">
        <v>0.54643998174349617</v>
      </c>
      <c r="L23" s="22">
        <v>71835</v>
      </c>
      <c r="M23" s="21">
        <v>38</v>
      </c>
      <c r="N23" s="21">
        <v>142</v>
      </c>
      <c r="O23" s="21">
        <v>52</v>
      </c>
      <c r="P23" s="21">
        <v>17</v>
      </c>
      <c r="Q23" s="21">
        <v>1</v>
      </c>
      <c r="R23" s="21"/>
      <c r="S23" s="21"/>
      <c r="T23" s="21"/>
      <c r="U23" s="21"/>
      <c r="V23" s="25">
        <v>220</v>
      </c>
      <c r="W23" s="25">
        <v>1060444.0000000002</v>
      </c>
      <c r="X23" s="25">
        <v>257.97000000000003</v>
      </c>
      <c r="Y23" s="25">
        <v>1235414.3326693226</v>
      </c>
      <c r="Z23" s="25">
        <v>10500</v>
      </c>
      <c r="AA23" s="264">
        <v>126793.38</v>
      </c>
      <c r="AB23" s="25">
        <v>0</v>
      </c>
      <c r="AC23" s="264">
        <v>6875</v>
      </c>
      <c r="AD23" s="25">
        <v>0</v>
      </c>
      <c r="AE23" s="25">
        <v>1027.5</v>
      </c>
      <c r="AF23" s="25">
        <v>2470.8266932270913</v>
      </c>
      <c r="AG23" s="25">
        <v>1205639.8800000004</v>
      </c>
      <c r="AH23" s="25">
        <v>1232947.5033067733</v>
      </c>
      <c r="AI23" s="26">
        <v>27307.623306772904</v>
      </c>
      <c r="AJ23" s="25">
        <v>3859.5513617178449</v>
      </c>
      <c r="AK23" s="25">
        <v>16413.650361538541</v>
      </c>
    </row>
    <row r="24" spans="2:37" x14ac:dyDescent="0.35">
      <c r="B24" s="20">
        <v>45304</v>
      </c>
      <c r="C24" s="21" t="s">
        <v>632</v>
      </c>
      <c r="D24" s="21" t="s">
        <v>633</v>
      </c>
      <c r="E24" s="44">
        <v>1905665</v>
      </c>
      <c r="F24" s="44" t="s">
        <v>652</v>
      </c>
      <c r="G24" s="21">
        <v>200</v>
      </c>
      <c r="H24" s="21"/>
      <c r="I24" s="22">
        <v>105060</v>
      </c>
      <c r="J24" s="33">
        <v>0.55000000000000004</v>
      </c>
      <c r="K24" s="24">
        <v>0.54480296973158193</v>
      </c>
      <c r="L24" s="22">
        <v>57237</v>
      </c>
      <c r="M24" s="21">
        <v>36</v>
      </c>
      <c r="N24" s="21">
        <v>113</v>
      </c>
      <c r="O24" s="21">
        <v>38</v>
      </c>
      <c r="P24" s="21">
        <v>10</v>
      </c>
      <c r="Q24" s="21">
        <v>3</v>
      </c>
      <c r="R24" s="21"/>
      <c r="S24" s="21"/>
      <c r="T24" s="21"/>
      <c r="U24" s="21"/>
      <c r="V24" s="25">
        <v>220</v>
      </c>
      <c r="W24" s="25">
        <v>847484.00000000012</v>
      </c>
      <c r="X24" s="25">
        <v>257.24</v>
      </c>
      <c r="Y24" s="25">
        <v>981572.43</v>
      </c>
      <c r="Z24" s="25">
        <v>8400</v>
      </c>
      <c r="AA24" s="264">
        <v>101677.44</v>
      </c>
      <c r="AB24" s="25">
        <v>0</v>
      </c>
      <c r="AC24" s="264">
        <v>5500</v>
      </c>
      <c r="AD24" s="25">
        <v>0</v>
      </c>
      <c r="AE24" s="25">
        <v>822.00000000000011</v>
      </c>
      <c r="AF24" s="25">
        <v>1963.15</v>
      </c>
      <c r="AG24" s="25">
        <v>963883.44000000018</v>
      </c>
      <c r="AH24" s="25">
        <v>979613.24200000009</v>
      </c>
      <c r="AI24" s="26">
        <v>15729.801999999909</v>
      </c>
      <c r="AJ24" s="25">
        <v>2223.1879371792229</v>
      </c>
      <c r="AK24" s="25">
        <v>9454.6298439744787</v>
      </c>
    </row>
    <row r="25" spans="2:37" x14ac:dyDescent="0.35">
      <c r="B25" s="20">
        <v>45306</v>
      </c>
      <c r="C25" s="21" t="s">
        <v>419</v>
      </c>
      <c r="D25" s="21" t="s">
        <v>485</v>
      </c>
      <c r="E25" s="44">
        <v>1905696</v>
      </c>
      <c r="F25" s="44" t="s">
        <v>652</v>
      </c>
      <c r="G25" s="21">
        <v>150</v>
      </c>
      <c r="H25" s="21"/>
      <c r="I25" s="22">
        <v>76760</v>
      </c>
      <c r="J25" s="33">
        <v>0.55000000000000004</v>
      </c>
      <c r="K25" s="24">
        <v>0.55610343929129757</v>
      </c>
      <c r="L25" s="22">
        <v>42686.5</v>
      </c>
      <c r="M25" s="21">
        <v>66</v>
      </c>
      <c r="N25" s="21">
        <v>77</v>
      </c>
      <c r="O25" s="21">
        <v>6</v>
      </c>
      <c r="P25" s="21">
        <v>1</v>
      </c>
      <c r="Q25" s="21"/>
      <c r="R25" s="21"/>
      <c r="S25" s="21"/>
      <c r="T25" s="21"/>
      <c r="U25" s="21"/>
      <c r="V25" s="25">
        <v>240</v>
      </c>
      <c r="W25" s="25">
        <v>675488</v>
      </c>
      <c r="X25" s="25">
        <v>259.08</v>
      </c>
      <c r="Y25" s="25">
        <v>742803.64500000002</v>
      </c>
      <c r="Z25" s="25">
        <v>9000</v>
      </c>
      <c r="AA25" s="264">
        <v>30257.600000000002</v>
      </c>
      <c r="AB25" s="25">
        <v>0</v>
      </c>
      <c r="AC25" s="264">
        <v>4500</v>
      </c>
      <c r="AD25" s="25">
        <v>5700</v>
      </c>
      <c r="AE25" s="25">
        <v>616.5</v>
      </c>
      <c r="AF25" s="25">
        <v>1485.6075000000001</v>
      </c>
      <c r="AG25" s="25">
        <v>725562.1</v>
      </c>
      <c r="AH25" s="25">
        <v>735795.62049999984</v>
      </c>
      <c r="AI25" s="26">
        <v>10233.520499999868</v>
      </c>
      <c r="AJ25" s="25">
        <v>629.52110126423418</v>
      </c>
      <c r="AK25" s="25">
        <v>6722.7995791149433</v>
      </c>
    </row>
    <row r="26" spans="2:37" x14ac:dyDescent="0.35">
      <c r="B26" s="20">
        <v>45306</v>
      </c>
      <c r="C26" s="21" t="s">
        <v>324</v>
      </c>
      <c r="D26" s="21" t="s">
        <v>341</v>
      </c>
      <c r="E26" s="44">
        <v>1905696</v>
      </c>
      <c r="F26" s="44" t="s">
        <v>652</v>
      </c>
      <c r="G26" s="21">
        <v>50</v>
      </c>
      <c r="H26" s="21"/>
      <c r="I26" s="22">
        <v>26590</v>
      </c>
      <c r="J26" s="33">
        <v>0.53</v>
      </c>
      <c r="K26" s="24">
        <v>0.55118465588567134</v>
      </c>
      <c r="L26" s="22">
        <v>14656</v>
      </c>
      <c r="M26" s="21">
        <v>12</v>
      </c>
      <c r="N26" s="21">
        <v>36</v>
      </c>
      <c r="O26" s="21">
        <v>2</v>
      </c>
      <c r="P26" s="21"/>
      <c r="Q26" s="21"/>
      <c r="R26" s="21"/>
      <c r="S26" s="21"/>
      <c r="T26" s="21"/>
      <c r="U26" s="21"/>
      <c r="V26" s="25">
        <v>235</v>
      </c>
      <c r="W26" s="25">
        <v>220785.63333333333</v>
      </c>
      <c r="X26" s="25">
        <v>259.08</v>
      </c>
      <c r="Y26" s="25">
        <v>247601.215</v>
      </c>
      <c r="Z26" s="25">
        <v>0</v>
      </c>
      <c r="AA26" s="264">
        <v>6588.4</v>
      </c>
      <c r="AB26" s="25">
        <v>0</v>
      </c>
      <c r="AC26" s="264">
        <v>1468.75</v>
      </c>
      <c r="AD26" s="25">
        <v>1900</v>
      </c>
      <c r="AE26" s="25">
        <v>205.50000000000003</v>
      </c>
      <c r="AF26" s="25">
        <v>495.20249999999999</v>
      </c>
      <c r="AG26" s="25">
        <v>230948.28333333333</v>
      </c>
      <c r="AH26" s="25">
        <v>252643.22949999999</v>
      </c>
      <c r="AI26" s="26">
        <v>21694.946166666661</v>
      </c>
      <c r="AJ26" s="25">
        <v>1334.5775193110178</v>
      </c>
      <c r="AK26" s="25">
        <v>14252.258053148951</v>
      </c>
    </row>
    <row r="27" spans="2:37" x14ac:dyDescent="0.35">
      <c r="B27" s="20">
        <v>45307</v>
      </c>
      <c r="C27" s="21" t="s">
        <v>743</v>
      </c>
      <c r="D27" s="21" t="s">
        <v>485</v>
      </c>
      <c r="E27" s="44">
        <v>1905707</v>
      </c>
      <c r="F27" s="44" t="s">
        <v>652</v>
      </c>
      <c r="G27" s="21">
        <v>50</v>
      </c>
      <c r="H27" s="21"/>
      <c r="I27" s="22">
        <v>27260</v>
      </c>
      <c r="J27" s="33">
        <v>0.55000000000000004</v>
      </c>
      <c r="K27" s="24">
        <v>0.59304108584005877</v>
      </c>
      <c r="L27" s="22">
        <v>16166.300000000001</v>
      </c>
      <c r="M27" s="21">
        <v>9</v>
      </c>
      <c r="N27" s="21">
        <v>22</v>
      </c>
      <c r="O27" s="21">
        <v>13</v>
      </c>
      <c r="P27" s="21">
        <v>6</v>
      </c>
      <c r="Q27" s="21"/>
      <c r="R27" s="21"/>
      <c r="S27" s="21"/>
      <c r="T27" s="21"/>
      <c r="U27" s="21"/>
      <c r="V27" s="25">
        <v>240</v>
      </c>
      <c r="W27" s="25">
        <v>239888.00000000003</v>
      </c>
      <c r="X27" s="25">
        <v>254.01</v>
      </c>
      <c r="Y27" s="25">
        <v>273757.24199999997</v>
      </c>
      <c r="Z27" s="25">
        <v>0</v>
      </c>
      <c r="AA27" s="264">
        <v>10169.200000000001</v>
      </c>
      <c r="AB27" s="25">
        <v>0</v>
      </c>
      <c r="AC27" s="264">
        <v>1500</v>
      </c>
      <c r="AD27" s="25">
        <v>1900</v>
      </c>
      <c r="AE27" s="25">
        <v>205.50000000000003</v>
      </c>
      <c r="AF27" s="25">
        <v>547.51400000000001</v>
      </c>
      <c r="AG27" s="25">
        <v>253662.70000000004</v>
      </c>
      <c r="AH27" s="25">
        <v>273212.6102</v>
      </c>
      <c r="AI27" s="26">
        <v>19549.910199999955</v>
      </c>
      <c r="AJ27" s="25">
        <v>1202.6243557846017</v>
      </c>
      <c r="AK27" s="25">
        <v>12843.100090950746</v>
      </c>
    </row>
    <row r="28" spans="2:37" x14ac:dyDescent="0.35">
      <c r="B28" s="20">
        <v>45307</v>
      </c>
      <c r="C28" s="21" t="s">
        <v>632</v>
      </c>
      <c r="D28" s="21" t="s">
        <v>611</v>
      </c>
      <c r="E28" s="44">
        <v>1905707</v>
      </c>
      <c r="F28" s="44" t="s">
        <v>652</v>
      </c>
      <c r="G28" s="21">
        <v>200</v>
      </c>
      <c r="H28" s="21"/>
      <c r="I28" s="22">
        <v>122346</v>
      </c>
      <c r="J28" s="33">
        <v>0.55000000000000004</v>
      </c>
      <c r="K28" s="24">
        <v>0.52854363853333985</v>
      </c>
      <c r="L28" s="22">
        <v>64665.200000000004</v>
      </c>
      <c r="M28" s="21">
        <v>7</v>
      </c>
      <c r="N28" s="21">
        <v>70</v>
      </c>
      <c r="O28" s="21">
        <v>88</v>
      </c>
      <c r="P28" s="21">
        <v>35</v>
      </c>
      <c r="Q28" s="21"/>
      <c r="R28" s="21"/>
      <c r="S28" s="21"/>
      <c r="T28" s="21"/>
      <c r="U28" s="21"/>
      <c r="V28" s="25">
        <v>215</v>
      </c>
      <c r="W28" s="25">
        <v>964494.30000000016</v>
      </c>
      <c r="X28" s="25">
        <v>254.01</v>
      </c>
      <c r="Y28" s="25">
        <v>1095028.9679999999</v>
      </c>
      <c r="Z28" s="25">
        <v>8400</v>
      </c>
      <c r="AA28" s="264">
        <v>78185.34</v>
      </c>
      <c r="AB28" s="25">
        <v>0</v>
      </c>
      <c r="AC28" s="264">
        <v>5375</v>
      </c>
      <c r="AD28" s="25">
        <v>0</v>
      </c>
      <c r="AE28" s="25">
        <v>822.00000000000011</v>
      </c>
      <c r="AF28" s="25">
        <v>2190.056</v>
      </c>
      <c r="AG28" s="25">
        <v>1057276.6400000001</v>
      </c>
      <c r="AH28" s="25">
        <v>1092850.4407999997</v>
      </c>
      <c r="AI28" s="26">
        <v>35573.800799999619</v>
      </c>
      <c r="AJ28" s="25">
        <v>2188.3435183200681</v>
      </c>
      <c r="AK28" s="25">
        <v>23369.820097175681</v>
      </c>
    </row>
    <row r="29" spans="2:37" x14ac:dyDescent="0.35">
      <c r="B29" s="20">
        <v>45307</v>
      </c>
      <c r="C29" s="21" t="s">
        <v>743</v>
      </c>
      <c r="D29" s="21" t="s">
        <v>335</v>
      </c>
      <c r="E29" s="44">
        <v>1905695</v>
      </c>
      <c r="F29" s="44" t="s">
        <v>652</v>
      </c>
      <c r="G29" s="21">
        <v>50</v>
      </c>
      <c r="H29" s="21"/>
      <c r="I29" s="22">
        <v>24060</v>
      </c>
      <c r="J29" s="33">
        <v>0.54</v>
      </c>
      <c r="K29" s="24">
        <v>0.52299599198396796</v>
      </c>
      <c r="L29" s="22">
        <v>13048.750000000002</v>
      </c>
      <c r="M29" s="21">
        <v>10</v>
      </c>
      <c r="N29" s="21">
        <v>30</v>
      </c>
      <c r="O29" s="21">
        <v>9</v>
      </c>
      <c r="P29" s="21">
        <v>1</v>
      </c>
      <c r="Q29" s="21"/>
      <c r="R29" s="21"/>
      <c r="S29" s="21"/>
      <c r="T29" s="21"/>
      <c r="U29" s="21"/>
      <c r="V29" s="25">
        <v>235</v>
      </c>
      <c r="W29" s="25">
        <v>203547.6</v>
      </c>
      <c r="X29" s="25">
        <v>255.83</v>
      </c>
      <c r="Y29" s="25">
        <v>222550.31749999998</v>
      </c>
      <c r="Z29" s="25">
        <v>0</v>
      </c>
      <c r="AA29" s="264">
        <v>8387.4</v>
      </c>
      <c r="AB29" s="25">
        <v>0</v>
      </c>
      <c r="AC29" s="264">
        <v>1468.75</v>
      </c>
      <c r="AD29" s="25">
        <v>1900</v>
      </c>
      <c r="AE29" s="25">
        <v>205.50000000000003</v>
      </c>
      <c r="AF29" s="25">
        <v>445.1</v>
      </c>
      <c r="AG29" s="25">
        <v>215509.25</v>
      </c>
      <c r="AH29" s="25">
        <v>214166.99566533067</v>
      </c>
      <c r="AI29" s="26">
        <v>-1342.2543346693274</v>
      </c>
      <c r="AJ29" s="25">
        <v>-82.569573876139472</v>
      </c>
      <c r="AK29" s="25">
        <v>-881.77933255523146</v>
      </c>
    </row>
    <row r="30" spans="2:37" x14ac:dyDescent="0.35">
      <c r="B30" s="20">
        <v>45307</v>
      </c>
      <c r="C30" s="21" t="s">
        <v>743</v>
      </c>
      <c r="D30" s="21" t="s">
        <v>335</v>
      </c>
      <c r="E30" s="44">
        <v>1905695</v>
      </c>
      <c r="F30" s="44" t="s">
        <v>652</v>
      </c>
      <c r="G30" s="21">
        <v>50</v>
      </c>
      <c r="H30" s="21"/>
      <c r="I30" s="22">
        <v>24380</v>
      </c>
      <c r="J30" s="33">
        <v>0.53</v>
      </c>
      <c r="K30" s="24">
        <v>0.52299599198396796</v>
      </c>
      <c r="L30" s="22">
        <v>13048.750000000002</v>
      </c>
      <c r="M30" s="21">
        <v>10</v>
      </c>
      <c r="N30" s="21">
        <v>30</v>
      </c>
      <c r="O30" s="21">
        <v>9</v>
      </c>
      <c r="P30" s="21">
        <v>1</v>
      </c>
      <c r="Q30" s="21"/>
      <c r="R30" s="21"/>
      <c r="S30" s="21"/>
      <c r="T30" s="21"/>
      <c r="U30" s="21"/>
      <c r="V30" s="25">
        <v>235</v>
      </c>
      <c r="W30" s="25">
        <v>202435.26666666666</v>
      </c>
      <c r="X30" s="25">
        <v>255.83</v>
      </c>
      <c r="Y30" s="25">
        <v>222550.31749999998</v>
      </c>
      <c r="Z30" s="25">
        <v>0</v>
      </c>
      <c r="AA30" s="264">
        <v>8387.4</v>
      </c>
      <c r="AB30" s="25">
        <v>0</v>
      </c>
      <c r="AC30" s="264">
        <v>1468.75</v>
      </c>
      <c r="AD30" s="25">
        <v>1900</v>
      </c>
      <c r="AE30" s="25">
        <v>205.50000000000003</v>
      </c>
      <c r="AF30" s="25">
        <v>445.1</v>
      </c>
      <c r="AG30" s="25">
        <v>214396.91666666666</v>
      </c>
      <c r="AH30" s="25">
        <v>217021.35437742152</v>
      </c>
      <c r="AI30" s="26">
        <v>2624.4377107548644</v>
      </c>
      <c r="AJ30" s="25">
        <v>161.44384700004355</v>
      </c>
      <c r="AK30" s="25">
        <v>1724.0957046283745</v>
      </c>
    </row>
    <row r="31" spans="2:37" x14ac:dyDescent="0.35">
      <c r="B31" s="38">
        <v>45307</v>
      </c>
      <c r="C31" s="39" t="s">
        <v>743</v>
      </c>
      <c r="D31" s="39" t="s">
        <v>573</v>
      </c>
      <c r="E31" s="45">
        <v>1905695</v>
      </c>
      <c r="F31" s="45" t="s">
        <v>652</v>
      </c>
      <c r="G31" s="39">
        <v>100</v>
      </c>
      <c r="H31" s="39"/>
      <c r="I31" s="40">
        <v>51360</v>
      </c>
      <c r="J31" s="53">
        <v>0.53</v>
      </c>
      <c r="K31" s="42">
        <v>0.52299599198396796</v>
      </c>
      <c r="L31" s="40">
        <v>26097.500000000004</v>
      </c>
      <c r="M31" s="39">
        <v>18</v>
      </c>
      <c r="N31" s="39">
        <v>54</v>
      </c>
      <c r="O31" s="39">
        <v>16</v>
      </c>
      <c r="P31" s="39">
        <v>11</v>
      </c>
      <c r="Q31" s="39">
        <v>1</v>
      </c>
      <c r="R31" s="39"/>
      <c r="S31" s="39"/>
      <c r="T31" s="39"/>
      <c r="U31" s="39"/>
      <c r="V31" s="43">
        <v>230</v>
      </c>
      <c r="W31" s="43">
        <v>417385.6</v>
      </c>
      <c r="X31" s="43">
        <v>255.83</v>
      </c>
      <c r="Y31" s="43">
        <v>445100.63499999995</v>
      </c>
      <c r="Z31" s="43">
        <v>0</v>
      </c>
      <c r="AA31" s="264">
        <v>18564</v>
      </c>
      <c r="AB31" s="43">
        <v>0</v>
      </c>
      <c r="AC31" s="264">
        <v>2875</v>
      </c>
      <c r="AD31" s="43">
        <v>3800</v>
      </c>
      <c r="AE31" s="43">
        <v>411.00000000000006</v>
      </c>
      <c r="AF31" s="43">
        <v>890.2</v>
      </c>
      <c r="AG31" s="43">
        <v>443035.6</v>
      </c>
      <c r="AH31" s="43">
        <v>457234.37329058116</v>
      </c>
      <c r="AI31" s="26">
        <v>14198.773290581186</v>
      </c>
      <c r="AJ31" s="25">
        <v>873.44598552257526</v>
      </c>
      <c r="AK31" s="25">
        <v>9327.7291135410269</v>
      </c>
    </row>
    <row r="32" spans="2:37" x14ac:dyDescent="0.35">
      <c r="B32" s="20">
        <v>45311</v>
      </c>
      <c r="C32" s="21" t="s">
        <v>419</v>
      </c>
      <c r="D32" s="21" t="s">
        <v>465</v>
      </c>
      <c r="E32" s="44">
        <v>1911795</v>
      </c>
      <c r="F32" s="44" t="s">
        <v>652</v>
      </c>
      <c r="G32" s="21">
        <v>50</v>
      </c>
      <c r="H32" s="21"/>
      <c r="I32" s="22">
        <v>27760</v>
      </c>
      <c r="J32" s="33">
        <v>0.53</v>
      </c>
      <c r="K32" s="24">
        <v>0.5024135446685879</v>
      </c>
      <c r="L32" s="22">
        <v>13947</v>
      </c>
      <c r="M32" s="21">
        <v>3</v>
      </c>
      <c r="N32" s="21">
        <v>19</v>
      </c>
      <c r="O32" s="21">
        <v>18</v>
      </c>
      <c r="P32" s="21">
        <v>7</v>
      </c>
      <c r="Q32" s="21">
        <v>2</v>
      </c>
      <c r="R32" s="21"/>
      <c r="S32" s="21"/>
      <c r="T32" s="21"/>
      <c r="U32" s="21"/>
      <c r="V32" s="25">
        <v>230</v>
      </c>
      <c r="W32" s="25">
        <v>225596.26666666666</v>
      </c>
      <c r="X32" s="25">
        <v>253</v>
      </c>
      <c r="Y32" s="25">
        <v>235242.33</v>
      </c>
      <c r="Z32" s="25">
        <v>3000</v>
      </c>
      <c r="AA32" s="264">
        <v>16027.6</v>
      </c>
      <c r="AB32" s="25">
        <v>0</v>
      </c>
      <c r="AC32" s="264">
        <v>1437.5</v>
      </c>
      <c r="AD32" s="25">
        <v>1900</v>
      </c>
      <c r="AE32" s="25">
        <v>205.50000000000003</v>
      </c>
      <c r="AF32" s="25">
        <v>470.48500000000001</v>
      </c>
      <c r="AG32" s="25">
        <v>248166.86666666667</v>
      </c>
      <c r="AH32" s="25">
        <v>234768.91500000001</v>
      </c>
      <c r="AI32" s="26">
        <v>-13397.95166666666</v>
      </c>
      <c r="AJ32" s="25">
        <v>-824.18296693548291</v>
      </c>
      <c r="AK32" s="25">
        <v>-8801.6380898118241</v>
      </c>
    </row>
    <row r="33" spans="2:37" x14ac:dyDescent="0.35">
      <c r="B33" s="20">
        <v>45311</v>
      </c>
      <c r="C33" s="21" t="s">
        <v>419</v>
      </c>
      <c r="D33" s="21" t="s">
        <v>242</v>
      </c>
      <c r="E33" s="44">
        <v>1911795</v>
      </c>
      <c r="F33" s="44" t="s">
        <v>652</v>
      </c>
      <c r="G33" s="21">
        <v>50</v>
      </c>
      <c r="H33" s="21"/>
      <c r="I33" s="22">
        <v>25410</v>
      </c>
      <c r="J33" s="33">
        <v>0.54</v>
      </c>
      <c r="K33" s="24">
        <v>0.54887839433293983</v>
      </c>
      <c r="L33" s="22">
        <v>13947</v>
      </c>
      <c r="M33" s="21">
        <v>4</v>
      </c>
      <c r="N33" s="21">
        <v>20</v>
      </c>
      <c r="O33" s="21">
        <v>18</v>
      </c>
      <c r="P33" s="21">
        <v>7</v>
      </c>
      <c r="Q33" s="21">
        <v>2</v>
      </c>
      <c r="R33" s="21"/>
      <c r="S33" s="21"/>
      <c r="T33" s="21"/>
      <c r="U33" s="21"/>
      <c r="V33" s="25">
        <v>235</v>
      </c>
      <c r="W33" s="25">
        <v>214968.6</v>
      </c>
      <c r="X33" s="25">
        <v>253</v>
      </c>
      <c r="Y33" s="25">
        <v>235242.33</v>
      </c>
      <c r="Z33" s="25">
        <v>3000</v>
      </c>
      <c r="AA33" s="264">
        <v>11237.2</v>
      </c>
      <c r="AB33" s="25">
        <v>0</v>
      </c>
      <c r="AC33" s="264">
        <v>1468.75</v>
      </c>
      <c r="AD33" s="25">
        <v>1900</v>
      </c>
      <c r="AE33" s="25">
        <v>205.50000000000003</v>
      </c>
      <c r="AF33" s="25">
        <v>470.48500000000001</v>
      </c>
      <c r="AG33" s="25">
        <v>232780.05000000002</v>
      </c>
      <c r="AH33" s="25">
        <v>234768.91500000004</v>
      </c>
      <c r="AI33" s="26">
        <v>1988.8650000000198</v>
      </c>
      <c r="AJ33" s="25">
        <v>122.346213609082</v>
      </c>
      <c r="AK33" s="25">
        <v>1306.5631504736564</v>
      </c>
    </row>
    <row r="34" spans="2:37" x14ac:dyDescent="0.35">
      <c r="B34" s="20">
        <v>45307</v>
      </c>
      <c r="C34" s="282" t="s">
        <v>743</v>
      </c>
      <c r="D34" s="282" t="s">
        <v>485</v>
      </c>
      <c r="E34" s="44">
        <v>1913493</v>
      </c>
      <c r="F34" s="44" t="s">
        <v>652</v>
      </c>
      <c r="G34" s="21">
        <v>99</v>
      </c>
      <c r="H34" s="21"/>
      <c r="I34" s="22">
        <v>51559.199999999997</v>
      </c>
      <c r="J34" s="33">
        <v>0.55000000000000004</v>
      </c>
      <c r="K34" s="24">
        <v>0.54996974351813066</v>
      </c>
      <c r="L34" s="22">
        <v>28356</v>
      </c>
      <c r="M34" s="21">
        <v>41</v>
      </c>
      <c r="N34" s="21">
        <v>53</v>
      </c>
      <c r="O34" s="21">
        <v>5</v>
      </c>
      <c r="P34" s="21"/>
      <c r="Q34" s="21"/>
      <c r="R34" s="21"/>
      <c r="S34" s="21"/>
      <c r="T34" s="21"/>
      <c r="U34" s="21"/>
      <c r="V34" s="25">
        <v>240</v>
      </c>
      <c r="W34" s="25">
        <v>453720.96</v>
      </c>
      <c r="X34" s="25">
        <v>259.68</v>
      </c>
      <c r="Y34" s="25">
        <v>490899.07</v>
      </c>
      <c r="Z34" s="159">
        <v>0</v>
      </c>
      <c r="AA34" s="25">
        <v>18618.336000000003</v>
      </c>
      <c r="AB34" s="25">
        <v>0</v>
      </c>
      <c r="AC34" s="25">
        <v>2970</v>
      </c>
      <c r="AD34" s="25">
        <v>3762</v>
      </c>
      <c r="AE34" s="25">
        <v>406.89000000000004</v>
      </c>
      <c r="AF34" s="25">
        <v>981.8</v>
      </c>
      <c r="AG34" s="25">
        <v>479478.18600000005</v>
      </c>
      <c r="AH34" s="25">
        <v>489917.272</v>
      </c>
      <c r="AI34" s="26">
        <v>10439.085999999952</v>
      </c>
      <c r="AJ34" s="25">
        <v>5822.1289966488484</v>
      </c>
      <c r="AK34" s="25">
        <v>3231.8699023457725</v>
      </c>
    </row>
    <row r="35" spans="2:37" x14ac:dyDescent="0.35">
      <c r="B35" s="20">
        <v>45307</v>
      </c>
      <c r="C35" s="282" t="s">
        <v>743</v>
      </c>
      <c r="D35" s="282" t="s">
        <v>485</v>
      </c>
      <c r="E35" s="44"/>
      <c r="F35" s="44" t="s">
        <v>652</v>
      </c>
      <c r="G35" s="21">
        <v>1</v>
      </c>
      <c r="H35" s="21"/>
      <c r="I35" s="22">
        <v>520.79999999999995</v>
      </c>
      <c r="J35" s="33">
        <v>0.55000000000000004</v>
      </c>
      <c r="K35" s="24">
        <v>0</v>
      </c>
      <c r="L35" s="22">
        <v>0</v>
      </c>
      <c r="M35" s="21"/>
      <c r="N35" s="21"/>
      <c r="O35" s="21"/>
      <c r="P35" s="21"/>
      <c r="Q35" s="21"/>
      <c r="R35" s="21"/>
      <c r="S35" s="21"/>
      <c r="T35" s="21"/>
      <c r="U35" s="21"/>
      <c r="V35" s="25">
        <v>240</v>
      </c>
      <c r="W35" s="25">
        <v>4583.0399999999991</v>
      </c>
      <c r="X35" s="25">
        <v>0</v>
      </c>
      <c r="Y35" s="25">
        <v>0</v>
      </c>
      <c r="Z35" s="159">
        <v>0</v>
      </c>
      <c r="AA35" s="25">
        <v>188.06400000000002</v>
      </c>
      <c r="AB35" s="25">
        <v>0</v>
      </c>
      <c r="AC35" s="25">
        <v>30</v>
      </c>
      <c r="AD35" s="25">
        <v>38</v>
      </c>
      <c r="AE35" s="25">
        <v>4.1100000000000003</v>
      </c>
      <c r="AF35" s="25">
        <v>0</v>
      </c>
      <c r="AG35" s="25">
        <v>4843.213999999999</v>
      </c>
      <c r="AH35" s="25">
        <v>0</v>
      </c>
      <c r="AI35" s="26">
        <v>-4843.213999999999</v>
      </c>
      <c r="AJ35" s="25">
        <v>-2701.1767760487633</v>
      </c>
      <c r="AK35" s="25">
        <v>-1499.426056765865</v>
      </c>
    </row>
    <row r="36" spans="2:37" x14ac:dyDescent="0.35">
      <c r="B36" s="20">
        <v>45312</v>
      </c>
      <c r="C36" s="21" t="s">
        <v>419</v>
      </c>
      <c r="D36" s="21" t="s">
        <v>565</v>
      </c>
      <c r="E36" s="44">
        <v>1905765</v>
      </c>
      <c r="F36" s="44" t="s">
        <v>652</v>
      </c>
      <c r="G36" s="21">
        <v>100</v>
      </c>
      <c r="H36" s="21"/>
      <c r="I36" s="22">
        <v>45040</v>
      </c>
      <c r="J36" s="33">
        <v>0.54500000000000004</v>
      </c>
      <c r="K36" s="24">
        <v>0.54172957371225572</v>
      </c>
      <c r="L36" s="22">
        <v>24399.5</v>
      </c>
      <c r="M36" s="21">
        <v>32</v>
      </c>
      <c r="N36" s="21">
        <v>51</v>
      </c>
      <c r="O36" s="21">
        <v>16</v>
      </c>
      <c r="P36" s="21">
        <v>1</v>
      </c>
      <c r="Q36" s="21"/>
      <c r="R36" s="21"/>
      <c r="S36" s="21"/>
      <c r="T36" s="21"/>
      <c r="U36" s="21"/>
      <c r="V36" s="25">
        <v>230</v>
      </c>
      <c r="W36" s="25">
        <v>376384.26666666666</v>
      </c>
      <c r="X36" s="25">
        <v>258.43</v>
      </c>
      <c r="Y36" s="25">
        <v>472057.39690721646</v>
      </c>
      <c r="Z36" s="25">
        <v>6000</v>
      </c>
      <c r="AA36" s="25">
        <v>18374</v>
      </c>
      <c r="AB36" s="25">
        <v>0</v>
      </c>
      <c r="AC36" s="25">
        <v>2875</v>
      </c>
      <c r="AD36" s="25">
        <v>3800</v>
      </c>
      <c r="AE36" s="25">
        <v>411.00000000000006</v>
      </c>
      <c r="AF36" s="25">
        <v>944.1134020618556</v>
      </c>
      <c r="AG36" s="25">
        <v>407844.26666666666</v>
      </c>
      <c r="AH36" s="25">
        <v>419426.73893127148</v>
      </c>
      <c r="AI36" s="26">
        <v>11582.472264604818</v>
      </c>
      <c r="AJ36" s="25">
        <v>6459.8229791992399</v>
      </c>
      <c r="AK36" s="25">
        <v>3585.854499783904</v>
      </c>
    </row>
    <row r="37" spans="2:37" x14ac:dyDescent="0.35">
      <c r="B37" s="20">
        <v>45313</v>
      </c>
      <c r="C37" s="21" t="s">
        <v>898</v>
      </c>
      <c r="D37" s="21" t="s">
        <v>899</v>
      </c>
      <c r="E37" s="44">
        <v>1905765</v>
      </c>
      <c r="F37" s="44" t="s">
        <v>652</v>
      </c>
      <c r="G37" s="21">
        <v>44</v>
      </c>
      <c r="H37" s="21"/>
      <c r="I37" s="22">
        <v>26750</v>
      </c>
      <c r="J37" s="33">
        <v>0.56000000000000005</v>
      </c>
      <c r="K37" s="24">
        <v>0.54887850467289723</v>
      </c>
      <c r="L37" s="22">
        <v>14682.5</v>
      </c>
      <c r="M37" s="21">
        <v>14</v>
      </c>
      <c r="N37" s="21">
        <v>26</v>
      </c>
      <c r="O37" s="21">
        <v>4</v>
      </c>
      <c r="P37" s="21"/>
      <c r="Q37" s="21"/>
      <c r="R37" s="21"/>
      <c r="S37" s="21"/>
      <c r="T37" s="21"/>
      <c r="U37" s="21"/>
      <c r="V37" s="25">
        <v>245</v>
      </c>
      <c r="W37" s="25">
        <v>244673.33333333337</v>
      </c>
      <c r="X37" s="25">
        <v>258.43</v>
      </c>
      <c r="Y37" s="25">
        <v>207705.25463917525</v>
      </c>
      <c r="Z37" s="25">
        <v>0</v>
      </c>
      <c r="AA37" s="25">
        <v>2854.62</v>
      </c>
      <c r="AB37" s="25">
        <v>0</v>
      </c>
      <c r="AC37" s="25">
        <v>1347.5</v>
      </c>
      <c r="AD37" s="25">
        <v>0</v>
      </c>
      <c r="AE37" s="25">
        <v>180.84</v>
      </c>
      <c r="AF37" s="25">
        <v>415.40989690721642</v>
      </c>
      <c r="AG37" s="25">
        <v>249056.29333333336</v>
      </c>
      <c r="AH37" s="25">
        <v>252544.48843642612</v>
      </c>
      <c r="AI37" s="26">
        <v>3488.1951030927594</v>
      </c>
      <c r="AJ37" s="25">
        <v>1945.4501912988328</v>
      </c>
      <c r="AK37" s="25">
        <v>1079.9214382557486</v>
      </c>
    </row>
    <row r="38" spans="2:37" x14ac:dyDescent="0.35">
      <c r="B38" s="20">
        <v>45313</v>
      </c>
      <c r="C38" s="21" t="s">
        <v>419</v>
      </c>
      <c r="D38" s="21" t="s">
        <v>565</v>
      </c>
      <c r="E38" s="44">
        <v>1906169</v>
      </c>
      <c r="F38" s="44" t="s">
        <v>652</v>
      </c>
      <c r="G38" s="21">
        <v>195</v>
      </c>
      <c r="H38" s="21"/>
      <c r="I38" s="22">
        <v>89920</v>
      </c>
      <c r="J38" s="33">
        <v>0.54500000000000004</v>
      </c>
      <c r="K38" s="24">
        <v>0.54778136120996446</v>
      </c>
      <c r="L38" s="22">
        <v>49256.5</v>
      </c>
      <c r="M38" s="21">
        <v>66</v>
      </c>
      <c r="N38" s="21">
        <v>88</v>
      </c>
      <c r="O38" s="21">
        <v>28</v>
      </c>
      <c r="P38" s="21">
        <v>12</v>
      </c>
      <c r="Q38" s="21">
        <v>1</v>
      </c>
      <c r="R38" s="21"/>
      <c r="S38" s="21"/>
      <c r="T38" s="21"/>
      <c r="U38" s="21"/>
      <c r="V38" s="25">
        <v>230</v>
      </c>
      <c r="W38" s="25">
        <v>751431.46666666667</v>
      </c>
      <c r="X38" s="25">
        <v>255.56</v>
      </c>
      <c r="Y38" s="25">
        <v>839211.67</v>
      </c>
      <c r="Z38" s="25">
        <v>11700</v>
      </c>
      <c r="AA38" s="25">
        <v>36411.199999999997</v>
      </c>
      <c r="AB38" s="25">
        <v>0</v>
      </c>
      <c r="AC38" s="25">
        <v>5606.25</v>
      </c>
      <c r="AD38" s="25">
        <v>7410</v>
      </c>
      <c r="AE38" s="25">
        <v>801.45</v>
      </c>
      <c r="AF38" s="25">
        <v>1678.43</v>
      </c>
      <c r="AG38" s="25">
        <v>813360.36666666658</v>
      </c>
      <c r="AH38" s="25">
        <v>837520.97933333332</v>
      </c>
      <c r="AI38" s="26">
        <v>24160.612666666741</v>
      </c>
      <c r="AJ38" s="25">
        <v>13474.953993424571</v>
      </c>
      <c r="AK38" s="25">
        <v>7479.9610712695176</v>
      </c>
    </row>
    <row r="39" spans="2:37" x14ac:dyDescent="0.35">
      <c r="B39" s="20">
        <v>45313</v>
      </c>
      <c r="C39" s="21" t="s">
        <v>632</v>
      </c>
      <c r="D39" s="21" t="s">
        <v>633</v>
      </c>
      <c r="E39" s="44">
        <v>1906184</v>
      </c>
      <c r="F39" s="44" t="s">
        <v>652</v>
      </c>
      <c r="G39" s="21">
        <v>200</v>
      </c>
      <c r="H39" s="21"/>
      <c r="I39" s="22">
        <v>108527</v>
      </c>
      <c r="J39" s="33">
        <v>0.55000000000000004</v>
      </c>
      <c r="K39" s="24">
        <v>0.55053120421646229</v>
      </c>
      <c r="L39" s="22">
        <v>59747.5</v>
      </c>
      <c r="M39" s="21">
        <v>14</v>
      </c>
      <c r="N39" s="21">
        <v>139</v>
      </c>
      <c r="O39" s="21">
        <v>42</v>
      </c>
      <c r="P39" s="21">
        <v>5</v>
      </c>
      <c r="Q39" s="21"/>
      <c r="R39" s="21"/>
      <c r="S39" s="21"/>
      <c r="T39" s="21"/>
      <c r="U39" s="21"/>
      <c r="V39" s="25">
        <v>220</v>
      </c>
      <c r="W39" s="25">
        <v>875451.13333333342</v>
      </c>
      <c r="X39" s="25">
        <v>255.71</v>
      </c>
      <c r="Y39" s="25">
        <v>1014193.4720000001</v>
      </c>
      <c r="Z39" s="25">
        <v>8400</v>
      </c>
      <c r="AA39" s="25">
        <v>89233.53</v>
      </c>
      <c r="AB39" s="25">
        <v>0</v>
      </c>
      <c r="AC39" s="25">
        <v>5500</v>
      </c>
      <c r="AD39" s="25">
        <v>0</v>
      </c>
      <c r="AE39" s="25">
        <v>822.00000000000011</v>
      </c>
      <c r="AF39" s="25">
        <v>2028.3840000000002</v>
      </c>
      <c r="AG39" s="25">
        <v>979406.66333333345</v>
      </c>
      <c r="AH39" s="25">
        <v>1016507.1643333335</v>
      </c>
      <c r="AI39" s="26">
        <v>37100.501000000047</v>
      </c>
      <c r="AJ39" s="25">
        <v>20691.840517675671</v>
      </c>
      <c r="AK39" s="25">
        <v>11486.062337627063</v>
      </c>
    </row>
    <row r="40" spans="2:37" x14ac:dyDescent="0.35">
      <c r="B40" s="20">
        <v>45313</v>
      </c>
      <c r="C40" s="21" t="s">
        <v>900</v>
      </c>
      <c r="D40" s="21" t="s">
        <v>901</v>
      </c>
      <c r="E40" s="44">
        <v>1905765</v>
      </c>
      <c r="F40" s="44" t="s">
        <v>652</v>
      </c>
      <c r="G40" s="21">
        <v>21</v>
      </c>
      <c r="H40" s="21"/>
      <c r="I40" s="22">
        <v>11179</v>
      </c>
      <c r="J40" s="33">
        <v>0.53</v>
      </c>
      <c r="K40" s="24">
        <v>0.52634403792825835</v>
      </c>
      <c r="L40" s="22">
        <v>5884</v>
      </c>
      <c r="M40" s="21">
        <v>21</v>
      </c>
      <c r="N40" s="21"/>
      <c r="O40" s="21"/>
      <c r="P40" s="21"/>
      <c r="Q40" s="21"/>
      <c r="R40" s="21"/>
      <c r="S40" s="21"/>
      <c r="T40" s="21"/>
      <c r="U40" s="21"/>
      <c r="V40" s="25">
        <v>240</v>
      </c>
      <c r="W40" s="25">
        <v>94797.92</v>
      </c>
      <c r="X40" s="25">
        <v>258.43</v>
      </c>
      <c r="Y40" s="25">
        <v>99132.05335051546</v>
      </c>
      <c r="Z40" s="25">
        <v>0</v>
      </c>
      <c r="AA40" s="25">
        <v>1886.6232</v>
      </c>
      <c r="AB40" s="25">
        <v>0</v>
      </c>
      <c r="AC40" s="25">
        <v>630</v>
      </c>
      <c r="AD40" s="25">
        <v>0</v>
      </c>
      <c r="AE40" s="25">
        <v>86.31</v>
      </c>
      <c r="AF40" s="25">
        <v>198.26381443298968</v>
      </c>
      <c r="AG40" s="25">
        <v>97400.853199999998</v>
      </c>
      <c r="AH40" s="25">
        <v>101175.21085223369</v>
      </c>
      <c r="AI40" s="26">
        <v>3774.3576522336953</v>
      </c>
      <c r="AJ40" s="25">
        <v>2105.0499182393332</v>
      </c>
      <c r="AK40" s="25">
        <v>1168.5154137960533</v>
      </c>
    </row>
    <row r="41" spans="2:37" x14ac:dyDescent="0.35">
      <c r="B41" s="20">
        <v>45313</v>
      </c>
      <c r="C41" s="21" t="s">
        <v>900</v>
      </c>
      <c r="D41" s="21" t="s">
        <v>899</v>
      </c>
      <c r="E41" s="44">
        <v>1905765</v>
      </c>
      <c r="F41" s="44" t="s">
        <v>652</v>
      </c>
      <c r="G41" s="21">
        <v>12</v>
      </c>
      <c r="H41" s="21"/>
      <c r="I41" s="22">
        <v>5654</v>
      </c>
      <c r="J41" s="33">
        <v>0.53</v>
      </c>
      <c r="K41" s="24">
        <v>0.59928277813693087</v>
      </c>
      <c r="L41" s="22">
        <v>3388.3448275862074</v>
      </c>
      <c r="M41" s="21">
        <v>11</v>
      </c>
      <c r="N41" s="21">
        <v>1</v>
      </c>
      <c r="O41" s="21"/>
      <c r="P41" s="21"/>
      <c r="Q41" s="21"/>
      <c r="R41" s="21"/>
      <c r="S41" s="21"/>
      <c r="T41" s="21"/>
      <c r="U41" s="21"/>
      <c r="V41" s="25">
        <v>240</v>
      </c>
      <c r="W41" s="25">
        <v>47945.920000000006</v>
      </c>
      <c r="X41" s="25">
        <v>258.43</v>
      </c>
      <c r="Y41" s="25">
        <v>56646.887628865981</v>
      </c>
      <c r="Z41" s="25">
        <v>0</v>
      </c>
      <c r="AA41" s="25">
        <v>1078.0704000000001</v>
      </c>
      <c r="AB41" s="25">
        <v>0</v>
      </c>
      <c r="AC41" s="25">
        <v>360</v>
      </c>
      <c r="AD41" s="25">
        <v>0</v>
      </c>
      <c r="AE41" s="25">
        <v>49.320000000000007</v>
      </c>
      <c r="AF41" s="25">
        <v>113.29360824742267</v>
      </c>
      <c r="AG41" s="25">
        <v>49433.310400000002</v>
      </c>
      <c r="AH41" s="25">
        <v>58263.369977959468</v>
      </c>
      <c r="AI41" s="26">
        <v>8830.059577959466</v>
      </c>
      <c r="AJ41" s="25">
        <v>4924.7363141729975</v>
      </c>
      <c r="AK41" s="25">
        <v>2733.7262846505278</v>
      </c>
    </row>
    <row r="42" spans="2:37" x14ac:dyDescent="0.35">
      <c r="B42" s="20">
        <v>45313</v>
      </c>
      <c r="C42" s="21" t="s">
        <v>900</v>
      </c>
      <c r="D42" s="21" t="s">
        <v>899</v>
      </c>
      <c r="E42" s="44">
        <v>1905765</v>
      </c>
      <c r="F42" s="44" t="s">
        <v>652</v>
      </c>
      <c r="G42" s="21">
        <v>8</v>
      </c>
      <c r="H42" s="21"/>
      <c r="I42" s="22">
        <v>4413</v>
      </c>
      <c r="J42" s="33">
        <v>0.55000000000000004</v>
      </c>
      <c r="K42" s="24">
        <v>0.5118732272205162</v>
      </c>
      <c r="L42" s="22">
        <v>2258.8965517241381</v>
      </c>
      <c r="M42" s="21">
        <v>7</v>
      </c>
      <c r="N42" s="21">
        <v>1</v>
      </c>
      <c r="O42" s="21"/>
      <c r="P42" s="21"/>
      <c r="Q42" s="21"/>
      <c r="R42" s="21"/>
      <c r="S42" s="21"/>
      <c r="T42" s="21"/>
      <c r="U42" s="21"/>
      <c r="V42" s="25">
        <v>240</v>
      </c>
      <c r="W42" s="25">
        <v>38834.400000000001</v>
      </c>
      <c r="X42" s="25">
        <v>258.43</v>
      </c>
      <c r="Y42" s="25">
        <v>37764.591752577318</v>
      </c>
      <c r="Z42" s="25">
        <v>0</v>
      </c>
      <c r="AA42" s="25">
        <v>718.71360000000004</v>
      </c>
      <c r="AB42" s="25">
        <v>0</v>
      </c>
      <c r="AC42" s="25">
        <v>240</v>
      </c>
      <c r="AD42" s="25">
        <v>0</v>
      </c>
      <c r="AE42" s="25">
        <v>32.880000000000003</v>
      </c>
      <c r="AF42" s="25">
        <v>75.529072164948445</v>
      </c>
      <c r="AG42" s="25">
        <v>39825.993600000002</v>
      </c>
      <c r="AH42" s="25">
        <v>38842.246651972979</v>
      </c>
      <c r="AI42" s="26">
        <v>-983.74694802702288</v>
      </c>
      <c r="AJ42" s="25">
        <v>-548.65930134812231</v>
      </c>
      <c r="AK42" s="25">
        <v>-304.56135267523035</v>
      </c>
    </row>
    <row r="43" spans="2:37" x14ac:dyDescent="0.35">
      <c r="B43" s="20">
        <v>45313</v>
      </c>
      <c r="C43" s="21" t="s">
        <v>900</v>
      </c>
      <c r="D43" s="21" t="s">
        <v>899</v>
      </c>
      <c r="E43" s="44">
        <v>1905765</v>
      </c>
      <c r="F43" s="44" t="s">
        <v>652</v>
      </c>
      <c r="G43" s="21">
        <v>9</v>
      </c>
      <c r="H43" s="21"/>
      <c r="I43" s="22">
        <v>4617</v>
      </c>
      <c r="J43" s="33">
        <v>0.54</v>
      </c>
      <c r="K43" s="24">
        <v>0.55041338979632992</v>
      </c>
      <c r="L43" s="22">
        <v>2541.2586206896553</v>
      </c>
      <c r="M43" s="21">
        <v>8</v>
      </c>
      <c r="N43" s="21">
        <v>1</v>
      </c>
      <c r="O43" s="21"/>
      <c r="P43" s="21"/>
      <c r="Q43" s="21"/>
      <c r="R43" s="21"/>
      <c r="S43" s="21"/>
      <c r="T43" s="21"/>
      <c r="U43" s="21"/>
      <c r="V43" s="25">
        <v>240</v>
      </c>
      <c r="W43" s="25">
        <v>39890.880000000005</v>
      </c>
      <c r="X43" s="25">
        <v>258.43</v>
      </c>
      <c r="Y43" s="25">
        <v>42485.165721649486</v>
      </c>
      <c r="Z43" s="25">
        <v>0</v>
      </c>
      <c r="AA43" s="25">
        <v>808.55280000000005</v>
      </c>
      <c r="AB43" s="25">
        <v>0</v>
      </c>
      <c r="AC43" s="25">
        <v>270</v>
      </c>
      <c r="AD43" s="25">
        <v>0</v>
      </c>
      <c r="AE43" s="25">
        <v>36.99</v>
      </c>
      <c r="AF43" s="25">
        <v>84.970206185567008</v>
      </c>
      <c r="AG43" s="25">
        <v>41006.4228</v>
      </c>
      <c r="AH43" s="25">
        <v>43697.52748346961</v>
      </c>
      <c r="AI43" s="26">
        <v>2691.1046834696099</v>
      </c>
      <c r="AJ43" s="25">
        <v>1500.8937191097007</v>
      </c>
      <c r="AK43" s="25">
        <v>833.1476750519364</v>
      </c>
    </row>
    <row r="44" spans="2:37" x14ac:dyDescent="0.35">
      <c r="B44" s="38">
        <v>45314</v>
      </c>
      <c r="C44" s="39" t="s">
        <v>632</v>
      </c>
      <c r="D44" s="39" t="s">
        <v>611</v>
      </c>
      <c r="E44" s="45">
        <v>1906197</v>
      </c>
      <c r="F44" s="45" t="s">
        <v>652</v>
      </c>
      <c r="G44" s="39">
        <v>100</v>
      </c>
      <c r="H44" s="39"/>
      <c r="I44" s="40">
        <v>54214</v>
      </c>
      <c r="J44" s="53">
        <v>0.55000000000000004</v>
      </c>
      <c r="K44" s="42">
        <v>0.51186962777142431</v>
      </c>
      <c r="L44" s="40">
        <v>27750.5</v>
      </c>
      <c r="M44" s="39">
        <v>14</v>
      </c>
      <c r="N44" s="39">
        <v>54</v>
      </c>
      <c r="O44" s="39">
        <v>28</v>
      </c>
      <c r="P44" s="39">
        <v>3</v>
      </c>
      <c r="Q44" s="39">
        <v>1</v>
      </c>
      <c r="R44" s="39"/>
      <c r="S44" s="39"/>
      <c r="T44" s="39"/>
      <c r="U44" s="39"/>
      <c r="V44" s="43">
        <v>215</v>
      </c>
      <c r="W44" s="43">
        <v>427387.03333333338</v>
      </c>
      <c r="X44" s="43">
        <v>253.07</v>
      </c>
      <c r="Y44" s="43">
        <v>495375.94</v>
      </c>
      <c r="Z44" s="43">
        <v>4200</v>
      </c>
      <c r="AA44" s="43">
        <v>41697.520000000004</v>
      </c>
      <c r="AB44" s="43">
        <v>0</v>
      </c>
      <c r="AC44" s="43">
        <v>2687.5</v>
      </c>
      <c r="AD44" s="43">
        <v>0</v>
      </c>
      <c r="AE44" s="43">
        <v>411.00000000000006</v>
      </c>
      <c r="AF44" s="43">
        <v>990.75000000000011</v>
      </c>
      <c r="AG44" s="43">
        <v>476383.0533333334</v>
      </c>
      <c r="AH44" s="43">
        <v>467197.1856666666</v>
      </c>
      <c r="AI44" s="26">
        <v>-9185.8676666668034</v>
      </c>
      <c r="AJ44" s="25">
        <v>-5123.1790313328338</v>
      </c>
      <c r="AK44" s="25">
        <v>-2843.8820447337785</v>
      </c>
    </row>
    <row r="45" spans="2:37" x14ac:dyDescent="0.35">
      <c r="B45" s="20">
        <v>45314</v>
      </c>
      <c r="C45" s="21" t="s">
        <v>419</v>
      </c>
      <c r="D45" s="21" t="s">
        <v>872</v>
      </c>
      <c r="E45" s="44">
        <v>1906184</v>
      </c>
      <c r="F45" s="44" t="s">
        <v>652</v>
      </c>
      <c r="G45" s="21">
        <v>50</v>
      </c>
      <c r="H45" s="21"/>
      <c r="I45" s="22">
        <v>26100</v>
      </c>
      <c r="J45" s="33">
        <v>0.54500000000000004</v>
      </c>
      <c r="K45" s="24">
        <v>0.56007662835249039</v>
      </c>
      <c r="L45" s="22">
        <v>14618</v>
      </c>
      <c r="M45" s="21">
        <v>22</v>
      </c>
      <c r="N45" s="21">
        <v>27</v>
      </c>
      <c r="O45" s="21"/>
      <c r="P45" s="21">
        <v>1</v>
      </c>
      <c r="Q45" s="21"/>
      <c r="R45" s="21"/>
      <c r="S45" s="21"/>
      <c r="T45" s="21"/>
      <c r="U45" s="21"/>
      <c r="V45" s="25">
        <v>235</v>
      </c>
      <c r="W45" s="25">
        <v>222850.50000000003</v>
      </c>
      <c r="X45" s="25">
        <v>255.71</v>
      </c>
      <c r="Y45" s="25">
        <v>253548.36800000002</v>
      </c>
      <c r="Z45" s="25">
        <v>3000</v>
      </c>
      <c r="AA45" s="25">
        <v>11233.92</v>
      </c>
      <c r="AB45" s="25">
        <v>0</v>
      </c>
      <c r="AC45" s="25">
        <v>1468.75</v>
      </c>
      <c r="AD45" s="25">
        <v>1900</v>
      </c>
      <c r="AE45" s="25">
        <v>205.50000000000003</v>
      </c>
      <c r="AF45" s="25">
        <v>507.09600000000006</v>
      </c>
      <c r="AG45" s="25">
        <v>240658.67000000004</v>
      </c>
      <c r="AH45" s="25">
        <v>248690.82266666667</v>
      </c>
      <c r="AI45" s="26">
        <v>8032.1526666666323</v>
      </c>
      <c r="AJ45" s="25">
        <v>4479.7244649685217</v>
      </c>
      <c r="AK45" s="25">
        <v>2486.6997411886773</v>
      </c>
    </row>
    <row r="46" spans="2:37" x14ac:dyDescent="0.35">
      <c r="B46" s="20">
        <v>45315</v>
      </c>
      <c r="C46" s="21" t="s">
        <v>419</v>
      </c>
      <c r="D46" s="21" t="s">
        <v>465</v>
      </c>
      <c r="E46" s="44">
        <v>1906197</v>
      </c>
      <c r="F46" s="44" t="s">
        <v>652</v>
      </c>
      <c r="G46" s="21">
        <v>100</v>
      </c>
      <c r="H46" s="21"/>
      <c r="I46" s="22">
        <v>58660</v>
      </c>
      <c r="J46" s="33">
        <v>0.53</v>
      </c>
      <c r="K46" s="24">
        <v>0.52800886464370955</v>
      </c>
      <c r="L46" s="22">
        <v>30973</v>
      </c>
      <c r="M46" s="21">
        <v>2</v>
      </c>
      <c r="N46" s="21">
        <v>28</v>
      </c>
      <c r="O46" s="21">
        <v>45</v>
      </c>
      <c r="P46" s="21">
        <v>25</v>
      </c>
      <c r="Q46" s="21"/>
      <c r="R46" s="21"/>
      <c r="S46" s="21"/>
      <c r="T46" s="21"/>
      <c r="U46" s="21"/>
      <c r="V46" s="25">
        <v>230</v>
      </c>
      <c r="W46" s="25">
        <v>476710.26666666666</v>
      </c>
      <c r="X46" s="25">
        <v>253.07</v>
      </c>
      <c r="Y46" s="25">
        <v>495375.94</v>
      </c>
      <c r="Z46" s="25">
        <v>6000</v>
      </c>
      <c r="AA46" s="25">
        <v>32055.200000000001</v>
      </c>
      <c r="AB46" s="25">
        <v>0</v>
      </c>
      <c r="AC46" s="25">
        <v>2875</v>
      </c>
      <c r="AD46" s="25">
        <v>3800</v>
      </c>
      <c r="AE46" s="25">
        <v>411.00000000000006</v>
      </c>
      <c r="AF46" s="25">
        <v>990.75000000000011</v>
      </c>
      <c r="AG46" s="25">
        <v>521851.46666666667</v>
      </c>
      <c r="AH46" s="25">
        <v>521565.05733333336</v>
      </c>
      <c r="AI46" s="26">
        <v>-286.40933333331486</v>
      </c>
      <c r="AJ46" s="25">
        <v>-159.73736441205349</v>
      </c>
      <c r="AK46" s="25">
        <v>-88.670378244882954</v>
      </c>
    </row>
    <row r="47" spans="2:37" x14ac:dyDescent="0.35">
      <c r="B47" s="20">
        <v>45317</v>
      </c>
      <c r="C47" s="21" t="s">
        <v>419</v>
      </c>
      <c r="D47" s="21" t="s">
        <v>872</v>
      </c>
      <c r="E47" s="44">
        <v>1906206</v>
      </c>
      <c r="F47" s="44" t="s">
        <v>652</v>
      </c>
      <c r="G47" s="21">
        <v>50</v>
      </c>
      <c r="H47" s="21"/>
      <c r="I47" s="22">
        <v>25040</v>
      </c>
      <c r="J47" s="33">
        <v>0.54</v>
      </c>
      <c r="K47" s="24">
        <v>0.55421325878594252</v>
      </c>
      <c r="L47" s="22">
        <v>13877.5</v>
      </c>
      <c r="M47" s="21">
        <v>36</v>
      </c>
      <c r="N47" s="21">
        <v>14</v>
      </c>
      <c r="O47" s="21"/>
      <c r="P47" s="21"/>
      <c r="Q47" s="21"/>
      <c r="R47" s="21"/>
      <c r="S47" s="21"/>
      <c r="T47" s="21"/>
      <c r="U47" s="21"/>
      <c r="V47" s="25">
        <v>235</v>
      </c>
      <c r="W47" s="25">
        <v>211838.4</v>
      </c>
      <c r="X47" s="25">
        <v>256.86</v>
      </c>
      <c r="Y47" s="25">
        <v>239807.33000000002</v>
      </c>
      <c r="Z47" s="25">
        <v>3000</v>
      </c>
      <c r="AA47" s="25">
        <v>11375.6</v>
      </c>
      <c r="AB47" s="25">
        <v>0</v>
      </c>
      <c r="AC47" s="25">
        <v>1468.75</v>
      </c>
      <c r="AD47" s="25">
        <v>1900</v>
      </c>
      <c r="AE47" s="25">
        <v>205.50000000000003</v>
      </c>
      <c r="AF47" s="25">
        <v>479.61333333333329</v>
      </c>
      <c r="AG47" s="25">
        <v>229788.25</v>
      </c>
      <c r="AH47" s="25">
        <v>237158.69666666668</v>
      </c>
      <c r="AI47" s="26">
        <v>7370.4466666666849</v>
      </c>
      <c r="AJ47" s="25">
        <v>4110.6751353762347</v>
      </c>
      <c r="AK47" s="25">
        <v>2281.8400719033148</v>
      </c>
    </row>
    <row r="48" spans="2:37" x14ac:dyDescent="0.35">
      <c r="B48" s="20">
        <v>45317</v>
      </c>
      <c r="C48" s="21" t="s">
        <v>632</v>
      </c>
      <c r="D48" s="21" t="s">
        <v>913</v>
      </c>
      <c r="E48" s="44">
        <v>1906206</v>
      </c>
      <c r="F48" s="44" t="s">
        <v>652</v>
      </c>
      <c r="G48" s="21">
        <v>200</v>
      </c>
      <c r="H48" s="21"/>
      <c r="I48" s="22">
        <v>106760</v>
      </c>
      <c r="J48" s="33">
        <v>0.55000000000000004</v>
      </c>
      <c r="K48" s="24">
        <v>0.52565380292244279</v>
      </c>
      <c r="L48" s="22">
        <v>56118.799999999996</v>
      </c>
      <c r="M48" s="21">
        <v>69</v>
      </c>
      <c r="N48" s="21">
        <v>96</v>
      </c>
      <c r="O48" s="21">
        <v>28</v>
      </c>
      <c r="P48" s="21">
        <v>4</v>
      </c>
      <c r="Q48" s="21">
        <v>3</v>
      </c>
      <c r="R48" s="21"/>
      <c r="S48" s="21"/>
      <c r="T48" s="21"/>
      <c r="U48" s="21"/>
      <c r="V48" s="25">
        <v>215</v>
      </c>
      <c r="W48" s="25">
        <v>841624.66666666674</v>
      </c>
      <c r="X48" s="25">
        <v>256.86</v>
      </c>
      <c r="Y48" s="25">
        <v>959229.32000000007</v>
      </c>
      <c r="Z48" s="25">
        <v>8400</v>
      </c>
      <c r="AA48" s="25">
        <v>83570.728000000003</v>
      </c>
      <c r="AB48" s="25">
        <v>0</v>
      </c>
      <c r="AC48" s="25">
        <v>5375</v>
      </c>
      <c r="AD48" s="25">
        <v>0</v>
      </c>
      <c r="AE48" s="25">
        <v>822.00000000000011</v>
      </c>
      <c r="AF48" s="25">
        <v>1918.4533333333331</v>
      </c>
      <c r="AG48" s="25">
        <v>939792.39466666675</v>
      </c>
      <c r="AH48" s="25">
        <v>959059.87786666653</v>
      </c>
      <c r="AI48" s="26">
        <v>19267.483199999784</v>
      </c>
      <c r="AJ48" s="25">
        <v>10745.938162705414</v>
      </c>
      <c r="AK48" s="25">
        <v>5965.0815261060588</v>
      </c>
    </row>
    <row r="49" spans="2:37" x14ac:dyDescent="0.35">
      <c r="B49" s="20">
        <v>45317</v>
      </c>
      <c r="C49" s="21" t="s">
        <v>632</v>
      </c>
      <c r="D49" s="21" t="s">
        <v>913</v>
      </c>
      <c r="E49" s="44">
        <v>1906206</v>
      </c>
      <c r="F49" s="44" t="s">
        <v>652</v>
      </c>
      <c r="G49" s="21">
        <v>50</v>
      </c>
      <c r="H49" s="21"/>
      <c r="I49" s="22">
        <v>24695</v>
      </c>
      <c r="J49" s="33">
        <v>0.53</v>
      </c>
      <c r="K49" s="24">
        <v>0.56811905243976513</v>
      </c>
      <c r="L49" s="22">
        <v>14029.699999999999</v>
      </c>
      <c r="M49" s="21">
        <v>17</v>
      </c>
      <c r="N49" s="21">
        <v>24</v>
      </c>
      <c r="O49" s="21">
        <v>7</v>
      </c>
      <c r="P49" s="21">
        <v>1</v>
      </c>
      <c r="Q49" s="21">
        <v>1</v>
      </c>
      <c r="R49" s="21"/>
      <c r="S49" s="21"/>
      <c r="T49" s="21"/>
      <c r="U49" s="21"/>
      <c r="V49" s="25">
        <v>215</v>
      </c>
      <c r="W49" s="25">
        <v>187599.68333333332</v>
      </c>
      <c r="X49" s="25">
        <v>256.86</v>
      </c>
      <c r="Y49" s="25">
        <v>239807.33000000002</v>
      </c>
      <c r="Z49" s="25">
        <v>2100</v>
      </c>
      <c r="AA49" s="25">
        <v>20892.682000000001</v>
      </c>
      <c r="AB49" s="25">
        <v>0</v>
      </c>
      <c r="AC49" s="25">
        <v>1343.75</v>
      </c>
      <c r="AD49" s="25">
        <v>0</v>
      </c>
      <c r="AE49" s="25">
        <v>205.50000000000003</v>
      </c>
      <c r="AF49" s="25">
        <v>479.61333333333329</v>
      </c>
      <c r="AG49" s="25">
        <v>212141.61533333332</v>
      </c>
      <c r="AH49" s="25">
        <v>239764.96946666666</v>
      </c>
      <c r="AI49" s="26">
        <v>27623.354133333341</v>
      </c>
      <c r="AJ49" s="25">
        <v>15406.208080322416</v>
      </c>
      <c r="AK49" s="25">
        <v>8552.0022371076466</v>
      </c>
    </row>
    <row r="51" spans="2:37" x14ac:dyDescent="0.35">
      <c r="B51" s="14" t="s">
        <v>1</v>
      </c>
      <c r="C51" s="14" t="s">
        <v>2</v>
      </c>
      <c r="D51" s="14" t="s">
        <v>110</v>
      </c>
      <c r="E51" s="14" t="s">
        <v>66</v>
      </c>
      <c r="F51" s="14" t="s">
        <v>638</v>
      </c>
      <c r="G51" s="14" t="s">
        <v>137</v>
      </c>
      <c r="H51" s="14" t="s">
        <v>138</v>
      </c>
      <c r="I51" s="14" t="s">
        <v>4</v>
      </c>
      <c r="J51" s="14" t="s">
        <v>5</v>
      </c>
      <c r="K51" s="14" t="s">
        <v>6</v>
      </c>
      <c r="L51" s="14" t="s">
        <v>7</v>
      </c>
      <c r="M51" s="14" t="s">
        <v>279</v>
      </c>
      <c r="N51" s="14" t="s">
        <v>280</v>
      </c>
      <c r="O51" s="14" t="s">
        <v>281</v>
      </c>
      <c r="P51" s="14" t="s">
        <v>282</v>
      </c>
      <c r="Q51" s="14" t="s">
        <v>283</v>
      </c>
      <c r="R51" s="14" t="s">
        <v>284</v>
      </c>
      <c r="S51" s="14" t="s">
        <v>904</v>
      </c>
      <c r="T51" s="14" t="s">
        <v>285</v>
      </c>
      <c r="U51" s="14" t="s">
        <v>289</v>
      </c>
      <c r="V51" s="14" t="s">
        <v>8</v>
      </c>
      <c r="W51" s="14" t="s">
        <v>9</v>
      </c>
      <c r="X51" s="14" t="s">
        <v>10</v>
      </c>
      <c r="Y51" s="14" t="s">
        <v>100</v>
      </c>
      <c r="Z51" s="14" t="s">
        <v>106</v>
      </c>
      <c r="AA51" s="14" t="s">
        <v>12</v>
      </c>
      <c r="AB51" s="14" t="s">
        <v>258</v>
      </c>
      <c r="AC51" s="14" t="s">
        <v>13</v>
      </c>
      <c r="AD51" s="14" t="s">
        <v>74</v>
      </c>
      <c r="AE51" s="14" t="s">
        <v>21</v>
      </c>
      <c r="AF51" s="14" t="s">
        <v>14</v>
      </c>
      <c r="AG51" s="14" t="s">
        <v>15</v>
      </c>
      <c r="AH51" s="14" t="s">
        <v>16</v>
      </c>
      <c r="AI51" s="15" t="s">
        <v>17</v>
      </c>
      <c r="AJ51" s="14" t="s">
        <v>679</v>
      </c>
      <c r="AK51" s="14" t="s">
        <v>678</v>
      </c>
    </row>
    <row r="52" spans="2:37" x14ac:dyDescent="0.35">
      <c r="B52" s="138">
        <v>45319</v>
      </c>
      <c r="C52" s="119" t="s">
        <v>419</v>
      </c>
      <c r="D52" s="119" t="s">
        <v>332</v>
      </c>
      <c r="E52" s="145">
        <v>1906215</v>
      </c>
      <c r="F52" s="145" t="s">
        <v>652</v>
      </c>
      <c r="G52" s="119">
        <v>4</v>
      </c>
      <c r="H52" s="119"/>
      <c r="I52" s="260">
        <v>2302.4</v>
      </c>
      <c r="J52" s="396">
        <v>0.55000000000000004</v>
      </c>
      <c r="K52" s="397">
        <v>0.5509468380820014</v>
      </c>
      <c r="L52" s="260">
        <v>1268.5</v>
      </c>
      <c r="M52" s="119"/>
      <c r="N52" s="119">
        <v>2</v>
      </c>
      <c r="O52" s="119">
        <v>2</v>
      </c>
      <c r="P52" s="119"/>
      <c r="Q52" s="119"/>
      <c r="R52" s="119"/>
      <c r="S52" s="119"/>
      <c r="T52" s="119"/>
      <c r="U52" s="119"/>
      <c r="V52" s="65">
        <v>235</v>
      </c>
      <c r="W52" s="65">
        <v>19839.013333333332</v>
      </c>
      <c r="X52" s="65">
        <v>257.77999999999997</v>
      </c>
      <c r="Y52" s="65">
        <v>20701.073333333334</v>
      </c>
      <c r="Z52" s="65">
        <v>240</v>
      </c>
      <c r="AA52" s="65">
        <v>406.33600000000001</v>
      </c>
      <c r="AB52" s="65">
        <v>0</v>
      </c>
      <c r="AC52" s="65">
        <v>117.5</v>
      </c>
      <c r="AD52" s="65">
        <v>152</v>
      </c>
      <c r="AE52" s="65">
        <v>16.440000000000001</v>
      </c>
      <c r="AF52" s="65">
        <v>41.139215686274511</v>
      </c>
      <c r="AG52" s="65">
        <v>20771.28933333333</v>
      </c>
      <c r="AH52" s="65">
        <v>21758.456117647052</v>
      </c>
      <c r="AI52" s="398">
        <v>987.16678431372202</v>
      </c>
      <c r="AJ52" s="65">
        <v>161.71969834742197</v>
      </c>
      <c r="AK52" s="65">
        <v>577.81296017641</v>
      </c>
    </row>
    <row r="53" spans="2:37" x14ac:dyDescent="0.35">
      <c r="B53" s="138">
        <v>45319</v>
      </c>
      <c r="C53" s="407" t="s">
        <v>419</v>
      </c>
      <c r="D53" s="119" t="s">
        <v>332</v>
      </c>
      <c r="E53" s="145">
        <v>1906229</v>
      </c>
      <c r="F53" s="145" t="s">
        <v>652</v>
      </c>
      <c r="G53" s="119">
        <v>96</v>
      </c>
      <c r="H53" s="119"/>
      <c r="I53" s="260">
        <v>55257.600000000006</v>
      </c>
      <c r="J53" s="396">
        <v>0.55000000000000004</v>
      </c>
      <c r="K53" s="397">
        <v>0.55728985696085243</v>
      </c>
      <c r="L53" s="260">
        <v>30794.5</v>
      </c>
      <c r="M53" s="119">
        <v>13</v>
      </c>
      <c r="N53" s="119">
        <v>47</v>
      </c>
      <c r="O53" s="119">
        <v>32</v>
      </c>
      <c r="P53" s="119">
        <v>4</v>
      </c>
      <c r="Q53" s="119"/>
      <c r="R53" s="119"/>
      <c r="S53" s="119"/>
      <c r="T53" s="119"/>
      <c r="U53" s="119"/>
      <c r="V53" s="65">
        <v>235</v>
      </c>
      <c r="W53" s="65">
        <v>476136.32000000012</v>
      </c>
      <c r="X53" s="65">
        <v>257.89999999999998</v>
      </c>
      <c r="Y53" s="65">
        <v>529460.10333333327</v>
      </c>
      <c r="Z53" s="65">
        <v>5760</v>
      </c>
      <c r="AA53" s="65">
        <v>9752.0640000000003</v>
      </c>
      <c r="AB53" s="65">
        <v>0</v>
      </c>
      <c r="AC53" s="65">
        <v>2820</v>
      </c>
      <c r="AD53" s="65">
        <v>3648</v>
      </c>
      <c r="AE53" s="65">
        <v>394.56000000000006</v>
      </c>
      <c r="AF53" s="65">
        <v>1058.9202066666667</v>
      </c>
      <c r="AG53" s="65">
        <v>498510.94400000013</v>
      </c>
      <c r="AH53" s="65">
        <v>528401.18312666658</v>
      </c>
      <c r="AI53" s="398">
        <v>29890.239126666449</v>
      </c>
      <c r="AJ53" s="65">
        <v>4896.6806135574061</v>
      </c>
      <c r="AK53" s="65">
        <v>17495.490959176328</v>
      </c>
    </row>
    <row r="54" spans="2:37" x14ac:dyDescent="0.35">
      <c r="B54" s="2">
        <v>45319</v>
      </c>
      <c r="C54" t="s">
        <v>419</v>
      </c>
      <c r="D54" t="s">
        <v>465</v>
      </c>
      <c r="E54">
        <v>1906215</v>
      </c>
      <c r="F54" t="s">
        <v>652</v>
      </c>
      <c r="G54">
        <v>50</v>
      </c>
      <c r="I54">
        <v>27320</v>
      </c>
      <c r="J54">
        <v>0.53</v>
      </c>
      <c r="K54">
        <v>0.55247071742313325</v>
      </c>
      <c r="L54">
        <v>15093.5</v>
      </c>
      <c r="M54">
        <v>16</v>
      </c>
      <c r="N54">
        <v>26</v>
      </c>
      <c r="O54">
        <v>8</v>
      </c>
      <c r="V54">
        <v>230</v>
      </c>
      <c r="W54">
        <v>222020.53333333333</v>
      </c>
      <c r="X54">
        <v>257.77999999999997</v>
      </c>
      <c r="Y54">
        <v>258763.41666666669</v>
      </c>
      <c r="Z54">
        <v>3000</v>
      </c>
      <c r="AA54">
        <v>16514</v>
      </c>
      <c r="AB54">
        <v>0</v>
      </c>
      <c r="AC54">
        <v>1437.5</v>
      </c>
      <c r="AD54">
        <v>1900</v>
      </c>
      <c r="AE54">
        <v>205.50000000000003</v>
      </c>
      <c r="AF54">
        <v>514.24019607843138</v>
      </c>
      <c r="AG54">
        <v>245077.53333333333</v>
      </c>
      <c r="AH54">
        <v>258872.58847058821</v>
      </c>
      <c r="AI54">
        <v>13795.05513725488</v>
      </c>
      <c r="AJ54">
        <v>2259.9343808289254</v>
      </c>
      <c r="AK54">
        <v>8074.5845294981682</v>
      </c>
    </row>
    <row r="55" spans="2:37" x14ac:dyDescent="0.35">
      <c r="B55" s="2">
        <v>44955</v>
      </c>
      <c r="C55" t="s">
        <v>903</v>
      </c>
      <c r="D55" t="s">
        <v>902</v>
      </c>
      <c r="E55">
        <v>1906215</v>
      </c>
      <c r="F55" t="s">
        <v>652</v>
      </c>
      <c r="G55">
        <v>150</v>
      </c>
      <c r="I55">
        <v>82240</v>
      </c>
      <c r="J55">
        <v>0.55000000000000004</v>
      </c>
      <c r="K55">
        <v>0.54452213035019459</v>
      </c>
      <c r="L55">
        <v>44781.5</v>
      </c>
      <c r="M55">
        <v>35</v>
      </c>
      <c r="N55">
        <v>86</v>
      </c>
      <c r="O55">
        <v>29</v>
      </c>
      <c r="V55">
        <v>241.5</v>
      </c>
      <c r="W55">
        <v>728235.2</v>
      </c>
      <c r="X55">
        <v>257.77999999999997</v>
      </c>
      <c r="Y55">
        <v>769585</v>
      </c>
      <c r="Z55">
        <v>0</v>
      </c>
      <c r="AA55">
        <v>8210.4000000000015</v>
      </c>
      <c r="AB55">
        <v>0</v>
      </c>
      <c r="AC55">
        <v>4528.13</v>
      </c>
      <c r="AD55">
        <v>0</v>
      </c>
      <c r="AE55">
        <v>616.5</v>
      </c>
      <c r="AF55">
        <v>1542.7205882352941</v>
      </c>
      <c r="AG55">
        <v>741590.23</v>
      </c>
      <c r="AH55">
        <v>768042.28407843143</v>
      </c>
      <c r="AI55">
        <v>26452.054078431451</v>
      </c>
      <c r="AJ55">
        <v>4333.4300487101227</v>
      </c>
      <c r="AK55">
        <v>15483.036820804929</v>
      </c>
    </row>
    <row r="56" spans="2:37" x14ac:dyDescent="0.35">
      <c r="B56" s="2">
        <v>45321</v>
      </c>
      <c r="C56" t="s">
        <v>907</v>
      </c>
      <c r="D56" t="s">
        <v>902</v>
      </c>
      <c r="E56">
        <v>1906229</v>
      </c>
      <c r="F56" t="s">
        <v>652</v>
      </c>
      <c r="G56">
        <v>50</v>
      </c>
      <c r="I56">
        <v>24910</v>
      </c>
      <c r="J56">
        <v>0.55000000000000004</v>
      </c>
      <c r="K56">
        <v>0.55236852669610603</v>
      </c>
      <c r="L56">
        <v>13759.5</v>
      </c>
      <c r="M56">
        <v>5</v>
      </c>
      <c r="N56">
        <v>35</v>
      </c>
      <c r="O56">
        <v>10</v>
      </c>
      <c r="V56">
        <v>241.5</v>
      </c>
      <c r="W56">
        <v>220578.05000000002</v>
      </c>
      <c r="X56">
        <v>257.89999999999998</v>
      </c>
      <c r="Y56">
        <v>236571.66999999998</v>
      </c>
      <c r="Z56">
        <v>0</v>
      </c>
      <c r="AA56">
        <v>2736.8</v>
      </c>
      <c r="AB56">
        <v>0</v>
      </c>
      <c r="AC56">
        <v>1509.38</v>
      </c>
      <c r="AD56">
        <v>0</v>
      </c>
      <c r="AE56">
        <v>205.50000000000003</v>
      </c>
      <c r="AF56">
        <v>473.14333999999997</v>
      </c>
      <c r="AG56">
        <v>225029.73</v>
      </c>
      <c r="AH56">
        <v>236098.52665999997</v>
      </c>
      <c r="AI56">
        <v>11068.796659999964</v>
      </c>
      <c r="AJ56">
        <v>1813.3130949787605</v>
      </c>
      <c r="AK56">
        <v>6478.8384955148413</v>
      </c>
    </row>
    <row r="57" spans="2:37" x14ac:dyDescent="0.35">
      <c r="B57" s="2">
        <v>45321</v>
      </c>
      <c r="C57" t="s">
        <v>907</v>
      </c>
      <c r="D57" t="s">
        <v>902</v>
      </c>
      <c r="E57">
        <v>1906229</v>
      </c>
      <c r="F57" t="s">
        <v>652</v>
      </c>
      <c r="G57">
        <v>50</v>
      </c>
      <c r="I57">
        <v>23660</v>
      </c>
      <c r="J57">
        <v>0.54</v>
      </c>
      <c r="K57">
        <v>0.50720625528317831</v>
      </c>
      <c r="L57">
        <v>12000.5</v>
      </c>
      <c r="M57">
        <v>4</v>
      </c>
      <c r="N57">
        <v>35</v>
      </c>
      <c r="O57">
        <v>11</v>
      </c>
      <c r="V57">
        <v>240</v>
      </c>
      <c r="W57">
        <v>204422.39999999999</v>
      </c>
      <c r="X57">
        <v>257.89999999999998</v>
      </c>
      <c r="Y57">
        <v>206328.59666666662</v>
      </c>
      <c r="Z57">
        <v>0</v>
      </c>
      <c r="AA57">
        <v>2736.8</v>
      </c>
      <c r="AB57">
        <v>0</v>
      </c>
      <c r="AC57">
        <v>1500</v>
      </c>
      <c r="AD57">
        <v>0</v>
      </c>
      <c r="AE57">
        <v>205.50000000000003</v>
      </c>
      <c r="AF57">
        <v>412.65719333333323</v>
      </c>
      <c r="AG57">
        <v>208864.69999999998</v>
      </c>
      <c r="AH57">
        <v>205915.93947333327</v>
      </c>
      <c r="AI57">
        <v>-2948.7605266667088</v>
      </c>
      <c r="AJ57">
        <v>-483.07203042983969</v>
      </c>
      <c r="AK57">
        <v>-1725.9819473658083</v>
      </c>
    </row>
    <row r="58" spans="2:37" x14ac:dyDescent="0.35">
      <c r="B58" s="2">
        <v>45321</v>
      </c>
      <c r="C58" t="s">
        <v>905</v>
      </c>
      <c r="D58" t="s">
        <v>906</v>
      </c>
      <c r="E58">
        <v>1912948</v>
      </c>
      <c r="F58" t="s">
        <v>652</v>
      </c>
      <c r="G58">
        <v>300</v>
      </c>
      <c r="I58">
        <v>150540</v>
      </c>
      <c r="J58">
        <v>0.54</v>
      </c>
      <c r="K58">
        <v>0.5625747309685134</v>
      </c>
      <c r="L58">
        <v>84690</v>
      </c>
      <c r="M58">
        <v>93</v>
      </c>
      <c r="N58">
        <v>184</v>
      </c>
      <c r="O58">
        <v>21</v>
      </c>
      <c r="P58">
        <v>2</v>
      </c>
      <c r="V58">
        <v>235</v>
      </c>
      <c r="W58">
        <v>1273568.3999999999</v>
      </c>
      <c r="X58">
        <v>255.87</v>
      </c>
      <c r="Y58">
        <v>1444619.03</v>
      </c>
      <c r="Z58">
        <v>18000</v>
      </c>
      <c r="AA58">
        <v>54085.3</v>
      </c>
      <c r="AB58">
        <v>0</v>
      </c>
      <c r="AC58">
        <v>8812.5</v>
      </c>
      <c r="AD58">
        <v>11400</v>
      </c>
      <c r="AE58">
        <v>1233</v>
      </c>
      <c r="AF58">
        <v>2889.24</v>
      </c>
      <c r="AG58">
        <v>1367099.2</v>
      </c>
      <c r="AH58">
        <v>1441752.78</v>
      </c>
      <c r="AI58">
        <v>74653.580000000075</v>
      </c>
      <c r="AJ58">
        <v>12229.903426651717</v>
      </c>
      <c r="AK58">
        <v>43696.573601343844</v>
      </c>
    </row>
    <row r="59" spans="2:37" x14ac:dyDescent="0.35">
      <c r="E59">
        <v>45321</v>
      </c>
      <c r="AI59">
        <v>248.8452666666669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82"/>
  <sheetViews>
    <sheetView topLeftCell="D1" zoomScaleNormal="100" workbookViewId="0">
      <pane xSplit="5" ySplit="2" topLeftCell="AG29" activePane="bottomRight" state="frozen"/>
      <selection activeCell="Z79" sqref="Z79"/>
      <selection pane="topRight" activeCell="Z79" sqref="Z79"/>
      <selection pane="bottomLeft" activeCell="Z79" sqref="Z79"/>
      <selection pane="bottomRight" activeCell="A3" sqref="A3:AK37"/>
    </sheetView>
  </sheetViews>
  <sheetFormatPr defaultRowHeight="14.5" x14ac:dyDescent="0.35"/>
  <cols>
    <col min="1" max="4" width="7.453125" customWidth="1"/>
    <col min="5" max="5" width="16.6328125" customWidth="1"/>
    <col min="6" max="6" width="15.453125" customWidth="1"/>
    <col min="7" max="7" width="8.81640625" customWidth="1"/>
    <col min="8" max="8" width="10.7265625" customWidth="1"/>
    <col min="9" max="9" width="12.26953125" bestFit="1" customWidth="1"/>
    <col min="10" max="10" width="8.81640625" customWidth="1"/>
    <col min="11" max="11" width="11.26953125" customWidth="1"/>
    <col min="12" max="12" width="13.81640625" customWidth="1"/>
    <col min="13" max="17" width="8.81640625" customWidth="1"/>
    <col min="18" max="19" width="11.26953125" customWidth="1"/>
    <col min="20" max="21" width="3.7265625" customWidth="1"/>
    <col min="22" max="22" width="15.54296875" customWidth="1"/>
    <col min="23" max="23" width="19.54296875" customWidth="1"/>
    <col min="24" max="24" width="15.1796875" customWidth="1"/>
    <col min="25" max="25" width="16.81640625" customWidth="1"/>
    <col min="26" max="26" width="19.1796875" customWidth="1"/>
    <col min="27" max="27" width="15.453125" customWidth="1"/>
    <col min="28" max="28" width="14.7265625" customWidth="1"/>
    <col min="29" max="29" width="14.26953125" customWidth="1"/>
    <col min="30" max="30" width="14.26953125" bestFit="1" customWidth="1"/>
    <col min="31" max="31" width="17.26953125" customWidth="1"/>
    <col min="32" max="32" width="14" customWidth="1"/>
    <col min="33" max="33" width="19.26953125" customWidth="1"/>
    <col min="34" max="34" width="17.1796875" customWidth="1"/>
    <col min="35" max="35" width="20" bestFit="1" customWidth="1"/>
    <col min="36" max="37" width="20" style="21" customWidth="1"/>
    <col min="39" max="39" width="19" customWidth="1"/>
    <col min="40" max="40" width="20.1796875" customWidth="1"/>
    <col min="41" max="41" width="42.81640625" customWidth="1"/>
    <col min="42" max="42" width="10.54296875" bestFit="1" customWidth="1"/>
  </cols>
  <sheetData>
    <row r="1" spans="1:42" ht="15" thickBot="1" x14ac:dyDescent="0.4"/>
    <row r="2" spans="1:42" ht="24" thickBot="1" x14ac:dyDescent="0.6">
      <c r="V2" s="374" t="s">
        <v>0</v>
      </c>
      <c r="W2" s="375"/>
      <c r="X2" s="375"/>
      <c r="Y2" s="375"/>
      <c r="Z2" s="375"/>
      <c r="AA2" s="375"/>
      <c r="AB2" s="375"/>
      <c r="AC2" s="375"/>
      <c r="AD2" s="376"/>
    </row>
    <row r="3" spans="1:42" x14ac:dyDescent="0.35">
      <c r="A3" s="14" t="s">
        <v>1</v>
      </c>
      <c r="B3" s="14" t="s">
        <v>2</v>
      </c>
      <c r="C3" s="14" t="s">
        <v>110</v>
      </c>
      <c r="D3" s="14"/>
      <c r="E3" s="14" t="s">
        <v>66</v>
      </c>
      <c r="F3" s="14" t="s">
        <v>638</v>
      </c>
      <c r="G3" s="14" t="s">
        <v>137</v>
      </c>
      <c r="H3" s="14" t="s">
        <v>138</v>
      </c>
      <c r="I3" s="14" t="s">
        <v>4</v>
      </c>
      <c r="J3" s="14" t="s">
        <v>5</v>
      </c>
      <c r="K3" s="14" t="s">
        <v>6</v>
      </c>
      <c r="L3" s="14" t="s">
        <v>7</v>
      </c>
      <c r="M3" s="14" t="s">
        <v>279</v>
      </c>
      <c r="N3" s="14" t="s">
        <v>280</v>
      </c>
      <c r="O3" s="14" t="s">
        <v>281</v>
      </c>
      <c r="P3" s="14" t="s">
        <v>282</v>
      </c>
      <c r="Q3" s="14" t="s">
        <v>283</v>
      </c>
      <c r="R3" s="14" t="s">
        <v>284</v>
      </c>
      <c r="S3" s="14" t="s">
        <v>904</v>
      </c>
      <c r="T3" s="14" t="s">
        <v>285</v>
      </c>
      <c r="U3" s="14" t="s">
        <v>289</v>
      </c>
      <c r="V3" s="14" t="s">
        <v>8</v>
      </c>
      <c r="W3" s="14" t="s">
        <v>9</v>
      </c>
      <c r="X3" s="14" t="s">
        <v>10</v>
      </c>
      <c r="Y3" s="14" t="s">
        <v>100</v>
      </c>
      <c r="Z3" s="14" t="s">
        <v>106</v>
      </c>
      <c r="AA3" s="14" t="s">
        <v>12</v>
      </c>
      <c r="AB3" s="14" t="s">
        <v>258</v>
      </c>
      <c r="AC3" s="14" t="s">
        <v>13</v>
      </c>
      <c r="AD3" s="14" t="s">
        <v>74</v>
      </c>
      <c r="AE3" s="14" t="s">
        <v>21</v>
      </c>
      <c r="AF3" s="14" t="s">
        <v>14</v>
      </c>
      <c r="AG3" s="14" t="s">
        <v>15</v>
      </c>
      <c r="AH3" s="14" t="s">
        <v>16</v>
      </c>
      <c r="AI3" s="15" t="s">
        <v>17</v>
      </c>
      <c r="AJ3" s="14" t="s">
        <v>679</v>
      </c>
      <c r="AK3" s="14" t="s">
        <v>678</v>
      </c>
      <c r="AM3" s="164">
        <f>AG75</f>
        <v>4686339.216</v>
      </c>
      <c r="AN3" s="164">
        <f>AI75-AJ75</f>
        <v>137512.53392666642</v>
      </c>
    </row>
    <row r="4" spans="1:42" s="60" customFormat="1" x14ac:dyDescent="0.35">
      <c r="A4" s="138">
        <v>45319</v>
      </c>
      <c r="B4" s="119" t="s">
        <v>419</v>
      </c>
      <c r="C4" s="119" t="s">
        <v>332</v>
      </c>
      <c r="D4" s="119"/>
      <c r="E4" s="145">
        <v>1906215</v>
      </c>
      <c r="F4" s="145" t="s">
        <v>652</v>
      </c>
      <c r="G4" s="119">
        <v>4</v>
      </c>
      <c r="H4" s="119"/>
      <c r="I4" s="260">
        <f>57560/100*G4</f>
        <v>2302.4</v>
      </c>
      <c r="J4" s="396">
        <v>0.55000000000000004</v>
      </c>
      <c r="K4" s="397">
        <f>IFERROR(L4/I4,"")</f>
        <v>0.5509468380820014</v>
      </c>
      <c r="L4" s="260">
        <v>1268.5</v>
      </c>
      <c r="M4" s="119"/>
      <c r="N4" s="119">
        <v>2</v>
      </c>
      <c r="O4" s="119">
        <v>2</v>
      </c>
      <c r="P4" s="119"/>
      <c r="Q4" s="119"/>
      <c r="R4" s="119"/>
      <c r="S4" s="119"/>
      <c r="T4" s="119"/>
      <c r="U4" s="119"/>
      <c r="V4" s="65">
        <v>235</v>
      </c>
      <c r="W4" s="65">
        <f>I4*V4*J4/15</f>
        <v>19839.013333333332</v>
      </c>
      <c r="X4" s="65">
        <v>257.77999999999997</v>
      </c>
      <c r="Y4" s="65">
        <f>(1049049.49-Y21)/54*G4</f>
        <v>20701.073333333334</v>
      </c>
      <c r="Z4" s="65">
        <f>IF(B4="FRANCISCO CAMACHO",((G4*42)+(H4*42)),IF(B4="DANILO VIANA",((G4*60)+(H4*60)),IF(B4="ANTONIO MARCUS ALBINO",((G4*60)+(H4*60)),0)))</f>
        <v>240</v>
      </c>
      <c r="AA4" s="65">
        <f>10158.4/100*G4</f>
        <v>406.33600000000001</v>
      </c>
      <c r="AB4" s="65">
        <v>0</v>
      </c>
      <c r="AC4" s="65">
        <f>2937.5/100*G4</f>
        <v>117.5</v>
      </c>
      <c r="AD4" s="65">
        <f>38*G4</f>
        <v>152</v>
      </c>
      <c r="AE4" s="65">
        <f>IF(G4="",H4*4.11,G4*4.11)</f>
        <v>16.440000000000001</v>
      </c>
      <c r="AF4" s="65">
        <f>2098.1/204*G4</f>
        <v>41.139215686274511</v>
      </c>
      <c r="AG4" s="65">
        <f>W4+Z4+AA4+AB4+AC4+AD4+AE4</f>
        <v>20771.28933333333</v>
      </c>
      <c r="AH4" s="65">
        <f>IFERROR(IFERROR((I4*X4*K4/15)-AF4,""),"")</f>
        <v>21758.456117647052</v>
      </c>
      <c r="AI4" s="398">
        <f>IFERROR(AH4-AG4,0)</f>
        <v>987.16678431372202</v>
      </c>
      <c r="AJ4" s="65">
        <f>(AI4/$AI$75)*$AM$24</f>
        <v>161.71969834742197</v>
      </c>
      <c r="AK4" s="65">
        <f>(AI4-AJ4)*70%</f>
        <v>577.81296017641</v>
      </c>
      <c r="AM4" s="166" t="s">
        <v>749</v>
      </c>
      <c r="AN4" s="167">
        <f>AN3/AM3</f>
        <v>2.9343273627562862E-2</v>
      </c>
    </row>
    <row r="5" spans="1:42" ht="15.5" x14ac:dyDescent="0.35">
      <c r="A5" s="20"/>
      <c r="B5" s="21"/>
      <c r="C5" s="21"/>
      <c r="D5" s="21"/>
      <c r="E5" s="395">
        <f>A4</f>
        <v>45319</v>
      </c>
      <c r="G5" s="21"/>
      <c r="H5" s="21"/>
      <c r="I5" s="22"/>
      <c r="J5" s="33"/>
      <c r="K5" s="24" t="str">
        <f>IFERROR(L5/I5,"")</f>
        <v/>
      </c>
      <c r="L5" s="22"/>
      <c r="M5" s="21"/>
      <c r="N5" s="21"/>
      <c r="O5" s="21"/>
      <c r="P5" s="21"/>
      <c r="Q5" s="21"/>
      <c r="R5" s="21"/>
      <c r="S5" s="21"/>
      <c r="T5" s="21"/>
      <c r="U5" s="21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6">
        <f>IFERROR(AI4/G4,0)+IFERROR(AI4/H4,0)</f>
        <v>246.7916960784305</v>
      </c>
      <c r="AJ5" s="25"/>
      <c r="AK5" s="25"/>
      <c r="AN5" s="63"/>
    </row>
    <row r="6" spans="1:42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3"/>
      <c r="AB6" s="21"/>
      <c r="AC6" s="21"/>
      <c r="AD6" s="21"/>
      <c r="AE6" s="21"/>
      <c r="AF6" s="21"/>
      <c r="AG6" s="21"/>
      <c r="AH6" s="21"/>
      <c r="AI6" s="27">
        <f>IFERROR(AI4/AH4,"")</f>
        <v>4.5369339578881562E-2</v>
      </c>
      <c r="AN6" s="63"/>
    </row>
    <row r="7" spans="1:42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7" t="str">
        <f>IFERROR(AI5/AH5,"")</f>
        <v/>
      </c>
      <c r="AM7" s="290">
        <f>G75+H75</f>
        <v>1000</v>
      </c>
      <c r="AN7" s="118" t="s">
        <v>22</v>
      </c>
    </row>
    <row r="8" spans="1:42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47"/>
      <c r="AJ8" s="47"/>
      <c r="AK8" s="47"/>
      <c r="AM8" s="11">
        <f>AI75</f>
        <v>164453.67392666644</v>
      </c>
      <c r="AN8" s="11">
        <f>AM8*30%</f>
        <v>49336.102177999928</v>
      </c>
      <c r="AO8" s="2"/>
    </row>
    <row r="9" spans="1:42" x14ac:dyDescent="0.35">
      <c r="A9" s="14" t="s">
        <v>1</v>
      </c>
      <c r="B9" s="14" t="s">
        <v>2</v>
      </c>
      <c r="C9" s="14" t="s">
        <v>110</v>
      </c>
      <c r="D9" s="14"/>
      <c r="E9" s="14" t="s">
        <v>66</v>
      </c>
      <c r="F9" s="14" t="s">
        <v>638</v>
      </c>
      <c r="G9" s="14" t="s">
        <v>137</v>
      </c>
      <c r="H9" s="14" t="s">
        <v>138</v>
      </c>
      <c r="I9" s="14" t="s">
        <v>4</v>
      </c>
      <c r="J9" s="14" t="s">
        <v>5</v>
      </c>
      <c r="K9" s="14" t="s">
        <v>6</v>
      </c>
      <c r="L9" s="14" t="s">
        <v>7</v>
      </c>
      <c r="M9" s="14" t="s">
        <v>279</v>
      </c>
      <c r="N9" s="14" t="s">
        <v>280</v>
      </c>
      <c r="O9" s="14" t="s">
        <v>281</v>
      </c>
      <c r="P9" s="14" t="s">
        <v>282</v>
      </c>
      <c r="Q9" s="14" t="s">
        <v>283</v>
      </c>
      <c r="R9" s="14" t="s">
        <v>284</v>
      </c>
      <c r="S9" s="14" t="s">
        <v>904</v>
      </c>
      <c r="T9" s="14" t="s">
        <v>285</v>
      </c>
      <c r="U9" s="14" t="s">
        <v>289</v>
      </c>
      <c r="V9" s="14" t="s">
        <v>8</v>
      </c>
      <c r="W9" s="14" t="s">
        <v>9</v>
      </c>
      <c r="X9" s="14" t="s">
        <v>10</v>
      </c>
      <c r="Y9" s="14" t="s">
        <v>100</v>
      </c>
      <c r="Z9" s="14" t="s">
        <v>106</v>
      </c>
      <c r="AA9" s="14" t="s">
        <v>12</v>
      </c>
      <c r="AB9" s="14" t="s">
        <v>258</v>
      </c>
      <c r="AC9" s="14" t="s">
        <v>13</v>
      </c>
      <c r="AD9" s="14" t="s">
        <v>74</v>
      </c>
      <c r="AE9" s="14" t="s">
        <v>21</v>
      </c>
      <c r="AF9" s="14" t="s">
        <v>14</v>
      </c>
      <c r="AG9" s="14" t="s">
        <v>15</v>
      </c>
      <c r="AH9" s="14" t="s">
        <v>16</v>
      </c>
      <c r="AI9" s="15" t="s">
        <v>17</v>
      </c>
      <c r="AJ9" s="14" t="s">
        <v>679</v>
      </c>
      <c r="AK9" s="14" t="s">
        <v>678</v>
      </c>
      <c r="AM9" s="11"/>
      <c r="AN9" s="11"/>
    </row>
    <row r="10" spans="1:42" s="60" customFormat="1" x14ac:dyDescent="0.35">
      <c r="A10" s="138">
        <v>45319</v>
      </c>
      <c r="B10" s="119" t="s">
        <v>419</v>
      </c>
      <c r="C10" s="119" t="s">
        <v>332</v>
      </c>
      <c r="D10" s="119"/>
      <c r="E10" s="145">
        <v>1906229</v>
      </c>
      <c r="F10" s="145" t="s">
        <v>652</v>
      </c>
      <c r="G10" s="119">
        <v>96</v>
      </c>
      <c r="H10" s="119"/>
      <c r="I10" s="260">
        <f>57560/100*G10</f>
        <v>55257.600000000006</v>
      </c>
      <c r="J10" s="396">
        <v>0.55000000000000004</v>
      </c>
      <c r="K10" s="397">
        <f>IFERROR(L10/I10,"")</f>
        <v>0.55728985696085243</v>
      </c>
      <c r="L10" s="260">
        <v>30794.5</v>
      </c>
      <c r="M10" s="119">
        <v>13</v>
      </c>
      <c r="N10" s="119">
        <v>47</v>
      </c>
      <c r="O10" s="119">
        <v>32</v>
      </c>
      <c r="P10" s="119">
        <v>4</v>
      </c>
      <c r="Q10" s="119"/>
      <c r="R10" s="119"/>
      <c r="S10" s="119"/>
      <c r="T10" s="119"/>
      <c r="U10" s="119"/>
      <c r="V10" s="65">
        <v>235</v>
      </c>
      <c r="W10" s="65">
        <f>I10*V10*J10/15</f>
        <v>476136.32000000012</v>
      </c>
      <c r="X10" s="65">
        <v>257.89999999999998</v>
      </c>
      <c r="Y10" s="65">
        <f>(I10*K10/15)*X10</f>
        <v>529460.10333333327</v>
      </c>
      <c r="Z10" s="65">
        <f>IF(B10="FRANCISCO CAMACHO",((G10*42)+(H10*42)),IF(B10="DANILO VIANA",((G10*60)+(H10*60)),IF(B10="ANTONIO MARCUS ALBINO",((G10*60)+(H10*60)),0)))</f>
        <v>5760</v>
      </c>
      <c r="AA10" s="65">
        <f>10158.4/100*G10</f>
        <v>9752.0640000000003</v>
      </c>
      <c r="AB10" s="65">
        <v>0</v>
      </c>
      <c r="AC10" s="65">
        <f>2937.5/100*G10</f>
        <v>2820</v>
      </c>
      <c r="AD10" s="65">
        <f>38*G10</f>
        <v>3648</v>
      </c>
      <c r="AE10" s="65">
        <f>IF(G10="",H10*4.11,G10*4.11)</f>
        <v>394.56000000000006</v>
      </c>
      <c r="AF10" s="65">
        <f>Y10*0.2%</f>
        <v>1058.9202066666667</v>
      </c>
      <c r="AG10" s="65">
        <f>W10+Z10+AA10+AB10+AC10+AD10+AE10</f>
        <v>498510.94400000013</v>
      </c>
      <c r="AH10" s="65">
        <f>IFERROR(IFERROR((I10*X10*K10/15)-AF10,""),"")</f>
        <v>528401.18312666658</v>
      </c>
      <c r="AI10" s="398">
        <f>IFERROR(AH10-AG10,0)</f>
        <v>29890.239126666449</v>
      </c>
      <c r="AJ10" s="65">
        <f>(AI10/$AI$75)*$AM$24</f>
        <v>4896.6806135574061</v>
      </c>
      <c r="AK10" s="65">
        <f>(AI10-AJ10)*70%</f>
        <v>17495.490959176328</v>
      </c>
    </row>
    <row r="11" spans="1:42" ht="15.5" x14ac:dyDescent="0.35">
      <c r="A11" s="20"/>
      <c r="B11" s="21"/>
      <c r="C11" s="21"/>
      <c r="D11" s="21"/>
      <c r="E11" s="395">
        <f>A10</f>
        <v>45319</v>
      </c>
      <c r="F11" s="44"/>
      <c r="G11" s="21"/>
      <c r="H11" s="21"/>
      <c r="I11" s="22"/>
      <c r="J11" s="33"/>
      <c r="K11" s="24" t="str">
        <f>IFERROR(L11/I11,"")</f>
        <v/>
      </c>
      <c r="L11" s="22"/>
      <c r="M11" s="21"/>
      <c r="N11" s="21"/>
      <c r="O11" s="21"/>
      <c r="P11" s="21"/>
      <c r="Q11" s="21"/>
      <c r="R11" s="21"/>
      <c r="S11" s="21"/>
      <c r="T11" s="21"/>
      <c r="U11" s="21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6">
        <f>IFERROR(AI10/G10,0)+IFERROR(AI10/H10,0)</f>
        <v>311.35665756944218</v>
      </c>
      <c r="AJ11" s="25"/>
      <c r="AK11" s="25"/>
      <c r="AM11" s="180" t="s">
        <v>187</v>
      </c>
      <c r="AN11" s="181" t="s">
        <v>680</v>
      </c>
      <c r="AO11" s="191"/>
      <c r="AP11" s="180" t="s">
        <v>1039</v>
      </c>
    </row>
    <row r="12" spans="1:4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3"/>
      <c r="AB12" s="21"/>
      <c r="AC12" s="21"/>
      <c r="AD12" s="21"/>
      <c r="AE12" s="21"/>
      <c r="AF12" s="21"/>
      <c r="AG12" s="21"/>
      <c r="AH12" s="21"/>
      <c r="AI12" s="27">
        <f>IFERROR(AI10/AH10,"")</f>
        <v>5.6567320591144964E-2</v>
      </c>
      <c r="AM12" s="363">
        <v>1500</v>
      </c>
      <c r="AN12" s="218" t="s">
        <v>932</v>
      </c>
      <c r="AO12" s="173"/>
      <c r="AP12" s="302">
        <v>45327</v>
      </c>
    </row>
    <row r="13" spans="1:42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7" t="str">
        <f>IFERROR(AI11/AH11,"")</f>
        <v/>
      </c>
      <c r="AM13" s="362">
        <v>236</v>
      </c>
      <c r="AN13" s="185" t="s">
        <v>931</v>
      </c>
      <c r="AO13" s="174"/>
      <c r="AP13" s="302">
        <v>45321</v>
      </c>
    </row>
    <row r="14" spans="1:42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47"/>
      <c r="AJ14" s="47"/>
      <c r="AK14" s="47"/>
      <c r="AM14" s="362">
        <f>15+850.95+15+850.95+15+850.95+15+850.95</f>
        <v>3463.8</v>
      </c>
      <c r="AN14" s="185" t="s">
        <v>933</v>
      </c>
      <c r="AO14" s="174"/>
      <c r="AP14" s="302">
        <v>45324</v>
      </c>
    </row>
    <row r="15" spans="1:42" x14ac:dyDescent="0.35">
      <c r="A15" s="14" t="s">
        <v>1</v>
      </c>
      <c r="B15" s="14" t="s">
        <v>2</v>
      </c>
      <c r="C15" s="14" t="s">
        <v>110</v>
      </c>
      <c r="D15" s="14"/>
      <c r="E15" s="14" t="s">
        <v>66</v>
      </c>
      <c r="F15" s="14" t="s">
        <v>638</v>
      </c>
      <c r="G15" s="14" t="s">
        <v>137</v>
      </c>
      <c r="H15" s="14" t="s">
        <v>138</v>
      </c>
      <c r="I15" s="14" t="s">
        <v>4</v>
      </c>
      <c r="J15" s="14" t="s">
        <v>5</v>
      </c>
      <c r="K15" s="14" t="s">
        <v>6</v>
      </c>
      <c r="L15" s="14" t="s">
        <v>7</v>
      </c>
      <c r="M15" s="14" t="s">
        <v>279</v>
      </c>
      <c r="N15" s="14" t="s">
        <v>280</v>
      </c>
      <c r="O15" s="14" t="s">
        <v>281</v>
      </c>
      <c r="P15" s="14" t="s">
        <v>282</v>
      </c>
      <c r="Q15" s="14" t="s">
        <v>283</v>
      </c>
      <c r="R15" s="14" t="s">
        <v>284</v>
      </c>
      <c r="S15" s="14" t="s">
        <v>904</v>
      </c>
      <c r="T15" s="14" t="s">
        <v>285</v>
      </c>
      <c r="U15" s="14" t="s">
        <v>289</v>
      </c>
      <c r="V15" s="14" t="s">
        <v>8</v>
      </c>
      <c r="W15" s="14" t="s">
        <v>9</v>
      </c>
      <c r="X15" s="14" t="s">
        <v>10</v>
      </c>
      <c r="Y15" s="14" t="s">
        <v>100</v>
      </c>
      <c r="Z15" s="14" t="s">
        <v>106</v>
      </c>
      <c r="AA15" s="14" t="s">
        <v>12</v>
      </c>
      <c r="AB15" s="14" t="s">
        <v>258</v>
      </c>
      <c r="AC15" s="14" t="s">
        <v>13</v>
      </c>
      <c r="AD15" s="14" t="s">
        <v>74</v>
      </c>
      <c r="AE15" s="14" t="s">
        <v>21</v>
      </c>
      <c r="AF15" s="14" t="s">
        <v>14</v>
      </c>
      <c r="AG15" s="14" t="s">
        <v>15</v>
      </c>
      <c r="AH15" s="14" t="s">
        <v>16</v>
      </c>
      <c r="AI15" s="15" t="s">
        <v>17</v>
      </c>
      <c r="AJ15" s="14" t="s">
        <v>679</v>
      </c>
      <c r="AK15" s="14" t="s">
        <v>678</v>
      </c>
      <c r="AM15" s="362">
        <v>200</v>
      </c>
      <c r="AN15" s="185" t="s">
        <v>934</v>
      </c>
      <c r="AO15" s="174"/>
      <c r="AP15" s="302">
        <v>45324</v>
      </c>
    </row>
    <row r="16" spans="1:42" s="60" customFormat="1" x14ac:dyDescent="0.35">
      <c r="A16" s="138">
        <v>45319</v>
      </c>
      <c r="B16" s="119" t="s">
        <v>419</v>
      </c>
      <c r="C16" s="119" t="s">
        <v>465</v>
      </c>
      <c r="D16" s="119"/>
      <c r="E16" s="145">
        <v>1906215</v>
      </c>
      <c r="F16" s="145" t="s">
        <v>652</v>
      </c>
      <c r="G16" s="119">
        <v>50</v>
      </c>
      <c r="H16" s="119"/>
      <c r="I16" s="260">
        <v>27320</v>
      </c>
      <c r="J16" s="396">
        <v>0.53</v>
      </c>
      <c r="K16" s="397">
        <f>IFERROR(L16/I16,"")</f>
        <v>0.55247071742313325</v>
      </c>
      <c r="L16" s="260">
        <v>15093.5</v>
      </c>
      <c r="M16" s="119">
        <v>16</v>
      </c>
      <c r="N16" s="119">
        <v>26</v>
      </c>
      <c r="O16" s="119">
        <v>8</v>
      </c>
      <c r="P16" s="119"/>
      <c r="Q16" s="119"/>
      <c r="R16" s="119"/>
      <c r="S16" s="119"/>
      <c r="T16" s="119"/>
      <c r="U16" s="119"/>
      <c r="V16" s="65">
        <v>230</v>
      </c>
      <c r="W16" s="65">
        <f>I16*V16*J16/15</f>
        <v>222020.53333333333</v>
      </c>
      <c r="X16" s="65">
        <v>257.77999999999997</v>
      </c>
      <c r="Y16" s="65">
        <f>(1049049.49-Y21)/54*G16</f>
        <v>258763.41666666669</v>
      </c>
      <c r="Z16" s="65">
        <f>IF(B16="FRANCISCO CAMACHO",((G16*42)+(H16*42)),IF(B16="DANILO VIANA",((G16*60)+(H16*60)),IF(B16="ANTONIO MARCUS ALBINO",((G16*60)+(H16*60)),0)))</f>
        <v>3000</v>
      </c>
      <c r="AA16" s="65">
        <f>16514</f>
        <v>16514</v>
      </c>
      <c r="AB16" s="65">
        <v>0</v>
      </c>
      <c r="AC16" s="65">
        <v>1437.5</v>
      </c>
      <c r="AD16" s="65">
        <f>38*G16</f>
        <v>1900</v>
      </c>
      <c r="AE16" s="65">
        <f>IF(G16="",H16*4.11,G16*4.11)</f>
        <v>205.50000000000003</v>
      </c>
      <c r="AF16" s="65">
        <f>2098.1/204*G16</f>
        <v>514.24019607843138</v>
      </c>
      <c r="AG16" s="65">
        <f>W16+Z16+AA16+AB16+AC16+AD16+AE16</f>
        <v>245077.53333333333</v>
      </c>
      <c r="AH16" s="65">
        <f>IFERROR(IFERROR((I16*X16*K16/15)-AF16,""),"")</f>
        <v>258872.58847058821</v>
      </c>
      <c r="AI16" s="398">
        <f>IFERROR(AH16-AG16,0)</f>
        <v>13795.05513725488</v>
      </c>
      <c r="AJ16" s="65">
        <f>(AI16/$AI$75)*$AM$24</f>
        <v>2259.9343808289254</v>
      </c>
      <c r="AK16" s="65">
        <f>(AI16-AJ16)*70%</f>
        <v>8074.5845294981682</v>
      </c>
      <c r="AM16" s="399">
        <v>670</v>
      </c>
      <c r="AN16" s="400" t="s">
        <v>935</v>
      </c>
      <c r="AO16" s="401"/>
      <c r="AP16" s="402">
        <v>45322</v>
      </c>
    </row>
    <row r="17" spans="1:42" ht="15.5" x14ac:dyDescent="0.35">
      <c r="A17" s="21"/>
      <c r="B17" s="21"/>
      <c r="C17" s="21"/>
      <c r="D17" s="21"/>
      <c r="E17" s="395">
        <f>A16</f>
        <v>45319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3"/>
      <c r="AB17" s="21"/>
      <c r="AC17" s="21"/>
      <c r="AD17" s="21"/>
      <c r="AE17" s="21"/>
      <c r="AF17" s="21"/>
      <c r="AG17" s="21"/>
      <c r="AH17" s="21"/>
      <c r="AI17" s="26">
        <f>IFERROR(AI16/G16,0)+IFERROR(AI16/H16,0)</f>
        <v>275.9011027450976</v>
      </c>
      <c r="AM17" s="362">
        <v>1200</v>
      </c>
      <c r="AN17" s="185" t="s">
        <v>936</v>
      </c>
      <c r="AO17" s="174"/>
      <c r="AP17" s="302">
        <v>45322</v>
      </c>
    </row>
    <row r="18" spans="1:42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7">
        <f>IFERROR(AI16/AH16,"")</f>
        <v>5.3288975935056195E-2</v>
      </c>
      <c r="AM18" s="362">
        <v>15000</v>
      </c>
      <c r="AN18" s="185" t="s">
        <v>937</v>
      </c>
      <c r="AO18" s="174"/>
      <c r="AP18" s="302">
        <v>45321</v>
      </c>
    </row>
    <row r="19" spans="1:42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47"/>
      <c r="AM19" s="362">
        <v>800</v>
      </c>
      <c r="AN19" s="185" t="s">
        <v>946</v>
      </c>
      <c r="AO19" s="174"/>
      <c r="AP19" s="302">
        <v>45323</v>
      </c>
    </row>
    <row r="20" spans="1:42" x14ac:dyDescent="0.35">
      <c r="A20" s="14" t="s">
        <v>1</v>
      </c>
      <c r="B20" s="14" t="s">
        <v>2</v>
      </c>
      <c r="C20" s="14" t="s">
        <v>110</v>
      </c>
      <c r="D20" s="14"/>
      <c r="E20" s="14" t="s">
        <v>66</v>
      </c>
      <c r="F20" s="14" t="s">
        <v>638</v>
      </c>
      <c r="G20" s="14" t="s">
        <v>137</v>
      </c>
      <c r="H20" s="14" t="s">
        <v>138</v>
      </c>
      <c r="I20" s="14" t="s">
        <v>4</v>
      </c>
      <c r="J20" s="14" t="s">
        <v>5</v>
      </c>
      <c r="K20" s="14" t="s">
        <v>6</v>
      </c>
      <c r="L20" s="14" t="s">
        <v>7</v>
      </c>
      <c r="M20" s="14" t="s">
        <v>279</v>
      </c>
      <c r="N20" s="14" t="s">
        <v>280</v>
      </c>
      <c r="O20" s="14" t="s">
        <v>281</v>
      </c>
      <c r="P20" s="14" t="s">
        <v>282</v>
      </c>
      <c r="Q20" s="14" t="s">
        <v>283</v>
      </c>
      <c r="R20" s="14" t="s">
        <v>284</v>
      </c>
      <c r="S20" s="14" t="s">
        <v>904</v>
      </c>
      <c r="T20" s="14" t="s">
        <v>285</v>
      </c>
      <c r="U20" s="14" t="s">
        <v>289</v>
      </c>
      <c r="V20" s="14" t="s">
        <v>8</v>
      </c>
      <c r="W20" s="14" t="s">
        <v>9</v>
      </c>
      <c r="X20" s="14" t="s">
        <v>10</v>
      </c>
      <c r="Y20" s="14" t="s">
        <v>100</v>
      </c>
      <c r="Z20" s="14" t="s">
        <v>106</v>
      </c>
      <c r="AA20" s="14" t="s">
        <v>12</v>
      </c>
      <c r="AB20" s="14" t="s">
        <v>258</v>
      </c>
      <c r="AC20" s="14" t="s">
        <v>13</v>
      </c>
      <c r="AD20" s="14" t="s">
        <v>74</v>
      </c>
      <c r="AE20" s="14" t="s">
        <v>21</v>
      </c>
      <c r="AF20" s="14" t="s">
        <v>14</v>
      </c>
      <c r="AG20" s="14" t="s">
        <v>15</v>
      </c>
      <c r="AH20" s="14" t="s">
        <v>16</v>
      </c>
      <c r="AI20" s="15" t="s">
        <v>17</v>
      </c>
      <c r="AJ20" s="14" t="s">
        <v>679</v>
      </c>
      <c r="AK20" s="14" t="s">
        <v>678</v>
      </c>
      <c r="AM20" s="178">
        <v>450.32</v>
      </c>
      <c r="AN20" s="185" t="s">
        <v>1040</v>
      </c>
      <c r="AO20" s="174"/>
      <c r="AP20" s="302">
        <v>45294</v>
      </c>
    </row>
    <row r="21" spans="1:42" s="60" customFormat="1" x14ac:dyDescent="0.35">
      <c r="A21" s="138">
        <v>44955</v>
      </c>
      <c r="B21" s="119" t="s">
        <v>903</v>
      </c>
      <c r="C21" s="119" t="s">
        <v>902</v>
      </c>
      <c r="D21" s="119"/>
      <c r="E21" s="145">
        <v>1906215</v>
      </c>
      <c r="F21" s="145" t="s">
        <v>652</v>
      </c>
      <c r="G21" s="119">
        <v>150</v>
      </c>
      <c r="H21" s="119"/>
      <c r="I21" s="260">
        <v>82240</v>
      </c>
      <c r="J21" s="396">
        <v>0.55000000000000004</v>
      </c>
      <c r="K21" s="397">
        <f>IFERROR(L21/I21,"")</f>
        <v>0.54452213035019459</v>
      </c>
      <c r="L21" s="260">
        <v>44781.5</v>
      </c>
      <c r="M21" s="119">
        <v>35</v>
      </c>
      <c r="N21" s="119">
        <v>86</v>
      </c>
      <c r="O21" s="119">
        <v>29</v>
      </c>
      <c r="P21" s="119"/>
      <c r="Q21" s="119"/>
      <c r="R21" s="119"/>
      <c r="S21" s="119"/>
      <c r="T21" s="119"/>
      <c r="U21" s="119"/>
      <c r="V21" s="65">
        <v>241.5</v>
      </c>
      <c r="W21" s="65">
        <f>I21*V21*J21/15</f>
        <v>728235.2</v>
      </c>
      <c r="X21" s="65">
        <v>257.77999999999997</v>
      </c>
      <c r="Y21" s="65">
        <v>769585</v>
      </c>
      <c r="Z21" s="65">
        <f>IF(B21="FRANCISCO CAMACHO",((G21*42)+(H21*42)),IF(B21="DANILO VIANA",((G21*60)+(H21*60)),IF(B21="ANTONIO MARCUS ALBINO",((G21*60)+(H21*60)),0)))</f>
        <v>0</v>
      </c>
      <c r="AA21" s="65">
        <f>2736.8+5473.6</f>
        <v>8210.4000000000015</v>
      </c>
      <c r="AB21" s="65">
        <v>0</v>
      </c>
      <c r="AC21" s="65">
        <v>4528.13</v>
      </c>
      <c r="AD21" s="65">
        <v>0</v>
      </c>
      <c r="AE21" s="65">
        <f>IF(G21="",H21*4.11,G21*4.11)</f>
        <v>616.5</v>
      </c>
      <c r="AF21" s="65">
        <f>2098.1/204*G21</f>
        <v>1542.7205882352941</v>
      </c>
      <c r="AG21" s="65">
        <f>W21+Z21+AA21+AB21+AC21+AD21+AE21</f>
        <v>741590.23</v>
      </c>
      <c r="AH21" s="65">
        <f>IFERROR(IFERROR((I21*X21*K21/15)-AF21,""),"")</f>
        <v>768042.28407843143</v>
      </c>
      <c r="AI21" s="398">
        <f>IFERROR(AH21-AG21,0)</f>
        <v>26452.054078431451</v>
      </c>
      <c r="AJ21" s="65">
        <f>(AI21/$AI$75)*$AM$24</f>
        <v>4333.4300487101227</v>
      </c>
      <c r="AK21" s="65">
        <f>(AI21-AJ21)*70%</f>
        <v>15483.036820804929</v>
      </c>
      <c r="AM21" s="403">
        <v>2971.02</v>
      </c>
      <c r="AN21" s="400" t="s">
        <v>1041</v>
      </c>
      <c r="AO21" s="404"/>
      <c r="AP21" s="402">
        <v>45294</v>
      </c>
    </row>
    <row r="22" spans="1:42" ht="15.5" x14ac:dyDescent="0.35">
      <c r="A22" s="21"/>
      <c r="B22" s="21"/>
      <c r="C22" s="21"/>
      <c r="D22" s="21"/>
      <c r="E22" s="395">
        <f>A21</f>
        <v>44955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5"/>
      <c r="Z22" s="21"/>
      <c r="AA22" s="3"/>
      <c r="AB22" s="21"/>
      <c r="AC22" s="21"/>
      <c r="AD22" s="21"/>
      <c r="AE22" s="21"/>
      <c r="AF22" s="21"/>
      <c r="AG22" s="21"/>
      <c r="AH22" s="21"/>
      <c r="AI22" s="26">
        <f>IFERROR(AI21/G21,0)+IFERROR(AI21/H21,0)</f>
        <v>176.34702718954301</v>
      </c>
      <c r="AM22" s="178">
        <v>450</v>
      </c>
      <c r="AN22" s="185" t="s">
        <v>1042</v>
      </c>
      <c r="AO22" s="174"/>
      <c r="AP22" s="302">
        <v>45294</v>
      </c>
    </row>
    <row r="23" spans="1:4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7">
        <f>IFERROR(AI21/AH21,"")</f>
        <v>3.4440882522726056E-2</v>
      </c>
      <c r="AM23" s="178"/>
      <c r="AN23" s="296"/>
      <c r="AO23" s="176"/>
      <c r="AP23" s="367"/>
    </row>
    <row r="24" spans="1:42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47"/>
      <c r="AM24" s="214">
        <f>SUM(AM12:AM23)</f>
        <v>26941.14</v>
      </c>
      <c r="AN24" s="189" t="s">
        <v>673</v>
      </c>
      <c r="AO24" s="191"/>
      <c r="AP24" s="297"/>
    </row>
    <row r="25" spans="1:42" x14ac:dyDescent="0.35">
      <c r="A25" s="14" t="s">
        <v>1</v>
      </c>
      <c r="B25" s="14" t="s">
        <v>2</v>
      </c>
      <c r="C25" s="14" t="s">
        <v>110</v>
      </c>
      <c r="D25" s="14"/>
      <c r="E25" s="14" t="s">
        <v>66</v>
      </c>
      <c r="F25" s="14" t="s">
        <v>638</v>
      </c>
      <c r="G25" s="14" t="s">
        <v>137</v>
      </c>
      <c r="H25" s="14" t="s">
        <v>138</v>
      </c>
      <c r="I25" s="14" t="s">
        <v>4</v>
      </c>
      <c r="J25" s="14" t="s">
        <v>5</v>
      </c>
      <c r="K25" s="14" t="s">
        <v>6</v>
      </c>
      <c r="L25" s="14" t="s">
        <v>7</v>
      </c>
      <c r="M25" s="14" t="s">
        <v>279</v>
      </c>
      <c r="N25" s="14" t="s">
        <v>280</v>
      </c>
      <c r="O25" s="14" t="s">
        <v>281</v>
      </c>
      <c r="P25" s="14" t="s">
        <v>282</v>
      </c>
      <c r="Q25" s="14" t="s">
        <v>283</v>
      </c>
      <c r="R25" s="14" t="s">
        <v>284</v>
      </c>
      <c r="S25" s="14" t="s">
        <v>904</v>
      </c>
      <c r="T25" s="14" t="s">
        <v>285</v>
      </c>
      <c r="U25" s="14" t="s">
        <v>289</v>
      </c>
      <c r="V25" s="14" t="s">
        <v>8</v>
      </c>
      <c r="W25" s="14" t="s">
        <v>9</v>
      </c>
      <c r="X25" s="14" t="s">
        <v>10</v>
      </c>
      <c r="Y25" s="14" t="s">
        <v>100</v>
      </c>
      <c r="Z25" s="14" t="s">
        <v>106</v>
      </c>
      <c r="AA25" s="14" t="s">
        <v>12</v>
      </c>
      <c r="AB25" s="14" t="s">
        <v>258</v>
      </c>
      <c r="AC25" s="14" t="s">
        <v>13</v>
      </c>
      <c r="AD25" s="14" t="s">
        <v>74</v>
      </c>
      <c r="AE25" s="14" t="s">
        <v>21</v>
      </c>
      <c r="AF25" s="14" t="s">
        <v>14</v>
      </c>
      <c r="AG25" s="14" t="s">
        <v>15</v>
      </c>
      <c r="AH25" s="14" t="s">
        <v>16</v>
      </c>
      <c r="AI25" s="15" t="s">
        <v>17</v>
      </c>
      <c r="AJ25" s="14" t="s">
        <v>679</v>
      </c>
      <c r="AK25" s="14" t="s">
        <v>678</v>
      </c>
      <c r="AM25" s="57"/>
      <c r="AN25" s="6"/>
    </row>
    <row r="26" spans="1:42" x14ac:dyDescent="0.35">
      <c r="A26" s="38">
        <v>45321</v>
      </c>
      <c r="B26" s="270" t="s">
        <v>907</v>
      </c>
      <c r="C26" s="39" t="s">
        <v>902</v>
      </c>
      <c r="D26" s="39"/>
      <c r="E26" s="45">
        <v>1906229</v>
      </c>
      <c r="F26" s="45" t="s">
        <v>652</v>
      </c>
      <c r="G26" s="39">
        <v>50</v>
      </c>
      <c r="H26" s="39"/>
      <c r="I26" s="40">
        <v>24910</v>
      </c>
      <c r="J26" s="53">
        <v>0.55000000000000004</v>
      </c>
      <c r="K26" s="42">
        <f>IFERROR(L26/I26,"")</f>
        <v>0.55236852669610603</v>
      </c>
      <c r="L26" s="40">
        <v>13759.5</v>
      </c>
      <c r="M26" s="39">
        <v>5</v>
      </c>
      <c r="N26" s="39">
        <v>35</v>
      </c>
      <c r="O26" s="39">
        <v>10</v>
      </c>
      <c r="P26" s="39"/>
      <c r="Q26" s="39"/>
      <c r="R26" s="39"/>
      <c r="S26" s="39"/>
      <c r="T26" s="39"/>
      <c r="U26" s="39"/>
      <c r="V26" s="43">
        <v>241.5</v>
      </c>
      <c r="W26" s="43">
        <f>I26*V26*J26/15</f>
        <v>220578.05000000002</v>
      </c>
      <c r="X26" s="43">
        <v>257.89999999999998</v>
      </c>
      <c r="Y26" s="43">
        <f>(I26*K26/15)*X26</f>
        <v>236571.66999999998</v>
      </c>
      <c r="Z26" s="43">
        <f>IF(B26="FRANCISCO CAMACHO",((G26*42)+(H26*42)),IF(B26="DANILO VIANA",((G26*60)+(H26*60)),IF(B26="ANTONIO MARCUS ALBINO",((G26*60)+(H26*60)),0)))</f>
        <v>0</v>
      </c>
      <c r="AA26" s="43">
        <f>5473.6/100*G26</f>
        <v>2736.8</v>
      </c>
      <c r="AB26" s="43">
        <v>0</v>
      </c>
      <c r="AC26" s="43">
        <v>1509.38</v>
      </c>
      <c r="AD26" s="43">
        <v>0</v>
      </c>
      <c r="AE26" s="43">
        <f>IF(G26="",H26*4.11,G26*4.11)</f>
        <v>205.50000000000003</v>
      </c>
      <c r="AF26" s="43">
        <f>Y26*0.2%</f>
        <v>473.14333999999997</v>
      </c>
      <c r="AG26" s="43">
        <f>W26+Z26+AA26+AB26+AC26+AD26+AE26</f>
        <v>225029.73</v>
      </c>
      <c r="AH26" s="43">
        <f>IFERROR(IFERROR((I26*X26*K26/15)-AF26,""),"")</f>
        <v>236098.52665999997</v>
      </c>
      <c r="AI26" s="43">
        <f>IFERROR(AH26-AG26,0)</f>
        <v>11068.796659999964</v>
      </c>
      <c r="AJ26" s="25">
        <f>(AI26/$AI$75)*$AM$24</f>
        <v>1813.3130949787605</v>
      </c>
      <c r="AK26" s="25">
        <f>(AI26-AJ26)*70%</f>
        <v>6478.8384955148413</v>
      </c>
    </row>
    <row r="27" spans="1:42" s="60" customFormat="1" ht="15.5" x14ac:dyDescent="0.35">
      <c r="A27" s="119"/>
      <c r="B27" s="119"/>
      <c r="C27" s="119"/>
      <c r="D27" s="119"/>
      <c r="E27" s="405">
        <f>A26</f>
        <v>45321</v>
      </c>
      <c r="F27" s="119"/>
      <c r="G27" s="119"/>
      <c r="H27" s="119"/>
      <c r="I27" s="119"/>
      <c r="J27" s="119"/>
      <c r="K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65"/>
      <c r="Z27" s="119"/>
      <c r="AA27" s="406"/>
      <c r="AB27" s="119"/>
      <c r="AC27" s="119"/>
      <c r="AD27" s="119"/>
      <c r="AE27" s="119"/>
      <c r="AF27" s="65"/>
      <c r="AG27" s="65"/>
      <c r="AH27" s="65">
        <f>Y27-AF27</f>
        <v>0</v>
      </c>
      <c r="AI27" s="398">
        <f>IFERROR(AI26/G26,0)+IFERROR(AI26/H26,0)</f>
        <v>221.37593319999928</v>
      </c>
      <c r="AJ27" s="119"/>
      <c r="AK27" s="119"/>
    </row>
    <row r="28" spans="1:42" x14ac:dyDescent="0.3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5"/>
      <c r="Z28" s="21"/>
      <c r="AA28" s="21"/>
      <c r="AB28" s="21"/>
      <c r="AC28" s="21"/>
      <c r="AD28" s="21"/>
      <c r="AE28" s="21"/>
      <c r="AF28" s="21"/>
      <c r="AG28" s="21"/>
      <c r="AH28" s="21"/>
      <c r="AI28" s="27">
        <f>IFERROR(AI26/AH26,"")</f>
        <v>4.6882108146061759E-2</v>
      </c>
      <c r="AM28" s="57"/>
      <c r="AN28" s="118" t="s">
        <v>22</v>
      </c>
      <c r="AO28" s="12"/>
    </row>
    <row r="29" spans="1:42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47"/>
      <c r="AM29" s="253">
        <f>AM8-AM24</f>
        <v>137512.53392666642</v>
      </c>
      <c r="AN29" s="248">
        <f>AM29*30%</f>
        <v>41253.760177999924</v>
      </c>
      <c r="AO29" s="12"/>
    </row>
    <row r="30" spans="1:42" x14ac:dyDescent="0.35">
      <c r="A30" s="14" t="s">
        <v>1</v>
      </c>
      <c r="B30" s="14" t="s">
        <v>2</v>
      </c>
      <c r="C30" s="14" t="s">
        <v>110</v>
      </c>
      <c r="D30" s="14"/>
      <c r="E30" s="14" t="s">
        <v>66</v>
      </c>
      <c r="F30" s="14" t="s">
        <v>638</v>
      </c>
      <c r="G30" s="14" t="s">
        <v>137</v>
      </c>
      <c r="H30" s="14" t="s">
        <v>138</v>
      </c>
      <c r="I30" s="14" t="s">
        <v>4</v>
      </c>
      <c r="J30" s="14" t="s">
        <v>5</v>
      </c>
      <c r="K30" s="14" t="s">
        <v>6</v>
      </c>
      <c r="L30" s="14" t="s">
        <v>7</v>
      </c>
      <c r="M30" s="14" t="s">
        <v>279</v>
      </c>
      <c r="N30" s="14" t="s">
        <v>280</v>
      </c>
      <c r="O30" s="14" t="s">
        <v>281</v>
      </c>
      <c r="P30" s="14" t="s">
        <v>282</v>
      </c>
      <c r="Q30" s="14" t="s">
        <v>283</v>
      </c>
      <c r="R30" s="14" t="s">
        <v>284</v>
      </c>
      <c r="S30" s="14" t="s">
        <v>904</v>
      </c>
      <c r="T30" s="14" t="s">
        <v>285</v>
      </c>
      <c r="U30" s="14" t="s">
        <v>289</v>
      </c>
      <c r="V30" s="14" t="s">
        <v>8</v>
      </c>
      <c r="W30" s="14" t="s">
        <v>9</v>
      </c>
      <c r="X30" s="14" t="s">
        <v>10</v>
      </c>
      <c r="Y30" s="14" t="s">
        <v>100</v>
      </c>
      <c r="Z30" s="14" t="s">
        <v>106</v>
      </c>
      <c r="AA30" s="14" t="s">
        <v>12</v>
      </c>
      <c r="AB30" s="14" t="s">
        <v>258</v>
      </c>
      <c r="AC30" s="14" t="s">
        <v>13</v>
      </c>
      <c r="AD30" s="14" t="s">
        <v>74</v>
      </c>
      <c r="AE30" s="14" t="s">
        <v>21</v>
      </c>
      <c r="AF30" s="14" t="s">
        <v>14</v>
      </c>
      <c r="AG30" s="14" t="s">
        <v>15</v>
      </c>
      <c r="AH30" s="14" t="s">
        <v>16</v>
      </c>
      <c r="AI30" s="15" t="s">
        <v>17</v>
      </c>
      <c r="AJ30" s="14" t="s">
        <v>679</v>
      </c>
      <c r="AK30" s="14" t="s">
        <v>678</v>
      </c>
      <c r="AM30" s="57"/>
      <c r="AN30" s="249"/>
      <c r="AO30" s="246"/>
    </row>
    <row r="31" spans="1:42" x14ac:dyDescent="0.35">
      <c r="A31" s="38">
        <v>45321</v>
      </c>
      <c r="B31" s="270" t="s">
        <v>907</v>
      </c>
      <c r="C31" s="39" t="s">
        <v>902</v>
      </c>
      <c r="D31" s="39"/>
      <c r="E31" s="45">
        <v>1906229</v>
      </c>
      <c r="F31" s="45" t="s">
        <v>652</v>
      </c>
      <c r="G31" s="39">
        <v>50</v>
      </c>
      <c r="H31" s="39"/>
      <c r="I31" s="40">
        <v>23660</v>
      </c>
      <c r="J31" s="53">
        <v>0.54</v>
      </c>
      <c r="K31" s="42">
        <f>IFERROR(L31/I31,"")</f>
        <v>0.50720625528317831</v>
      </c>
      <c r="L31" s="40">
        <v>12000.5</v>
      </c>
      <c r="M31" s="39">
        <v>4</v>
      </c>
      <c r="N31" s="39">
        <v>35</v>
      </c>
      <c r="O31" s="39">
        <v>11</v>
      </c>
      <c r="P31" s="39"/>
      <c r="Q31" s="39"/>
      <c r="R31" s="39"/>
      <c r="S31" s="39"/>
      <c r="T31" s="39"/>
      <c r="U31" s="39"/>
      <c r="V31" s="43">
        <v>240</v>
      </c>
      <c r="W31" s="43">
        <f>I31*V31*J31/15</f>
        <v>204422.39999999999</v>
      </c>
      <c r="X31" s="43">
        <v>257.89999999999998</v>
      </c>
      <c r="Y31" s="43">
        <f>(I31*K31/15)*X31</f>
        <v>206328.59666666662</v>
      </c>
      <c r="Z31" s="43">
        <f>IF(B31="FRANCISCO CAMACHO",((G31*42)+(H31*42)),IF(B31="DANILO VIANA",((G31*60)+(H31*60)),IF(B31="ANTONIO MARCUS ALBINO",((G31*60)+(H31*60)),0)))</f>
        <v>0</v>
      </c>
      <c r="AA31" s="43">
        <f>5473.6/100*G31</f>
        <v>2736.8</v>
      </c>
      <c r="AB31" s="43">
        <v>0</v>
      </c>
      <c r="AC31" s="43">
        <f>1500</f>
        <v>1500</v>
      </c>
      <c r="AD31" s="43">
        <v>0</v>
      </c>
      <c r="AE31" s="43">
        <f>IF(G31="",H31*4.11,G31*4.11)</f>
        <v>205.50000000000003</v>
      </c>
      <c r="AF31" s="43">
        <f>Y31*0.2%</f>
        <v>412.65719333333323</v>
      </c>
      <c r="AG31" s="43">
        <f>W31+Z31+AA31+AB31+AC31+AD31+AE31</f>
        <v>208864.69999999998</v>
      </c>
      <c r="AH31" s="43">
        <f>IFERROR(IFERROR((I31*X31*K31/15)-AF31,""),"")</f>
        <v>205915.93947333327</v>
      </c>
      <c r="AI31" s="273">
        <f>IFERROR(AH31-AG31,0)</f>
        <v>-2948.7605266667088</v>
      </c>
      <c r="AJ31" s="25">
        <f>(AI31/$AI$75)*$AM$24</f>
        <v>-483.07203042983969</v>
      </c>
      <c r="AK31" s="25">
        <f>(AI31-AJ31)*70%</f>
        <v>-1725.9819473658083</v>
      </c>
      <c r="AM31" s="57"/>
      <c r="AN31" s="248">
        <v>-7592.85</v>
      </c>
      <c r="AO31" s="1" t="s">
        <v>939</v>
      </c>
    </row>
    <row r="32" spans="1:42" s="60" customFormat="1" ht="15.5" x14ac:dyDescent="0.35">
      <c r="A32" s="119"/>
      <c r="B32" s="119"/>
      <c r="C32" s="119"/>
      <c r="D32" s="119"/>
      <c r="E32" s="405">
        <f>A31</f>
        <v>45321</v>
      </c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65"/>
      <c r="Z32" s="119"/>
      <c r="AA32" s="406"/>
      <c r="AB32" s="119"/>
      <c r="AC32" s="119"/>
      <c r="AD32" s="119"/>
      <c r="AE32" s="119"/>
      <c r="AF32" s="65"/>
      <c r="AG32" s="65"/>
      <c r="AH32" s="65"/>
      <c r="AI32" s="398">
        <f>IFERROR(AI31/G31,0)+IFERROR(AI31/H31,0)</f>
        <v>-58.975210533334177</v>
      </c>
      <c r="AJ32" s="119"/>
      <c r="AK32" s="119"/>
    </row>
    <row r="33" spans="1:41" x14ac:dyDescent="0.3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5"/>
      <c r="Z33" s="21"/>
      <c r="AA33" s="21"/>
      <c r="AB33" s="21"/>
      <c r="AC33" s="21"/>
      <c r="AD33" s="21"/>
      <c r="AE33" s="21"/>
      <c r="AF33" s="21"/>
      <c r="AG33" s="21"/>
      <c r="AH33" s="25"/>
      <c r="AI33" s="27">
        <f>IFERROR(AI31/AH31,"")</f>
        <v>-1.4320215007195118E-2</v>
      </c>
      <c r="AN33" s="268">
        <f>AN29+(AN31)</f>
        <v>33660.910177999926</v>
      </c>
      <c r="AO33" s="269" t="s">
        <v>1044</v>
      </c>
    </row>
    <row r="34" spans="1:41" x14ac:dyDescent="0.3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47"/>
      <c r="AN34" s="265">
        <v>35405.730000000003</v>
      </c>
      <c r="AO34" s="284" t="s">
        <v>972</v>
      </c>
    </row>
    <row r="35" spans="1:41" x14ac:dyDescent="0.35">
      <c r="A35" s="14" t="s">
        <v>1</v>
      </c>
      <c r="B35" s="14" t="s">
        <v>2</v>
      </c>
      <c r="C35" s="14" t="s">
        <v>110</v>
      </c>
      <c r="D35" s="14"/>
      <c r="E35" s="14" t="s">
        <v>66</v>
      </c>
      <c r="F35" s="14" t="s">
        <v>638</v>
      </c>
      <c r="G35" s="14" t="s">
        <v>137</v>
      </c>
      <c r="H35" s="14" t="s">
        <v>138</v>
      </c>
      <c r="I35" s="14" t="s">
        <v>4</v>
      </c>
      <c r="J35" s="14" t="s">
        <v>5</v>
      </c>
      <c r="K35" s="14" t="s">
        <v>6</v>
      </c>
      <c r="L35" s="14" t="s">
        <v>7</v>
      </c>
      <c r="M35" s="14" t="s">
        <v>279</v>
      </c>
      <c r="N35" s="14" t="s">
        <v>280</v>
      </c>
      <c r="O35" s="14" t="s">
        <v>281</v>
      </c>
      <c r="P35" s="14" t="s">
        <v>282</v>
      </c>
      <c r="Q35" s="14" t="s">
        <v>283</v>
      </c>
      <c r="R35" s="14" t="s">
        <v>284</v>
      </c>
      <c r="S35" s="14" t="s">
        <v>904</v>
      </c>
      <c r="T35" s="14" t="s">
        <v>285</v>
      </c>
      <c r="U35" s="14" t="s">
        <v>289</v>
      </c>
      <c r="V35" s="14" t="s">
        <v>8</v>
      </c>
      <c r="W35" s="14" t="s">
        <v>9</v>
      </c>
      <c r="X35" s="14" t="s">
        <v>10</v>
      </c>
      <c r="Y35" s="14" t="s">
        <v>100</v>
      </c>
      <c r="Z35" s="14" t="s">
        <v>106</v>
      </c>
      <c r="AA35" s="14" t="s">
        <v>12</v>
      </c>
      <c r="AB35" s="14" t="s">
        <v>258</v>
      </c>
      <c r="AC35" s="14" t="s">
        <v>13</v>
      </c>
      <c r="AD35" s="14" t="s">
        <v>74</v>
      </c>
      <c r="AE35" s="14" t="s">
        <v>21</v>
      </c>
      <c r="AF35" s="14" t="s">
        <v>14</v>
      </c>
      <c r="AG35" s="14" t="s">
        <v>15</v>
      </c>
      <c r="AH35" s="14" t="s">
        <v>16</v>
      </c>
      <c r="AI35" s="15" t="s">
        <v>17</v>
      </c>
      <c r="AJ35" s="14" t="s">
        <v>679</v>
      </c>
      <c r="AK35" s="14" t="s">
        <v>678</v>
      </c>
      <c r="AN35" s="313">
        <f>AN33-AN34</f>
        <v>-1744.8198220000777</v>
      </c>
      <c r="AO35" s="314" t="s">
        <v>1043</v>
      </c>
    </row>
    <row r="36" spans="1:41" s="60" customFormat="1" x14ac:dyDescent="0.35">
      <c r="A36" s="138">
        <v>45321</v>
      </c>
      <c r="B36" s="407" t="s">
        <v>905</v>
      </c>
      <c r="C36" s="119" t="s">
        <v>906</v>
      </c>
      <c r="D36" s="119"/>
      <c r="E36" s="145">
        <v>1912948</v>
      </c>
      <c r="F36" s="145" t="s">
        <v>652</v>
      </c>
      <c r="G36" s="119">
        <v>300</v>
      </c>
      <c r="H36" s="119"/>
      <c r="I36" s="260">
        <v>150540</v>
      </c>
      <c r="J36" s="396">
        <v>0.54</v>
      </c>
      <c r="K36" s="397">
        <f>IFERROR(L36/I36,"")</f>
        <v>0.5625747309685134</v>
      </c>
      <c r="L36" s="260">
        <v>84690</v>
      </c>
      <c r="M36" s="119">
        <v>93</v>
      </c>
      <c r="N36" s="119">
        <v>184</v>
      </c>
      <c r="O36" s="119">
        <v>21</v>
      </c>
      <c r="P36" s="119">
        <v>2</v>
      </c>
      <c r="Q36" s="119"/>
      <c r="R36" s="119"/>
      <c r="S36" s="119"/>
      <c r="T36" s="119"/>
      <c r="U36" s="119"/>
      <c r="V36" s="65">
        <v>235</v>
      </c>
      <c r="W36" s="65">
        <f>I36*V36*J36/15</f>
        <v>1273568.3999999999</v>
      </c>
      <c r="X36" s="65">
        <v>255.87</v>
      </c>
      <c r="Y36" s="65">
        <v>1444619.03</v>
      </c>
      <c r="Z36" s="65">
        <f>G36*60</f>
        <v>18000</v>
      </c>
      <c r="AA36" s="65">
        <f>(17908.9+18080.4+18096)/300*G36</f>
        <v>54085.3</v>
      </c>
      <c r="AB36" s="65">
        <v>0</v>
      </c>
      <c r="AC36" s="65">
        <v>8812.5</v>
      </c>
      <c r="AD36" s="65">
        <f>38*G36</f>
        <v>11400</v>
      </c>
      <c r="AE36" s="65">
        <f>IF(G36="",H36*4.11,G36*4.11)</f>
        <v>1233</v>
      </c>
      <c r="AF36" s="65">
        <v>2889.24</v>
      </c>
      <c r="AG36" s="65">
        <f>W36+Z36+AA36+AB36+AC36+AD36+AE36</f>
        <v>1367099.2</v>
      </c>
      <c r="AH36" s="65">
        <f>IFERROR(IFERROR((I36*X36*K36/15)-AF36,""),"")</f>
        <v>1441752.78</v>
      </c>
      <c r="AI36" s="398">
        <f>IFERROR(AH36-AG36,0)</f>
        <v>74653.580000000075</v>
      </c>
      <c r="AJ36" s="65">
        <f>(AI36/$AI$75)*$AM$24</f>
        <v>12229.903426651717</v>
      </c>
      <c r="AK36" s="65">
        <f>(AI36-AJ36)*70%</f>
        <v>43696.573601343844</v>
      </c>
      <c r="AN36" s="408"/>
    </row>
    <row r="37" spans="1:41" ht="15.5" x14ac:dyDescent="0.35">
      <c r="A37" s="21"/>
      <c r="B37" s="21"/>
      <c r="C37" s="21"/>
      <c r="D37" s="21"/>
      <c r="E37" s="395">
        <f>A36</f>
        <v>45321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3"/>
      <c r="AB37" s="21"/>
      <c r="AC37" s="21"/>
      <c r="AD37" s="21"/>
      <c r="AE37" s="21"/>
      <c r="AF37" s="21"/>
      <c r="AG37" s="21"/>
      <c r="AH37" s="21"/>
      <c r="AI37" s="26">
        <f>IFERROR(AI36/G36,0)+IFERROR(AI36/H36,0)</f>
        <v>248.8452666666669</v>
      </c>
    </row>
    <row r="38" spans="1:41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7">
        <f>IFERROR(AI36/AH36,"")</f>
        <v>5.1779737161318375E-2</v>
      </c>
    </row>
    <row r="39" spans="1:41" x14ac:dyDescent="0.3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47"/>
    </row>
    <row r="40" spans="1:41" x14ac:dyDescent="0.35">
      <c r="A40" s="14" t="s">
        <v>1</v>
      </c>
      <c r="B40" s="14" t="s">
        <v>2</v>
      </c>
      <c r="C40" s="14" t="s">
        <v>110</v>
      </c>
      <c r="D40" s="14"/>
      <c r="E40" s="14" t="s">
        <v>66</v>
      </c>
      <c r="F40" s="14" t="s">
        <v>638</v>
      </c>
      <c r="G40" s="14" t="s">
        <v>137</v>
      </c>
      <c r="H40" s="14" t="s">
        <v>138</v>
      </c>
      <c r="I40" s="14" t="s">
        <v>4</v>
      </c>
      <c r="J40" s="14" t="s">
        <v>5</v>
      </c>
      <c r="K40" s="14" t="s">
        <v>6</v>
      </c>
      <c r="L40" s="14" t="s">
        <v>7</v>
      </c>
      <c r="M40" s="14" t="s">
        <v>279</v>
      </c>
      <c r="N40" s="14" t="s">
        <v>280</v>
      </c>
      <c r="O40" s="14" t="s">
        <v>281</v>
      </c>
      <c r="P40" s="14" t="s">
        <v>282</v>
      </c>
      <c r="Q40" s="14" t="s">
        <v>283</v>
      </c>
      <c r="R40" s="14" t="s">
        <v>284</v>
      </c>
      <c r="S40" s="14" t="s">
        <v>904</v>
      </c>
      <c r="T40" s="14" t="s">
        <v>285</v>
      </c>
      <c r="U40" s="14" t="s">
        <v>289</v>
      </c>
      <c r="V40" s="14" t="s">
        <v>8</v>
      </c>
      <c r="W40" s="14" t="s">
        <v>9</v>
      </c>
      <c r="X40" s="14" t="s">
        <v>10</v>
      </c>
      <c r="Y40" s="14" t="s">
        <v>100</v>
      </c>
      <c r="Z40" s="14" t="s">
        <v>106</v>
      </c>
      <c r="AA40" s="14" t="s">
        <v>12</v>
      </c>
      <c r="AB40" s="14" t="s">
        <v>258</v>
      </c>
      <c r="AC40" s="14" t="s">
        <v>13</v>
      </c>
      <c r="AD40" s="14" t="s">
        <v>74</v>
      </c>
      <c r="AE40" s="14" t="s">
        <v>21</v>
      </c>
      <c r="AF40" s="14" t="s">
        <v>14</v>
      </c>
      <c r="AG40" s="14" t="s">
        <v>15</v>
      </c>
      <c r="AH40" s="14" t="s">
        <v>16</v>
      </c>
      <c r="AI40" s="15" t="s">
        <v>17</v>
      </c>
      <c r="AJ40" s="14" t="s">
        <v>679</v>
      </c>
      <c r="AK40" s="14" t="s">
        <v>678</v>
      </c>
    </row>
    <row r="41" spans="1:41" x14ac:dyDescent="0.35">
      <c r="A41" s="20">
        <v>45324</v>
      </c>
      <c r="B41" s="21" t="s">
        <v>911</v>
      </c>
      <c r="C41" s="21" t="s">
        <v>906</v>
      </c>
      <c r="D41" s="21"/>
      <c r="E41" s="44">
        <v>1912966</v>
      </c>
      <c r="F41" s="44" t="s">
        <v>652</v>
      </c>
      <c r="G41" s="21">
        <v>260</v>
      </c>
      <c r="H41" s="21"/>
      <c r="I41" s="22">
        <v>132060.93</v>
      </c>
      <c r="J41" s="33">
        <v>0.54</v>
      </c>
      <c r="K41" s="24">
        <f>IFERROR(L41/I41,"")</f>
        <v>0.54595481040456106</v>
      </c>
      <c r="L41" s="22">
        <f>83191.5/300*G41</f>
        <v>72099.3</v>
      </c>
      <c r="M41" s="21">
        <v>64</v>
      </c>
      <c r="N41" s="21">
        <v>94</v>
      </c>
      <c r="O41" s="21">
        <v>77</v>
      </c>
      <c r="P41" s="21">
        <v>23</v>
      </c>
      <c r="Q41" s="21">
        <v>2</v>
      </c>
      <c r="R41" s="21"/>
      <c r="S41" s="21"/>
      <c r="T41" s="21"/>
      <c r="U41" s="21"/>
      <c r="V41" s="25">
        <v>235</v>
      </c>
      <c r="W41" s="25">
        <f>I41*V41*J41/15</f>
        <v>1117235.4678</v>
      </c>
      <c r="X41" s="25">
        <f>251.12</f>
        <v>251.12</v>
      </c>
      <c r="Y41" s="25">
        <f>1392750.2/300*G41</f>
        <v>1207050.1733333333</v>
      </c>
      <c r="Z41" s="25">
        <f>IF(B41="FRANCISCO CAMACHO",((G41*42)+(H41*42)),IF(B41="DANILO VIANA",((G41*60)+(H41*60)),IF(B41="ANTONIO MARCUS ALBINO",((G41*60)+(H41*60)),0)))</f>
        <v>15600</v>
      </c>
      <c r="AA41" s="25">
        <f>(8985.8+17908.9+27120.6)/300*G41</f>
        <v>46813.26</v>
      </c>
      <c r="AB41" s="25">
        <v>0</v>
      </c>
      <c r="AC41" s="25">
        <f>8812.5/300*G41</f>
        <v>7637.5</v>
      </c>
      <c r="AD41" s="25">
        <f>38*G41</f>
        <v>9880</v>
      </c>
      <c r="AE41" s="25">
        <f>IF(G41="",H41*4.11,G41*4.11)</f>
        <v>1068.6000000000001</v>
      </c>
      <c r="AF41" s="25">
        <f>2785.5/300*G41</f>
        <v>2414.1</v>
      </c>
      <c r="AG41" s="25">
        <f>W41+Z41+AA41+AB41+AC41+AD41+AE41</f>
        <v>1198234.8278000001</v>
      </c>
      <c r="AH41" s="25">
        <f>IFERROR(IFERROR((I41*X41*K41/15)-AF41,""),"")</f>
        <v>1204624.3144</v>
      </c>
      <c r="AI41" s="26">
        <f>IFERROR(AH41-AG41,0)</f>
        <v>6389.4865999999456</v>
      </c>
      <c r="AJ41" s="25">
        <f>(AI41/$AI$75)*$AM$24</f>
        <v>1046.7388712488334</v>
      </c>
      <c r="AK41" s="25">
        <f>(AI41-AJ41)*70%</f>
        <v>3739.923410125778</v>
      </c>
    </row>
    <row r="42" spans="1:41" ht="15.5" x14ac:dyDescent="0.35">
      <c r="A42" s="21"/>
      <c r="B42" s="21"/>
      <c r="C42" s="21"/>
      <c r="D42" s="21"/>
      <c r="E42" s="395">
        <f>A41</f>
        <v>45324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3"/>
      <c r="AB42" s="21"/>
      <c r="AC42" s="21"/>
      <c r="AD42" s="21"/>
      <c r="AE42" s="21"/>
      <c r="AF42" s="21"/>
      <c r="AG42" s="21"/>
      <c r="AH42" s="21"/>
      <c r="AI42" s="26">
        <f>IFERROR(AI41/G41,0)+IFERROR(AI41/H41,0)</f>
        <v>24.574948461538252</v>
      </c>
    </row>
    <row r="43" spans="1:41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7">
        <f>IFERROR(AI41/AH41,"")</f>
        <v>5.3041321876210216E-3</v>
      </c>
    </row>
    <row r="44" spans="1:41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47"/>
    </row>
    <row r="45" spans="1:41" ht="15" customHeight="1" x14ac:dyDescent="0.35">
      <c r="A45" s="14" t="s">
        <v>1</v>
      </c>
      <c r="B45" s="14" t="s">
        <v>2</v>
      </c>
      <c r="C45" s="14" t="s">
        <v>110</v>
      </c>
      <c r="D45" s="14"/>
      <c r="E45" s="14" t="s">
        <v>66</v>
      </c>
      <c r="F45" s="14" t="s">
        <v>638</v>
      </c>
      <c r="G45" s="14" t="s">
        <v>137</v>
      </c>
      <c r="H45" s="14" t="s">
        <v>138</v>
      </c>
      <c r="I45" s="14" t="s">
        <v>4</v>
      </c>
      <c r="J45" s="14" t="s">
        <v>5</v>
      </c>
      <c r="K45" s="14" t="s">
        <v>6</v>
      </c>
      <c r="L45" s="14" t="s">
        <v>7</v>
      </c>
      <c r="M45" s="14" t="s">
        <v>279</v>
      </c>
      <c r="N45" s="14" t="s">
        <v>280</v>
      </c>
      <c r="O45" s="14" t="s">
        <v>281</v>
      </c>
      <c r="P45" s="14" t="s">
        <v>282</v>
      </c>
      <c r="Q45" s="14" t="s">
        <v>283</v>
      </c>
      <c r="R45" s="14" t="s">
        <v>284</v>
      </c>
      <c r="S45" s="14" t="s">
        <v>904</v>
      </c>
      <c r="T45" s="14" t="s">
        <v>285</v>
      </c>
      <c r="U45" s="14" t="s">
        <v>289</v>
      </c>
      <c r="V45" s="14" t="s">
        <v>8</v>
      </c>
      <c r="W45" s="14" t="s">
        <v>9</v>
      </c>
      <c r="X45" s="14" t="s">
        <v>10</v>
      </c>
      <c r="Y45" s="14" t="s">
        <v>100</v>
      </c>
      <c r="Z45" s="14" t="s">
        <v>106</v>
      </c>
      <c r="AA45" s="14" t="s">
        <v>12</v>
      </c>
      <c r="AB45" s="14" t="s">
        <v>258</v>
      </c>
      <c r="AC45" s="14" t="s">
        <v>13</v>
      </c>
      <c r="AD45" s="14" t="s">
        <v>74</v>
      </c>
      <c r="AE45" s="14" t="s">
        <v>21</v>
      </c>
      <c r="AF45" s="14" t="s">
        <v>14</v>
      </c>
      <c r="AG45" s="14" t="s">
        <v>15</v>
      </c>
      <c r="AH45" s="14" t="s">
        <v>16</v>
      </c>
      <c r="AI45" s="15" t="s">
        <v>17</v>
      </c>
      <c r="AJ45" s="14" t="s">
        <v>679</v>
      </c>
      <c r="AK45" s="14" t="s">
        <v>678</v>
      </c>
    </row>
    <row r="46" spans="1:41" x14ac:dyDescent="0.35">
      <c r="A46" s="20">
        <v>45324</v>
      </c>
      <c r="B46" s="21" t="s">
        <v>911</v>
      </c>
      <c r="C46" s="21" t="s">
        <v>906</v>
      </c>
      <c r="D46" s="21"/>
      <c r="E46" s="44">
        <v>1912966</v>
      </c>
      <c r="F46" s="44" t="s">
        <v>652</v>
      </c>
      <c r="G46" s="21">
        <v>40</v>
      </c>
      <c r="H46" s="21"/>
      <c r="I46" s="22">
        <v>20317.060000000001</v>
      </c>
      <c r="J46" s="33">
        <v>0.53</v>
      </c>
      <c r="K46" s="24">
        <f>IFERROR(L46/I46,"")</f>
        <v>0.54595497576913199</v>
      </c>
      <c r="L46" s="22">
        <f>83191.5/300*G46</f>
        <v>11092.2</v>
      </c>
      <c r="M46" s="21">
        <v>10</v>
      </c>
      <c r="N46" s="21">
        <v>14</v>
      </c>
      <c r="O46" s="21">
        <v>12</v>
      </c>
      <c r="P46" s="21">
        <v>3</v>
      </c>
      <c r="Q46" s="21">
        <v>1</v>
      </c>
      <c r="R46" s="21"/>
      <c r="S46" s="21"/>
      <c r="T46" s="21"/>
      <c r="U46" s="21"/>
      <c r="V46" s="25">
        <v>235</v>
      </c>
      <c r="W46" s="25">
        <f>I46*V46*J46/15</f>
        <v>168699.32153333336</v>
      </c>
      <c r="X46" s="25">
        <f>251.12</f>
        <v>251.12</v>
      </c>
      <c r="Y46" s="25">
        <f>1392750.2/300*G46</f>
        <v>185700.02666666667</v>
      </c>
      <c r="Z46" s="25">
        <f>IF(B46="FRANCISCO CAMACHO",((G46*42)+(H46*42)),IF(B46="DANILO VIANA",((G46*60)+(H46*60)),IF(B46="ANTONIO MARCUS ALBINO",((G46*60)+(H46*60)),0)))</f>
        <v>2400</v>
      </c>
      <c r="AA46" s="25">
        <f>(8985.8+17908.9+27120.6)/300*G46</f>
        <v>7202.0400000000009</v>
      </c>
      <c r="AB46" s="25">
        <v>0</v>
      </c>
      <c r="AC46" s="25">
        <f>8812.5/300*G46</f>
        <v>1175</v>
      </c>
      <c r="AD46" s="25">
        <f>38*G46</f>
        <v>1520</v>
      </c>
      <c r="AE46" s="25">
        <f>IF(G46="",H46*4.11,G46*4.11)</f>
        <v>164.4</v>
      </c>
      <c r="AF46" s="25">
        <f>2785.5/300*G46</f>
        <v>371.4</v>
      </c>
      <c r="AG46" s="25">
        <f>W46+Z46+AA46+AB46+AC46+AD46+AE46</f>
        <v>181160.76153333337</v>
      </c>
      <c r="AH46" s="25">
        <f>IFERROR(IFERROR((I46*X46*K46/15)-AF46,""),"")</f>
        <v>185326.81760000004</v>
      </c>
      <c r="AI46" s="26">
        <f>IFERROR(AH46-AG46,0)</f>
        <v>4166.0560666666715</v>
      </c>
      <c r="AJ46" s="25">
        <f>(AI46/$AI$75)*$AM$24</f>
        <v>682.49189610665485</v>
      </c>
      <c r="AK46" s="25">
        <f>(AI46-AJ46)*70%</f>
        <v>2438.4949193920115</v>
      </c>
    </row>
    <row r="47" spans="1:41" ht="15.5" x14ac:dyDescent="0.35">
      <c r="A47" s="21"/>
      <c r="B47" s="21"/>
      <c r="C47" s="21"/>
      <c r="D47" s="21"/>
      <c r="E47" s="395">
        <f>A46</f>
        <v>45324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3"/>
      <c r="AB47" s="21"/>
      <c r="AC47" s="21"/>
      <c r="AD47" s="21"/>
      <c r="AE47" s="21"/>
      <c r="AF47" s="21"/>
      <c r="AG47" s="21"/>
      <c r="AH47" s="21"/>
      <c r="AI47" s="26">
        <f>IFERROR(AI46/G46,0)+IFERROR(AI46/H46,0)</f>
        <v>104.15140166666679</v>
      </c>
    </row>
    <row r="48" spans="1:41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7">
        <f>IFERROR(AI46/AH46,"")</f>
        <v>2.2479510092589378E-2</v>
      </c>
    </row>
    <row r="49" spans="1:3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47"/>
      <c r="AJ49" s="47"/>
      <c r="AK49" s="47"/>
    </row>
    <row r="50" spans="1:37" x14ac:dyDescent="0.35">
      <c r="A50" s="14" t="s">
        <v>1</v>
      </c>
      <c r="B50" s="14" t="s">
        <v>2</v>
      </c>
      <c r="C50" s="14" t="s">
        <v>110</v>
      </c>
      <c r="D50" s="14"/>
      <c r="E50" s="14" t="s">
        <v>66</v>
      </c>
      <c r="F50" s="14" t="s">
        <v>638</v>
      </c>
      <c r="G50" s="14" t="s">
        <v>137</v>
      </c>
      <c r="H50" s="14" t="s">
        <v>138</v>
      </c>
      <c r="I50" s="14" t="s">
        <v>4</v>
      </c>
      <c r="J50" s="14" t="s">
        <v>5</v>
      </c>
      <c r="K50" s="14" t="s">
        <v>6</v>
      </c>
      <c r="L50" s="14" t="s">
        <v>7</v>
      </c>
      <c r="M50" s="14" t="s">
        <v>279</v>
      </c>
      <c r="N50" s="14" t="s">
        <v>280</v>
      </c>
      <c r="O50" s="14" t="s">
        <v>281</v>
      </c>
      <c r="P50" s="14" t="s">
        <v>282</v>
      </c>
      <c r="Q50" s="14" t="s">
        <v>283</v>
      </c>
      <c r="R50" s="14" t="s">
        <v>284</v>
      </c>
      <c r="S50" s="14" t="s">
        <v>904</v>
      </c>
      <c r="T50" s="14" t="s">
        <v>285</v>
      </c>
      <c r="U50" s="14" t="s">
        <v>289</v>
      </c>
      <c r="V50" s="14" t="s">
        <v>8</v>
      </c>
      <c r="W50" s="14" t="s">
        <v>9</v>
      </c>
      <c r="X50" s="14" t="s">
        <v>10</v>
      </c>
      <c r="Y50" s="14" t="s">
        <v>100</v>
      </c>
      <c r="Z50" s="14" t="s">
        <v>106</v>
      </c>
      <c r="AA50" s="14" t="s">
        <v>12</v>
      </c>
      <c r="AB50" s="14" t="s">
        <v>258</v>
      </c>
      <c r="AC50" s="14" t="s">
        <v>13</v>
      </c>
      <c r="AD50" s="14" t="s">
        <v>74</v>
      </c>
      <c r="AE50" s="14" t="s">
        <v>21</v>
      </c>
      <c r="AF50" s="14" t="s">
        <v>14</v>
      </c>
      <c r="AG50" s="14" t="s">
        <v>15</v>
      </c>
      <c r="AH50" s="14" t="s">
        <v>16</v>
      </c>
      <c r="AI50" s="15" t="s">
        <v>17</v>
      </c>
      <c r="AJ50" s="14" t="s">
        <v>679</v>
      </c>
      <c r="AK50" s="14" t="s">
        <v>678</v>
      </c>
    </row>
    <row r="51" spans="1:37" x14ac:dyDescent="0.35">
      <c r="A51" s="20"/>
      <c r="B51" s="21"/>
      <c r="C51" s="21"/>
      <c r="D51" s="21"/>
      <c r="E51" s="44"/>
      <c r="F51" s="44"/>
      <c r="G51" s="21"/>
      <c r="H51" s="21"/>
      <c r="I51" s="22">
        <v>0</v>
      </c>
      <c r="J51" s="33">
        <v>0</v>
      </c>
      <c r="K51" s="24" t="str">
        <f>IFERROR(L51/I51,"")</f>
        <v/>
      </c>
      <c r="L51" s="22">
        <v>0</v>
      </c>
      <c r="M51" s="21"/>
      <c r="N51" s="21"/>
      <c r="O51" s="21"/>
      <c r="P51" s="21"/>
      <c r="Q51" s="21"/>
      <c r="R51" s="21"/>
      <c r="S51" s="21"/>
      <c r="T51" s="21"/>
      <c r="U51" s="21"/>
      <c r="V51" s="25">
        <v>0</v>
      </c>
      <c r="W51" s="25">
        <f>I51*V51*J51/15</f>
        <v>0</v>
      </c>
      <c r="X51" s="25">
        <v>0</v>
      </c>
      <c r="Y51" s="25">
        <v>0</v>
      </c>
      <c r="Z51" s="25">
        <f>IF(B51="FRANCISCO CAMACHO",((G51*42)+(H51*42)),IF(B51="DANILO VIANA",((G51*60)+(H51*60)),IF(B51="ANTONIO MARCUS ALBINO",((G51*60)+(H51*60)),0)))</f>
        <v>0</v>
      </c>
      <c r="AA51" s="25"/>
      <c r="AB51" s="25">
        <v>0</v>
      </c>
      <c r="AC51" s="25">
        <v>0</v>
      </c>
      <c r="AD51" s="25">
        <v>0</v>
      </c>
      <c r="AE51" s="25">
        <f>IF(G51="",H51*4.11,G51*4.11)</f>
        <v>0</v>
      </c>
      <c r="AF51" s="25">
        <v>0</v>
      </c>
      <c r="AG51" s="25">
        <f>W51+Z51+AA51+AB51+AC51+AD51+AE51</f>
        <v>0</v>
      </c>
      <c r="AH51" s="25" t="str">
        <f>IFERROR(IFERROR((I51*X51*K51/15)-AF51,""),"")</f>
        <v/>
      </c>
      <c r="AI51" s="26">
        <f>IFERROR(AH51-AG51,0)</f>
        <v>0</v>
      </c>
      <c r="AJ51" s="25">
        <f>(AI51/$AI$75)*$AM$24</f>
        <v>0</v>
      </c>
      <c r="AK51" s="25">
        <f>(AI51-AJ51)*70%</f>
        <v>0</v>
      </c>
    </row>
    <row r="52" spans="1:3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3"/>
      <c r="AB52" s="21"/>
      <c r="AC52" s="21"/>
      <c r="AD52" s="21"/>
      <c r="AE52" s="21"/>
      <c r="AF52" s="21"/>
      <c r="AG52" s="21"/>
      <c r="AH52" s="21"/>
      <c r="AI52" s="26">
        <f>IFERROR(AI51/G51,0)+IFERROR(AI51/H51,0)</f>
        <v>0</v>
      </c>
    </row>
    <row r="53" spans="1:3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7" t="str">
        <f>IFERROR(AI51/AH51,"")</f>
        <v/>
      </c>
    </row>
    <row r="54" spans="1:3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47"/>
    </row>
    <row r="55" spans="1:37" x14ac:dyDescent="0.35">
      <c r="A55" s="14" t="s">
        <v>1</v>
      </c>
      <c r="B55" s="14" t="s">
        <v>2</v>
      </c>
      <c r="C55" s="14" t="s">
        <v>110</v>
      </c>
      <c r="D55" s="14"/>
      <c r="E55" s="14" t="s">
        <v>66</v>
      </c>
      <c r="F55" s="14" t="s">
        <v>638</v>
      </c>
      <c r="G55" s="14" t="s">
        <v>137</v>
      </c>
      <c r="H55" s="14" t="s">
        <v>138</v>
      </c>
      <c r="I55" s="14" t="s">
        <v>4</v>
      </c>
      <c r="J55" s="14" t="s">
        <v>5</v>
      </c>
      <c r="K55" s="14" t="s">
        <v>6</v>
      </c>
      <c r="L55" s="14" t="s">
        <v>7</v>
      </c>
      <c r="M55" s="14" t="s">
        <v>279</v>
      </c>
      <c r="N55" s="14" t="s">
        <v>280</v>
      </c>
      <c r="O55" s="14" t="s">
        <v>281</v>
      </c>
      <c r="P55" s="14" t="s">
        <v>282</v>
      </c>
      <c r="Q55" s="14" t="s">
        <v>283</v>
      </c>
      <c r="R55" s="14" t="s">
        <v>284</v>
      </c>
      <c r="S55" s="14" t="s">
        <v>904</v>
      </c>
      <c r="T55" s="14" t="s">
        <v>285</v>
      </c>
      <c r="U55" s="14" t="s">
        <v>289</v>
      </c>
      <c r="V55" s="14" t="s">
        <v>8</v>
      </c>
      <c r="W55" s="14" t="s">
        <v>9</v>
      </c>
      <c r="X55" s="14" t="s">
        <v>10</v>
      </c>
      <c r="Y55" s="14" t="s">
        <v>100</v>
      </c>
      <c r="Z55" s="14" t="s">
        <v>106</v>
      </c>
      <c r="AA55" s="14" t="s">
        <v>12</v>
      </c>
      <c r="AB55" s="14" t="s">
        <v>258</v>
      </c>
      <c r="AC55" s="14" t="s">
        <v>13</v>
      </c>
      <c r="AD55" s="14" t="s">
        <v>74</v>
      </c>
      <c r="AE55" s="14" t="s">
        <v>21</v>
      </c>
      <c r="AF55" s="14" t="s">
        <v>14</v>
      </c>
      <c r="AG55" s="14" t="s">
        <v>15</v>
      </c>
      <c r="AH55" s="14" t="s">
        <v>16</v>
      </c>
      <c r="AI55" s="15" t="s">
        <v>17</v>
      </c>
      <c r="AJ55" s="14" t="s">
        <v>679</v>
      </c>
      <c r="AK55" s="14" t="s">
        <v>678</v>
      </c>
    </row>
    <row r="56" spans="1:37" x14ac:dyDescent="0.35">
      <c r="A56" s="20"/>
      <c r="B56" s="21"/>
      <c r="C56" s="21"/>
      <c r="D56" s="21"/>
      <c r="E56" s="44"/>
      <c r="F56" s="44"/>
      <c r="G56" s="21"/>
      <c r="H56" s="21"/>
      <c r="I56" s="22">
        <v>0</v>
      </c>
      <c r="J56" s="33">
        <v>0</v>
      </c>
      <c r="K56" s="24" t="str">
        <f>IFERROR(L56/I56,"")</f>
        <v/>
      </c>
      <c r="L56" s="22">
        <v>0</v>
      </c>
      <c r="M56" s="21"/>
      <c r="N56" s="21"/>
      <c r="O56" s="21"/>
      <c r="P56" s="21"/>
      <c r="Q56" s="21"/>
      <c r="R56" s="21"/>
      <c r="S56" s="21"/>
      <c r="T56" s="21"/>
      <c r="U56" s="21"/>
      <c r="V56" s="25">
        <v>0</v>
      </c>
      <c r="W56" s="25">
        <f>I56*V56*J56/15</f>
        <v>0</v>
      </c>
      <c r="X56" s="25">
        <v>0</v>
      </c>
      <c r="Y56" s="25">
        <v>0</v>
      </c>
      <c r="Z56" s="25">
        <f>IF(B56="FRANCISCO CAMACHO",((G56*42)+(H56*42)),IF(B56="DANILO VIANA",((G56*60)+(H56*60)),IF(B56="ANTONIO MARCUS ALBINO",((G56*60)+(H56*60)),0)))</f>
        <v>0</v>
      </c>
      <c r="AA56" s="25"/>
      <c r="AB56" s="25">
        <v>0</v>
      </c>
      <c r="AC56" s="25">
        <v>0</v>
      </c>
      <c r="AD56" s="25">
        <v>0</v>
      </c>
      <c r="AE56" s="25">
        <f>IF(G56="",H56*4.11,G56*4.11)</f>
        <v>0</v>
      </c>
      <c r="AF56" s="25">
        <v>0</v>
      </c>
      <c r="AG56" s="25">
        <f>W56+Z56+AA56+AB56+AC56+AD56+AE56</f>
        <v>0</v>
      </c>
      <c r="AH56" s="25" t="str">
        <f>IFERROR(IFERROR((I56*X56*K56/15)-AF56,""),"")</f>
        <v/>
      </c>
      <c r="AI56" s="26">
        <f>IFERROR(AH56-AG56,0)</f>
        <v>0</v>
      </c>
      <c r="AJ56" s="25">
        <f>(AI56/$AI$75)*$AM$24</f>
        <v>0</v>
      </c>
      <c r="AK56" s="25">
        <f>(AI56-AJ56)*70%</f>
        <v>0</v>
      </c>
    </row>
    <row r="57" spans="1:3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3"/>
      <c r="AB57" s="21"/>
      <c r="AC57" s="21"/>
      <c r="AD57" s="21"/>
      <c r="AE57" s="21"/>
      <c r="AF57" s="21"/>
      <c r="AG57" s="21"/>
      <c r="AH57" s="21"/>
      <c r="AI57" s="26">
        <f>IFERROR(AI56/G56,0)+IFERROR(AI56/H56,0)</f>
        <v>0</v>
      </c>
    </row>
    <row r="58" spans="1:3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7" t="str">
        <f>IFERROR(AI56/AH56,"")</f>
        <v/>
      </c>
    </row>
    <row r="59" spans="1:3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47"/>
    </row>
    <row r="60" spans="1:37" x14ac:dyDescent="0.35">
      <c r="A60" s="14" t="s">
        <v>1</v>
      </c>
      <c r="B60" s="14" t="s">
        <v>2</v>
      </c>
      <c r="C60" s="14" t="s">
        <v>110</v>
      </c>
      <c r="D60" s="14"/>
      <c r="E60" s="14" t="s">
        <v>66</v>
      </c>
      <c r="F60" s="14" t="s">
        <v>638</v>
      </c>
      <c r="G60" s="14" t="s">
        <v>137</v>
      </c>
      <c r="H60" s="14" t="s">
        <v>138</v>
      </c>
      <c r="I60" s="14" t="s">
        <v>4</v>
      </c>
      <c r="J60" s="14" t="s">
        <v>5</v>
      </c>
      <c r="K60" s="14" t="s">
        <v>6</v>
      </c>
      <c r="L60" s="14" t="s">
        <v>7</v>
      </c>
      <c r="M60" s="14" t="s">
        <v>279</v>
      </c>
      <c r="N60" s="14" t="s">
        <v>280</v>
      </c>
      <c r="O60" s="14" t="s">
        <v>281</v>
      </c>
      <c r="P60" s="14" t="s">
        <v>282</v>
      </c>
      <c r="Q60" s="14" t="s">
        <v>283</v>
      </c>
      <c r="R60" s="14" t="s">
        <v>284</v>
      </c>
      <c r="S60" s="14" t="s">
        <v>904</v>
      </c>
      <c r="T60" s="14" t="s">
        <v>285</v>
      </c>
      <c r="U60" s="14" t="s">
        <v>289</v>
      </c>
      <c r="V60" s="14" t="s">
        <v>8</v>
      </c>
      <c r="W60" s="14" t="s">
        <v>9</v>
      </c>
      <c r="X60" s="14" t="s">
        <v>10</v>
      </c>
      <c r="Y60" s="14" t="s">
        <v>100</v>
      </c>
      <c r="Z60" s="14" t="s">
        <v>106</v>
      </c>
      <c r="AA60" s="14" t="s">
        <v>12</v>
      </c>
      <c r="AB60" s="14" t="s">
        <v>258</v>
      </c>
      <c r="AC60" s="14" t="s">
        <v>13</v>
      </c>
      <c r="AD60" s="14" t="s">
        <v>74</v>
      </c>
      <c r="AE60" s="14" t="s">
        <v>21</v>
      </c>
      <c r="AF60" s="14" t="s">
        <v>14</v>
      </c>
      <c r="AG60" s="14" t="s">
        <v>15</v>
      </c>
      <c r="AH60" s="14" t="s">
        <v>16</v>
      </c>
      <c r="AI60" s="15" t="s">
        <v>17</v>
      </c>
      <c r="AJ60" s="14" t="s">
        <v>679</v>
      </c>
      <c r="AK60" s="14" t="s">
        <v>678</v>
      </c>
    </row>
    <row r="61" spans="1:37" x14ac:dyDescent="0.35">
      <c r="A61" s="20"/>
      <c r="B61" s="21"/>
      <c r="C61" s="21"/>
      <c r="D61" s="21"/>
      <c r="E61" s="44"/>
      <c r="F61" s="44"/>
      <c r="G61" s="21"/>
      <c r="H61" s="21"/>
      <c r="I61" s="22">
        <v>0</v>
      </c>
      <c r="J61" s="33">
        <v>0</v>
      </c>
      <c r="K61" s="24" t="str">
        <f>IFERROR(L61/I61,"")</f>
        <v/>
      </c>
      <c r="L61" s="22">
        <v>0</v>
      </c>
      <c r="M61" s="21"/>
      <c r="N61" s="21"/>
      <c r="O61" s="21"/>
      <c r="P61" s="21"/>
      <c r="Q61" s="21"/>
      <c r="R61" s="21"/>
      <c r="S61" s="21"/>
      <c r="T61" s="21"/>
      <c r="U61" s="21"/>
      <c r="V61" s="25">
        <v>0</v>
      </c>
      <c r="W61" s="25">
        <f>I61*V61*J61/15</f>
        <v>0</v>
      </c>
      <c r="X61" s="25">
        <v>0</v>
      </c>
      <c r="Y61" s="25">
        <v>0</v>
      </c>
      <c r="Z61" s="25">
        <f>IF(B61="FRANCISCO CAMACHO",((G61*42)+(H61*42)),IF(B61="DANILO VIANA",((G61*60)+(H61*60)),IF(B61="ANTONIO MARCUS ALBINO",((G61*60)+(H61*60)),0)))</f>
        <v>0</v>
      </c>
      <c r="AA61" s="25"/>
      <c r="AB61" s="25">
        <v>0</v>
      </c>
      <c r="AC61" s="25">
        <v>0</v>
      </c>
      <c r="AD61" s="25">
        <v>0</v>
      </c>
      <c r="AE61" s="25">
        <f>IF(G61="",H61*4.11,G61*4.11)</f>
        <v>0</v>
      </c>
      <c r="AF61" s="25">
        <v>0</v>
      </c>
      <c r="AG61" s="25">
        <f>W61+Z61+AA61+AB61+AC61+AD61+AE61</f>
        <v>0</v>
      </c>
      <c r="AH61" s="25" t="str">
        <f>IFERROR(IFERROR((I61*X61*K61/15)-AF61,""),"")</f>
        <v/>
      </c>
      <c r="AI61" s="26">
        <f>IFERROR(AH61-AG61,0)</f>
        <v>0</v>
      </c>
      <c r="AJ61" s="25">
        <f>(AI61/$AI$75)*$AM$24</f>
        <v>0</v>
      </c>
      <c r="AK61" s="25">
        <f>(AI61-AJ61)*70%</f>
        <v>0</v>
      </c>
    </row>
    <row r="62" spans="1:3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3"/>
      <c r="AB62" s="21"/>
      <c r="AC62" s="21"/>
      <c r="AD62" s="21"/>
      <c r="AE62" s="21"/>
      <c r="AF62" s="21"/>
      <c r="AG62" s="21"/>
      <c r="AH62" s="21"/>
      <c r="AI62" s="26">
        <f>IFERROR(AI61/G61,0)+IFERROR(AI61/H61,0)</f>
        <v>0</v>
      </c>
    </row>
    <row r="63" spans="1:3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7" t="str">
        <f>IFERROR(AI61/AH61,"")</f>
        <v/>
      </c>
    </row>
    <row r="64" spans="1:3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47"/>
    </row>
    <row r="65" spans="1:41" x14ac:dyDescent="0.35">
      <c r="A65" s="14" t="s">
        <v>1</v>
      </c>
      <c r="B65" s="14" t="s">
        <v>2</v>
      </c>
      <c r="C65" s="14" t="s">
        <v>110</v>
      </c>
      <c r="D65" s="14"/>
      <c r="E65" s="14" t="s">
        <v>66</v>
      </c>
      <c r="F65" s="14" t="s">
        <v>638</v>
      </c>
      <c r="G65" s="14" t="s">
        <v>137</v>
      </c>
      <c r="H65" s="14" t="s">
        <v>138</v>
      </c>
      <c r="I65" s="14" t="s">
        <v>4</v>
      </c>
      <c r="J65" s="14" t="s">
        <v>5</v>
      </c>
      <c r="K65" s="14" t="s">
        <v>6</v>
      </c>
      <c r="L65" s="14" t="s">
        <v>7</v>
      </c>
      <c r="M65" s="14" t="s">
        <v>279</v>
      </c>
      <c r="N65" s="14" t="s">
        <v>280</v>
      </c>
      <c r="O65" s="14" t="s">
        <v>281</v>
      </c>
      <c r="P65" s="14" t="s">
        <v>282</v>
      </c>
      <c r="Q65" s="14" t="s">
        <v>283</v>
      </c>
      <c r="R65" s="14" t="s">
        <v>284</v>
      </c>
      <c r="S65" s="14" t="s">
        <v>904</v>
      </c>
      <c r="T65" s="14" t="s">
        <v>285</v>
      </c>
      <c r="U65" s="14" t="s">
        <v>289</v>
      </c>
      <c r="V65" s="14" t="s">
        <v>8</v>
      </c>
      <c r="W65" s="14" t="s">
        <v>9</v>
      </c>
      <c r="X65" s="14" t="s">
        <v>10</v>
      </c>
      <c r="Y65" s="14" t="s">
        <v>100</v>
      </c>
      <c r="Z65" s="14" t="s">
        <v>106</v>
      </c>
      <c r="AA65" s="14" t="s">
        <v>12</v>
      </c>
      <c r="AB65" s="14" t="s">
        <v>258</v>
      </c>
      <c r="AC65" s="14" t="s">
        <v>13</v>
      </c>
      <c r="AD65" s="14" t="s">
        <v>74</v>
      </c>
      <c r="AE65" s="14" t="s">
        <v>21</v>
      </c>
      <c r="AF65" s="14" t="s">
        <v>14</v>
      </c>
      <c r="AG65" s="14" t="s">
        <v>15</v>
      </c>
      <c r="AH65" s="14" t="s">
        <v>16</v>
      </c>
      <c r="AI65" s="15" t="s">
        <v>17</v>
      </c>
      <c r="AJ65" s="14" t="s">
        <v>679</v>
      </c>
      <c r="AK65" s="14" t="s">
        <v>678</v>
      </c>
    </row>
    <row r="66" spans="1:41" x14ac:dyDescent="0.35">
      <c r="A66" s="20"/>
      <c r="B66" s="21"/>
      <c r="C66" s="21"/>
      <c r="D66" s="21"/>
      <c r="E66" s="44"/>
      <c r="F66" s="44"/>
      <c r="G66" s="21"/>
      <c r="H66" s="21"/>
      <c r="I66" s="22">
        <v>0</v>
      </c>
      <c r="J66" s="33">
        <v>0</v>
      </c>
      <c r="K66" s="24" t="str">
        <f>IFERROR(L66/I66,"")</f>
        <v/>
      </c>
      <c r="L66" s="22">
        <v>0</v>
      </c>
      <c r="M66" s="21"/>
      <c r="N66" s="21"/>
      <c r="O66" s="21"/>
      <c r="P66" s="21"/>
      <c r="Q66" s="21"/>
      <c r="R66" s="21"/>
      <c r="S66" s="21"/>
      <c r="T66" s="21"/>
      <c r="U66" s="21"/>
      <c r="V66" s="25">
        <v>0</v>
      </c>
      <c r="W66" s="25">
        <f>I66*V66*J66/15</f>
        <v>0</v>
      </c>
      <c r="X66" s="25">
        <v>0</v>
      </c>
      <c r="Y66" s="25">
        <v>0</v>
      </c>
      <c r="Z66" s="25">
        <f>IF(B66="FRANCISCO CAMACHO",((G66*42)+(H66*42)),IF(B66="DANILO VIANA",((G66*60)+(H66*60)),IF(B66="ANTONIO MARCUS ALBINO",((G66*60)+(H66*60)),0)))</f>
        <v>0</v>
      </c>
      <c r="AA66" s="25"/>
      <c r="AB66" s="25">
        <v>0</v>
      </c>
      <c r="AC66" s="25">
        <v>0</v>
      </c>
      <c r="AD66" s="25">
        <v>0</v>
      </c>
      <c r="AE66" s="25">
        <f>IF(G66="",H66*4.11,G66*4.11)</f>
        <v>0</v>
      </c>
      <c r="AF66" s="25">
        <v>0</v>
      </c>
      <c r="AG66" s="25">
        <f>W66+Z66+AA66+AB66+AC66+AD66+AE66</f>
        <v>0</v>
      </c>
      <c r="AH66" s="25" t="str">
        <f>IFERROR(IFERROR((I66*X66*K66/15)-AF66,""),"")</f>
        <v/>
      </c>
      <c r="AI66" s="26">
        <f>IFERROR(AH66-AG66,0)</f>
        <v>0</v>
      </c>
      <c r="AJ66" s="25">
        <f>(AI66/$AI$75)*$AM$24</f>
        <v>0</v>
      </c>
      <c r="AK66" s="25">
        <f>(AI66-AJ66)*70%</f>
        <v>0</v>
      </c>
    </row>
    <row r="67" spans="1:4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3"/>
      <c r="AB67" s="21"/>
      <c r="AC67" s="21"/>
      <c r="AD67" s="21"/>
      <c r="AE67" s="21"/>
      <c r="AF67" s="21"/>
      <c r="AG67" s="21"/>
      <c r="AH67" s="21"/>
      <c r="AI67" s="26">
        <f>IFERROR(AI66/G66,0)+IFERROR(AI66/H66,0)</f>
        <v>0</v>
      </c>
    </row>
    <row r="68" spans="1:4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7" t="str">
        <f>IFERROR(AI66/AH66,"")</f>
        <v/>
      </c>
    </row>
    <row r="69" spans="1:4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47"/>
    </row>
    <row r="70" spans="1:41" x14ac:dyDescent="0.35">
      <c r="A70" s="14" t="s">
        <v>1</v>
      </c>
      <c r="B70" s="14" t="s">
        <v>2</v>
      </c>
      <c r="C70" s="14" t="s">
        <v>110</v>
      </c>
      <c r="D70" s="14"/>
      <c r="E70" s="14" t="s">
        <v>66</v>
      </c>
      <c r="F70" s="14" t="s">
        <v>638</v>
      </c>
      <c r="G70" s="14" t="s">
        <v>137</v>
      </c>
      <c r="H70" s="14" t="s">
        <v>138</v>
      </c>
      <c r="I70" s="14" t="s">
        <v>4</v>
      </c>
      <c r="J70" s="14" t="s">
        <v>5</v>
      </c>
      <c r="K70" s="14" t="s">
        <v>6</v>
      </c>
      <c r="L70" s="14" t="s">
        <v>7</v>
      </c>
      <c r="M70" s="14" t="s">
        <v>279</v>
      </c>
      <c r="N70" s="14" t="s">
        <v>280</v>
      </c>
      <c r="O70" s="14" t="s">
        <v>281</v>
      </c>
      <c r="P70" s="14" t="s">
        <v>282</v>
      </c>
      <c r="Q70" s="14" t="s">
        <v>283</v>
      </c>
      <c r="R70" s="14" t="s">
        <v>284</v>
      </c>
      <c r="S70" s="14" t="s">
        <v>904</v>
      </c>
      <c r="T70" s="14" t="s">
        <v>285</v>
      </c>
      <c r="U70" s="14" t="s">
        <v>289</v>
      </c>
      <c r="V70" s="14" t="s">
        <v>8</v>
      </c>
      <c r="W70" s="14" t="s">
        <v>9</v>
      </c>
      <c r="X70" s="14" t="s">
        <v>10</v>
      </c>
      <c r="Y70" s="14" t="s">
        <v>100</v>
      </c>
      <c r="Z70" s="14" t="s">
        <v>106</v>
      </c>
      <c r="AA70" s="14" t="s">
        <v>12</v>
      </c>
      <c r="AB70" s="14" t="s">
        <v>258</v>
      </c>
      <c r="AC70" s="14" t="s">
        <v>13</v>
      </c>
      <c r="AD70" s="14" t="s">
        <v>74</v>
      </c>
      <c r="AE70" s="14" t="s">
        <v>21</v>
      </c>
      <c r="AF70" s="14" t="s">
        <v>14</v>
      </c>
      <c r="AG70" s="14" t="s">
        <v>15</v>
      </c>
      <c r="AH70" s="14" t="s">
        <v>16</v>
      </c>
      <c r="AI70" s="15" t="s">
        <v>17</v>
      </c>
      <c r="AJ70" s="14" t="s">
        <v>679</v>
      </c>
      <c r="AK70" s="14" t="s">
        <v>678</v>
      </c>
    </row>
    <row r="71" spans="1:41" x14ac:dyDescent="0.35">
      <c r="A71" s="20"/>
      <c r="B71" s="21"/>
      <c r="C71" s="21"/>
      <c r="D71" s="21"/>
      <c r="E71" s="44"/>
      <c r="F71" s="44"/>
      <c r="G71" s="21"/>
      <c r="H71" s="21"/>
      <c r="I71" s="22">
        <v>0</v>
      </c>
      <c r="J71" s="33">
        <v>0</v>
      </c>
      <c r="K71" s="24" t="str">
        <f>IFERROR(L71/I71,"")</f>
        <v/>
      </c>
      <c r="L71" s="22">
        <v>0</v>
      </c>
      <c r="M71" s="21"/>
      <c r="N71" s="21"/>
      <c r="O71" s="21"/>
      <c r="P71" s="21"/>
      <c r="Q71" s="21"/>
      <c r="R71" s="21"/>
      <c r="S71" s="21"/>
      <c r="T71" s="21"/>
      <c r="U71" s="21"/>
      <c r="V71" s="25">
        <v>0</v>
      </c>
      <c r="W71" s="25">
        <f>I71*V71*J71/15</f>
        <v>0</v>
      </c>
      <c r="X71" s="25">
        <v>0</v>
      </c>
      <c r="Y71" s="25">
        <v>0</v>
      </c>
      <c r="Z71" s="25">
        <f>IF(B71="FRANCISCO CAMACHO",((G71*42)+(H71*42)),IF(B71="DANILO VIANA",((G71*60)+(H71*60)),IF(B71="ANTONIO MARCUS ALBINO",((G71*60)+(H71*60)),0)))</f>
        <v>0</v>
      </c>
      <c r="AA71" s="25"/>
      <c r="AB71" s="25">
        <v>0</v>
      </c>
      <c r="AC71" s="25">
        <v>0</v>
      </c>
      <c r="AD71" s="25">
        <v>0</v>
      </c>
      <c r="AE71" s="25">
        <f>IF(G71="",H71*4.11,G71*4.11)</f>
        <v>0</v>
      </c>
      <c r="AF71" s="25">
        <v>0</v>
      </c>
      <c r="AG71" s="25">
        <f>W71+Z71+AA71+AB71+AC71+AD71+AE71</f>
        <v>0</v>
      </c>
      <c r="AH71" s="25" t="str">
        <f>IFERROR(IFERROR((I71*X71*K71/15)-AF71,""),"")</f>
        <v/>
      </c>
      <c r="AI71" s="26">
        <f>IFERROR(AH71-AG71,0)</f>
        <v>0</v>
      </c>
      <c r="AJ71" s="25">
        <f>(AI71/$AI$75)*$AM$24</f>
        <v>0</v>
      </c>
      <c r="AK71" s="25">
        <f>(AI71-AJ71)*70%</f>
        <v>0</v>
      </c>
    </row>
    <row r="72" spans="1:4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3"/>
      <c r="AB72" s="21"/>
      <c r="AC72" s="21"/>
      <c r="AD72" s="21"/>
      <c r="AE72" s="21"/>
      <c r="AF72" s="21"/>
      <c r="AG72" s="21"/>
      <c r="AH72" s="21"/>
      <c r="AI72" s="26">
        <f>IFERROR(AI71/G71,0)+IFERROR(AI71/H71,0)</f>
        <v>0</v>
      </c>
    </row>
    <row r="73" spans="1:4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7" t="str">
        <f>IFERROR(AI71/AH71,"")</f>
        <v/>
      </c>
    </row>
    <row r="74" spans="1:41" ht="15" thickBot="1" x14ac:dyDescent="0.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47"/>
      <c r="AJ74" s="47"/>
      <c r="AK74" s="47"/>
    </row>
    <row r="75" spans="1:41" ht="16" thickBot="1" x14ac:dyDescent="0.4">
      <c r="A75" s="377" t="s">
        <v>803</v>
      </c>
      <c r="B75" s="378"/>
      <c r="C75" s="378"/>
      <c r="D75" s="378"/>
      <c r="E75" s="378"/>
      <c r="F75" s="378"/>
      <c r="G75" s="267">
        <f>SUM(G3:G74)</f>
        <v>1000</v>
      </c>
      <c r="H75" s="267">
        <f>SUM(H3:H74)</f>
        <v>0</v>
      </c>
      <c r="I75" s="274">
        <f>SUM(I3:I74)</f>
        <v>518607.99</v>
      </c>
      <c r="J75" s="30"/>
      <c r="K75" s="30"/>
      <c r="L75" s="274">
        <f>SUM(L3:L74)</f>
        <v>285579.5</v>
      </c>
      <c r="M75" s="46"/>
      <c r="N75" s="46"/>
      <c r="O75" s="46"/>
      <c r="P75" s="46"/>
      <c r="Q75" s="46"/>
      <c r="R75" s="46"/>
      <c r="S75" s="46"/>
      <c r="T75" s="46"/>
      <c r="U75" s="46"/>
      <c r="V75" s="30"/>
      <c r="W75" s="31">
        <f>SUM(W3:W74)</f>
        <v>4430734.7060000002</v>
      </c>
      <c r="X75" s="31"/>
      <c r="Y75" s="31">
        <f t="shared" ref="Y75:AH75" si="0">SUM(Y3:Y74)</f>
        <v>4858779.0899999989</v>
      </c>
      <c r="Z75" s="31">
        <f t="shared" si="0"/>
        <v>45000</v>
      </c>
      <c r="AA75" s="31">
        <f t="shared" si="0"/>
        <v>148457.00000000003</v>
      </c>
      <c r="AB75" s="31">
        <f t="shared" si="0"/>
        <v>0</v>
      </c>
      <c r="AC75" s="31">
        <f t="shared" si="0"/>
        <v>29537.510000000002</v>
      </c>
      <c r="AD75" s="31">
        <f t="shared" si="0"/>
        <v>28500</v>
      </c>
      <c r="AE75" s="31">
        <f t="shared" si="0"/>
        <v>4110</v>
      </c>
      <c r="AF75" s="31">
        <f t="shared" si="0"/>
        <v>9717.560739999999</v>
      </c>
      <c r="AG75" s="31">
        <f t="shared" si="0"/>
        <v>4686339.216</v>
      </c>
      <c r="AH75" s="31">
        <f t="shared" si="0"/>
        <v>4850792.8899266655</v>
      </c>
      <c r="AI75" s="161">
        <f>AI4+AI10+AI16+AI21+AI26+AI31+AI36+AI41+AI46+AI51+AI56+AI61+AI66+AI71</f>
        <v>164453.67392666644</v>
      </c>
      <c r="AJ75" s="165">
        <f>SUM(AJ3:AJ73)</f>
        <v>26941.140000000003</v>
      </c>
      <c r="AK75" s="165">
        <f>SUM(AK3:AK73)</f>
        <v>96258.773748666514</v>
      </c>
    </row>
    <row r="77" spans="1:41" s="21" customFormat="1" x14ac:dyDescent="0.3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 s="162"/>
      <c r="X77"/>
      <c r="Y77"/>
      <c r="Z77"/>
      <c r="AA77"/>
      <c r="AB77"/>
      <c r="AC77"/>
      <c r="AD77"/>
      <c r="AE77"/>
      <c r="AF77"/>
      <c r="AG77"/>
      <c r="AH77"/>
      <c r="AI77" s="156">
        <v>45325</v>
      </c>
      <c r="AJ77" s="25">
        <f>SUM(AJ36,AJ31,AJ26,AJ21,AJ16,AJ10,AJ4)</f>
        <v>25211.909232644517</v>
      </c>
      <c r="AK77" s="25">
        <f>SUM(AK36,AK31,AK26,AK21,AK16,AK10,AK4)</f>
        <v>90080.35541914872</v>
      </c>
      <c r="AL77"/>
      <c r="AM77"/>
      <c r="AN77"/>
      <c r="AO77"/>
    </row>
    <row r="78" spans="1:41" x14ac:dyDescent="0.35">
      <c r="AI78" s="409">
        <v>45318</v>
      </c>
      <c r="AJ78" s="65">
        <f>'27.01.24'!AI143</f>
        <v>83134.670000000013</v>
      </c>
      <c r="AK78" s="65">
        <f>'27.01.24'!AJ143</f>
        <v>46148.142366666463</v>
      </c>
    </row>
    <row r="79" spans="1:41" x14ac:dyDescent="0.35">
      <c r="AI79" s="409">
        <v>45311</v>
      </c>
      <c r="AJ79" s="65">
        <f>'20.01.24'!AI143</f>
        <v>5605.5499999999993</v>
      </c>
      <c r="AK79" s="65">
        <f>'20.01.24'!AJ143</f>
        <v>59862.948366666322</v>
      </c>
    </row>
    <row r="80" spans="1:41" x14ac:dyDescent="0.35">
      <c r="AI80" s="409">
        <v>45304</v>
      </c>
      <c r="AJ80" s="65">
        <f>'13.01.24'!AI78</f>
        <v>10377.940000000002</v>
      </c>
      <c r="AK80" s="65">
        <f>'13.01.24'!AJ78</f>
        <v>44134.63189597478</v>
      </c>
    </row>
    <row r="81" spans="35:37" x14ac:dyDescent="0.35">
      <c r="AI81" s="409">
        <v>45297</v>
      </c>
      <c r="AJ81" s="65">
        <f>'06.01.24'!AI33</f>
        <v>324916.75</v>
      </c>
      <c r="AK81" s="65">
        <f>'06.01.24'!AJ33</f>
        <v>-167862.38251641952</v>
      </c>
    </row>
    <row r="82" spans="35:37" x14ac:dyDescent="0.35">
      <c r="AJ82" s="25">
        <f>SUM(AJ77:AJ81)</f>
        <v>449246.81923264451</v>
      </c>
      <c r="AK82" s="25">
        <f>SUM(AK77:AK81)</f>
        <v>72363.695532036771</v>
      </c>
    </row>
  </sheetData>
  <autoFilter ref="A3:AK73"/>
  <mergeCells count="2">
    <mergeCell ref="V2:AD2"/>
    <mergeCell ref="A75:F7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AO135"/>
  <sheetViews>
    <sheetView showGridLines="0" topLeftCell="A3" zoomScaleNormal="100" workbookViewId="0">
      <pane xSplit="7" topLeftCell="H1" activePane="topRight" state="frozen"/>
      <selection activeCell="Z79" sqref="Z79"/>
      <selection pane="topRight" activeCell="B36" sqref="B36"/>
    </sheetView>
  </sheetViews>
  <sheetFormatPr defaultRowHeight="14.5" x14ac:dyDescent="0.35"/>
  <cols>
    <col min="1" max="1" width="10.54296875" bestFit="1" customWidth="1"/>
    <col min="2" max="2" width="26.26953125" style="21" bestFit="1" customWidth="1"/>
    <col min="3" max="3" width="28.7265625" bestFit="1" customWidth="1"/>
    <col min="4" max="4" width="11.7265625" bestFit="1" customWidth="1"/>
    <col min="8" max="8" width="11.54296875" bestFit="1" customWidth="1"/>
    <col min="10" max="10" width="10.26953125" bestFit="1" customWidth="1"/>
    <col min="11" max="11" width="12.453125" bestFit="1" customWidth="1"/>
    <col min="17" max="17" width="11.1796875" bestFit="1" customWidth="1"/>
    <col min="21" max="21" width="15" bestFit="1" customWidth="1"/>
    <col min="22" max="22" width="18.1796875" bestFit="1" customWidth="1"/>
    <col min="23" max="23" width="13.26953125" bestFit="1" customWidth="1"/>
    <col min="24" max="24" width="17" bestFit="1" customWidth="1"/>
    <col min="25" max="25" width="15" bestFit="1" customWidth="1"/>
    <col min="26" max="26" width="15.26953125" bestFit="1" customWidth="1"/>
    <col min="27" max="27" width="12.54296875" customWidth="1"/>
    <col min="28" max="29" width="14.26953125" bestFit="1" customWidth="1"/>
    <col min="30" max="30" width="13.81640625" bestFit="1" customWidth="1"/>
    <col min="31" max="31" width="13.1796875" bestFit="1" customWidth="1"/>
    <col min="32" max="32" width="18.1796875" bestFit="1" customWidth="1"/>
    <col min="33" max="33" width="17" bestFit="1" customWidth="1"/>
    <col min="34" max="34" width="18.1796875" bestFit="1" customWidth="1"/>
    <col min="35" max="35" width="19.7265625" customWidth="1"/>
    <col min="36" max="36" width="18.81640625" customWidth="1"/>
    <col min="38" max="38" width="19" customWidth="1"/>
    <col min="39" max="39" width="20.1796875" customWidth="1"/>
    <col min="40" max="40" width="50.453125" customWidth="1"/>
  </cols>
  <sheetData>
    <row r="3" spans="1:40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277">
        <f>AF123</f>
        <v>4967517.0485031446</v>
      </c>
      <c r="AM3" s="164">
        <f>AH123-AI123</f>
        <v>-7493.9319684787533</v>
      </c>
    </row>
    <row r="4" spans="1:40" x14ac:dyDescent="0.35">
      <c r="A4" s="20">
        <v>45325</v>
      </c>
      <c r="B4" s="21" t="s">
        <v>632</v>
      </c>
      <c r="C4" s="21" t="s">
        <v>912</v>
      </c>
      <c r="D4" s="44">
        <v>1912994</v>
      </c>
      <c r="E4" s="44" t="s">
        <v>652</v>
      </c>
      <c r="F4" s="21">
        <v>50</v>
      </c>
      <c r="G4" s="21"/>
      <c r="H4" s="22">
        <v>28215</v>
      </c>
      <c r="I4" s="33">
        <v>0.55000000000000004</v>
      </c>
      <c r="J4" s="24">
        <f>IFERROR(K4/H4,"")</f>
        <v>0.53476874003189789</v>
      </c>
      <c r="K4" s="22">
        <v>15088.5</v>
      </c>
      <c r="L4" s="21">
        <v>4</v>
      </c>
      <c r="M4" s="21">
        <v>23</v>
      </c>
      <c r="N4" s="21">
        <v>15</v>
      </c>
      <c r="O4" s="21">
        <f>7+1</f>
        <v>8</v>
      </c>
      <c r="P4" s="21"/>
      <c r="Q4" s="21"/>
      <c r="R4" s="21"/>
      <c r="S4" s="21"/>
      <c r="T4" s="21"/>
      <c r="U4" s="25">
        <v>215</v>
      </c>
      <c r="V4" s="25">
        <f>H4*U4*I4/15</f>
        <v>222428.25000000003</v>
      </c>
      <c r="W4" s="25">
        <v>247.93</v>
      </c>
      <c r="X4" s="25">
        <f>477360.27/100*F4</f>
        <v>238680.13500000001</v>
      </c>
      <c r="Y4" s="25">
        <f>IF(B4="FRANCISCO CAMACHO",((F4*42)+(G4*42)),IF(B4="DANILO VIANA",((F4*60)+(G4*60)),IF(B4="ANTONIO MARCUS ALBINO",((F4*60)+(G4*60)),0)))</f>
        <v>2100</v>
      </c>
      <c r="Z4" s="272">
        <f>(21225.55+20843.46)/94*F4</f>
        <v>22377.132978723403</v>
      </c>
      <c r="AA4" s="25">
        <v>0</v>
      </c>
      <c r="AB4" s="272">
        <f>2526.25/94*F4</f>
        <v>1343.75</v>
      </c>
      <c r="AC4" s="25">
        <v>0</v>
      </c>
      <c r="AD4" s="25">
        <f>IF(F4="",G4*4.11,F4*4.11)</f>
        <v>205.50000000000003</v>
      </c>
      <c r="AE4" s="25">
        <f>954.73/100*F4</f>
        <v>477.36500000000001</v>
      </c>
      <c r="AF4" s="25">
        <f>V4+Y4+Z4+AA4+AB4+AC4+AD4</f>
        <v>248454.63297872344</v>
      </c>
      <c r="AG4" s="25">
        <f>IFERROR(IFERROR((H4*W4*J4/15)-AE4,""),"")</f>
        <v>248915.42199999999</v>
      </c>
      <c r="AH4" s="26">
        <f>IFERROR(AG4-AF4,0)</f>
        <v>460.78902127654874</v>
      </c>
      <c r="AI4" s="25">
        <f>(F4+G4)/$AL$7*$AL$26</f>
        <v>586.46598639455794</v>
      </c>
      <c r="AJ4" s="25">
        <f>(AH4+AI4)*70%</f>
        <v>733.07850536977469</v>
      </c>
      <c r="AL4" s="166" t="s">
        <v>749</v>
      </c>
      <c r="AM4" s="167">
        <f>AM3/AL3</f>
        <v>-1.508587065793139E-3</v>
      </c>
    </row>
    <row r="5" spans="1:40" x14ac:dyDescent="0.35">
      <c r="A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9.2157804255309745</v>
      </c>
      <c r="AI5" s="21"/>
      <c r="AJ5" s="21"/>
      <c r="AM5" s="63"/>
    </row>
    <row r="6" spans="1:40" x14ac:dyDescent="0.35">
      <c r="A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1.8511871123700354E-3</v>
      </c>
      <c r="AI6" s="21"/>
      <c r="AJ6" s="21"/>
      <c r="AM6" s="63"/>
    </row>
    <row r="7" spans="1:40" x14ac:dyDescent="0.35">
      <c r="A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21"/>
      <c r="AJ7" s="21"/>
      <c r="AL7" s="290">
        <f>F123+G123</f>
        <v>1029</v>
      </c>
      <c r="AM7" s="118" t="s">
        <v>22</v>
      </c>
    </row>
    <row r="8" spans="1:40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L8" s="11">
        <f>AH123</f>
        <v>4575.5380315212496</v>
      </c>
      <c r="AM8" s="11">
        <f>AL8*30%</f>
        <v>1372.6614094563749</v>
      </c>
      <c r="AN8" s="2"/>
    </row>
    <row r="9" spans="1:40" x14ac:dyDescent="0.35">
      <c r="A9" s="20">
        <v>45325</v>
      </c>
      <c r="B9" s="21" t="s">
        <v>632</v>
      </c>
      <c r="C9" s="21" t="s">
        <v>912</v>
      </c>
      <c r="D9" s="44">
        <v>1913101</v>
      </c>
      <c r="E9" s="44" t="s">
        <v>652</v>
      </c>
      <c r="F9" s="21">
        <v>44</v>
      </c>
      <c r="G9" s="21"/>
      <c r="H9" s="22">
        <v>24556</v>
      </c>
      <c r="I9" s="33">
        <v>0.55000000000000004</v>
      </c>
      <c r="J9" s="24">
        <f>IFERROR(K9/H9,"")</f>
        <v>0.55658703878902549</v>
      </c>
      <c r="K9" s="22">
        <v>13667.551324503311</v>
      </c>
      <c r="L9" s="21">
        <v>3</v>
      </c>
      <c r="M9" s="21">
        <v>24</v>
      </c>
      <c r="N9" s="21">
        <v>12</v>
      </c>
      <c r="O9" s="21">
        <v>5</v>
      </c>
      <c r="P9" s="21">
        <v>0</v>
      </c>
      <c r="Q9" s="21"/>
      <c r="R9" s="21"/>
      <c r="S9" s="21"/>
      <c r="T9" s="21"/>
      <c r="U9" s="25">
        <v>215</v>
      </c>
      <c r="V9" s="25">
        <f>H9*U9*I9/15</f>
        <v>193583.13333333336</v>
      </c>
      <c r="W9" s="25">
        <v>246.41</v>
      </c>
      <c r="X9" s="25">
        <f>1172746.26/230*F9</f>
        <v>224351.4584347826</v>
      </c>
      <c r="Y9" s="25">
        <f>IF(B9="FRANCISCO CAMACHO",((F9*42)+(G9*42)),IF(B9="DANILO VIANA",((F9*60)+(G9*60)),IF(B9="ANTONIO MARCUS ALBINO",((F9*60)+(G9*60)),0)))</f>
        <v>1848</v>
      </c>
      <c r="Z9" s="272">
        <f>(21225.55+20843.46)/94*F9</f>
        <v>19691.877021276592</v>
      </c>
      <c r="AA9" s="25">
        <v>0</v>
      </c>
      <c r="AB9" s="272">
        <f>2526.25/94*F9</f>
        <v>1182.5</v>
      </c>
      <c r="AC9" s="25">
        <v>0</v>
      </c>
      <c r="AD9" s="25">
        <f>IF(F9="",G9*4.11,F9*4.11)</f>
        <v>180.84</v>
      </c>
      <c r="AE9" s="25">
        <f>X9*0.2%</f>
        <v>448.70291686956523</v>
      </c>
      <c r="AF9" s="25">
        <f>V9+Y9+Z9+AA9+AB9+AC9+AD9</f>
        <v>216486.35035460995</v>
      </c>
      <c r="AG9" s="25">
        <f>IFERROR(IFERROR((H9*W9*J9/15)-AE9,""),"")</f>
        <v>224072.71854118782</v>
      </c>
      <c r="AH9" s="26">
        <f>IFERROR(AG9-AF9,0)</f>
        <v>7586.3681865778635</v>
      </c>
      <c r="AI9" s="25">
        <f>(F9+G9)/$AL$7*$AL$26</f>
        <v>516.09006802721092</v>
      </c>
      <c r="AJ9" s="25">
        <f>(AH9+AI9)*70%</f>
        <v>5671.7207782235519</v>
      </c>
      <c r="AL9" s="11"/>
      <c r="AM9" s="11"/>
    </row>
    <row r="10" spans="1:40" x14ac:dyDescent="0.35">
      <c r="A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172.41745878586053</v>
      </c>
      <c r="AI10" s="21"/>
      <c r="AJ10" s="21"/>
    </row>
    <row r="11" spans="1:40" x14ac:dyDescent="0.35">
      <c r="A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3.3856723995533529E-2</v>
      </c>
      <c r="AI11" s="21"/>
      <c r="AJ11" s="21"/>
      <c r="AL11" s="180" t="s">
        <v>187</v>
      </c>
      <c r="AM11" s="181" t="s">
        <v>680</v>
      </c>
      <c r="AN11" s="191"/>
    </row>
    <row r="12" spans="1:40" x14ac:dyDescent="0.35">
      <c r="A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  <c r="AI12" s="21"/>
      <c r="AJ12" s="21"/>
      <c r="AL12" s="280">
        <v>236</v>
      </c>
      <c r="AM12" s="6" t="s">
        <v>938</v>
      </c>
      <c r="AN12" s="173"/>
    </row>
    <row r="13" spans="1:40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  <c r="AL13" s="280">
        <v>200</v>
      </c>
      <c r="AM13" s="6" t="s">
        <v>941</v>
      </c>
      <c r="AN13" s="174"/>
    </row>
    <row r="14" spans="1:40" x14ac:dyDescent="0.35">
      <c r="A14" s="20">
        <v>45326</v>
      </c>
      <c r="B14" s="21" t="s">
        <v>911</v>
      </c>
      <c r="C14" s="21" t="s">
        <v>908</v>
      </c>
      <c r="D14" s="44">
        <v>1919328</v>
      </c>
      <c r="E14" s="44" t="s">
        <v>652</v>
      </c>
      <c r="F14" s="21">
        <v>50</v>
      </c>
      <c r="G14" s="21"/>
      <c r="H14" s="22">
        <v>23110</v>
      </c>
      <c r="I14" s="33">
        <v>0.52</v>
      </c>
      <c r="J14" s="24">
        <f>IFERROR(K14/H14,"")</f>
        <v>0.52622241453916052</v>
      </c>
      <c r="K14" s="22">
        <v>12161</v>
      </c>
      <c r="L14" s="21">
        <v>18</v>
      </c>
      <c r="M14" s="21">
        <v>17</v>
      </c>
      <c r="N14" s="21">
        <v>10</v>
      </c>
      <c r="O14" s="21">
        <v>3</v>
      </c>
      <c r="P14" s="21">
        <v>2</v>
      </c>
      <c r="Q14" s="21"/>
      <c r="R14" s="21"/>
      <c r="S14" s="21"/>
      <c r="T14" s="21"/>
      <c r="U14" s="25">
        <v>230</v>
      </c>
      <c r="V14" s="25">
        <f>H14*U14*I14/15</f>
        <v>184263.73333333334</v>
      </c>
      <c r="W14" s="25">
        <v>246.85</v>
      </c>
      <c r="X14" s="25">
        <f>413179.24/100*F14</f>
        <v>206589.62000000002</v>
      </c>
      <c r="Y14" s="25">
        <f>IF(B14="FRANCISCO CAMACHO",((F14*42)+(G14*42)),IF(B14="DANILO VIANA",((F14*60)+(G14*60)),IF(B14="ANTONIO MARCUS ALBINO",((F14*60)+(G14*60)),0)))</f>
        <v>3000</v>
      </c>
      <c r="Z14" s="272">
        <f>9697.4</f>
        <v>9697.4</v>
      </c>
      <c r="AA14" s="25">
        <v>0</v>
      </c>
      <c r="AB14" s="272">
        <v>1437.5</v>
      </c>
      <c r="AC14" s="25">
        <f>38*F14</f>
        <v>1900</v>
      </c>
      <c r="AD14" s="25">
        <f>IF(F14="",G14*4.11,F14*4.11)</f>
        <v>205.50000000000003</v>
      </c>
      <c r="AE14" s="25">
        <f>826.36/100*F14</f>
        <v>413.18</v>
      </c>
      <c r="AF14" s="25">
        <f>V14+Y14+Z14+AA14+AB14+AC14+AD14</f>
        <v>200504.13333333333</v>
      </c>
      <c r="AG14" s="25">
        <f>IFERROR(IFERROR((H14*W14*J14/15)-AE14,""),"")</f>
        <v>199716.34333333335</v>
      </c>
      <c r="AH14" s="26">
        <f>IFERROR(AG14-AF14,0)</f>
        <v>-787.78999999997905</v>
      </c>
      <c r="AI14" s="25">
        <f>(F14+G14)/$AL$7*$AL$26</f>
        <v>586.46598639455794</v>
      </c>
      <c r="AJ14" s="25">
        <f>(AH14+AI14)*70%</f>
        <v>-140.92680952379476</v>
      </c>
      <c r="AL14" s="280">
        <v>124</v>
      </c>
      <c r="AM14" s="6" t="s">
        <v>943</v>
      </c>
      <c r="AN14" s="174"/>
    </row>
    <row r="15" spans="1:40" x14ac:dyDescent="0.35">
      <c r="A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-15.755799999999581</v>
      </c>
      <c r="AI15" s="21"/>
      <c r="AJ15" s="21"/>
      <c r="AL15" s="291">
        <v>1261.68</v>
      </c>
      <c r="AM15" s="6" t="s">
        <v>944</v>
      </c>
      <c r="AN15" s="174"/>
    </row>
    <row r="16" spans="1:40" x14ac:dyDescent="0.35">
      <c r="A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-3.9445444816958762E-3</v>
      </c>
      <c r="AI16" s="21"/>
      <c r="AJ16" s="21"/>
      <c r="AL16" s="280">
        <v>2700</v>
      </c>
      <c r="AM16" s="6" t="s">
        <v>945</v>
      </c>
      <c r="AN16" s="174"/>
    </row>
    <row r="17" spans="1:40" x14ac:dyDescent="0.35">
      <c r="A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  <c r="AI17" s="21"/>
      <c r="AJ17" s="21"/>
      <c r="AL17" s="280">
        <v>800</v>
      </c>
      <c r="AM17" s="6" t="s">
        <v>942</v>
      </c>
      <c r="AN17" s="174"/>
    </row>
    <row r="18" spans="1:40" ht="15" customHeight="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280">
        <v>800</v>
      </c>
      <c r="AM18" s="6" t="s">
        <v>947</v>
      </c>
      <c r="AN18" s="174"/>
    </row>
    <row r="19" spans="1:40" x14ac:dyDescent="0.35">
      <c r="A19" s="20">
        <v>45326</v>
      </c>
      <c r="B19" s="21" t="s">
        <v>911</v>
      </c>
      <c r="C19" s="21" t="s">
        <v>242</v>
      </c>
      <c r="D19" s="44">
        <v>1919328</v>
      </c>
      <c r="E19" s="44" t="s">
        <v>652</v>
      </c>
      <c r="F19" s="21">
        <v>50</v>
      </c>
      <c r="G19" s="21"/>
      <c r="H19" s="22">
        <v>24290</v>
      </c>
      <c r="I19" s="33">
        <v>0.54</v>
      </c>
      <c r="J19" s="24">
        <f>IFERROR(K19/H19,"")</f>
        <v>0.53297653355290242</v>
      </c>
      <c r="K19" s="22">
        <v>12946</v>
      </c>
      <c r="L19" s="21">
        <v>6</v>
      </c>
      <c r="M19" s="21">
        <v>19</v>
      </c>
      <c r="N19" s="21">
        <v>20</v>
      </c>
      <c r="O19" s="21">
        <v>3</v>
      </c>
      <c r="P19" s="21">
        <v>2</v>
      </c>
      <c r="Q19" s="21"/>
      <c r="R19" s="21"/>
      <c r="S19" s="21"/>
      <c r="T19" s="21"/>
      <c r="U19" s="25">
        <v>235</v>
      </c>
      <c r="V19" s="25">
        <f>H19*U19*I19/15</f>
        <v>205493.4</v>
      </c>
      <c r="W19" s="25">
        <v>246.85</v>
      </c>
      <c r="X19" s="25">
        <f>413179.24/100*F19</f>
        <v>206589.62000000002</v>
      </c>
      <c r="Y19" s="25">
        <f>IF(B19="FRANCISCO CAMACHO",((F19*42)+(G19*42)),IF(B19="DANILO VIANA",((F19*60)+(G19*60)),IF(B19="ANTONIO MARCUS ALBINO",((F19*60)+(G19*60)),0)))</f>
        <v>3000</v>
      </c>
      <c r="Z19" s="272">
        <f>9684.8</f>
        <v>9684.7999999999993</v>
      </c>
      <c r="AA19" s="25">
        <v>0</v>
      </c>
      <c r="AB19" s="272">
        <f>1468.75</f>
        <v>1468.75</v>
      </c>
      <c r="AC19" s="25">
        <f>38*F19</f>
        <v>1900</v>
      </c>
      <c r="AD19" s="25">
        <f>IF(F19="",G19*4.11,F19*4.11)</f>
        <v>205.50000000000003</v>
      </c>
      <c r="AE19" s="25">
        <f>826.36/100*F19</f>
        <v>413.18</v>
      </c>
      <c r="AF19" s="25">
        <f>V19+Y19+Z19+AA19+AB19+AC19+AD19</f>
        <v>221752.44999999998</v>
      </c>
      <c r="AG19" s="25">
        <f>IFERROR(IFERROR((H19*W19*J19/15)-AE19,""),"")</f>
        <v>212634.82666666669</v>
      </c>
      <c r="AH19" s="26">
        <f>IFERROR(AG19-AF19,0)</f>
        <v>-9117.623333333293</v>
      </c>
      <c r="AI19" s="25">
        <f>(F19+G19)/$AL$7*$AL$26</f>
        <v>586.46598639455794</v>
      </c>
      <c r="AJ19" s="25">
        <f>(AH19+AI19)*70%</f>
        <v>-5971.8101428571144</v>
      </c>
      <c r="AL19" s="293">
        <f>850.95+850.95+850.95+850.95+850.95+850.95+15+15+15+15+15+15</f>
        <v>5195.7</v>
      </c>
      <c r="AM19" s="294" t="s">
        <v>971</v>
      </c>
      <c r="AN19" s="295"/>
    </row>
    <row r="20" spans="1:40" x14ac:dyDescent="0.35">
      <c r="A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-182.35246666666586</v>
      </c>
      <c r="AI20" s="21"/>
      <c r="AJ20" s="21"/>
      <c r="AL20" s="293">
        <v>752.09</v>
      </c>
      <c r="AM20" s="6" t="s">
        <v>953</v>
      </c>
      <c r="AN20" s="174"/>
    </row>
    <row r="21" spans="1:40" x14ac:dyDescent="0.35">
      <c r="A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-4.2879256781516689E-2</v>
      </c>
      <c r="AI21" s="21"/>
      <c r="AJ21" s="21"/>
      <c r="AL21" s="293"/>
      <c r="AM21" s="294"/>
      <c r="AN21" s="245"/>
    </row>
    <row r="22" spans="1:40" x14ac:dyDescent="0.35">
      <c r="A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I22" s="47"/>
      <c r="AJ22" s="47"/>
      <c r="AL22" s="291"/>
      <c r="AM22" s="292"/>
      <c r="AN22" s="245"/>
    </row>
    <row r="23" spans="1:40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54" t="s">
        <v>17</v>
      </c>
      <c r="AI23" s="14" t="s">
        <v>679</v>
      </c>
      <c r="AJ23" s="14" t="s">
        <v>678</v>
      </c>
      <c r="AL23" s="291"/>
      <c r="AM23" s="292"/>
      <c r="AN23" s="174"/>
    </row>
    <row r="24" spans="1:40" x14ac:dyDescent="0.35">
      <c r="A24" s="38">
        <v>45327</v>
      </c>
      <c r="B24" s="39" t="s">
        <v>632</v>
      </c>
      <c r="C24" s="39" t="s">
        <v>909</v>
      </c>
      <c r="D24" s="45">
        <v>1913101</v>
      </c>
      <c r="E24" s="45" t="s">
        <v>652</v>
      </c>
      <c r="F24" s="39">
        <v>100</v>
      </c>
      <c r="G24" s="39"/>
      <c r="H24" s="40">
        <v>56140</v>
      </c>
      <c r="I24" s="53">
        <v>0.55000000000000004</v>
      </c>
      <c r="J24" s="42">
        <f>IFERROR(K24/H24,"")</f>
        <v>0.54818311364446026</v>
      </c>
      <c r="K24" s="40">
        <v>30775</v>
      </c>
      <c r="L24" s="39">
        <v>3</v>
      </c>
      <c r="M24" s="39">
        <v>65</v>
      </c>
      <c r="N24" s="39">
        <v>27</v>
      </c>
      <c r="O24" s="39">
        <v>5</v>
      </c>
      <c r="P24" s="39"/>
      <c r="Q24" s="39"/>
      <c r="R24" s="39"/>
      <c r="S24" s="39"/>
      <c r="T24" s="39"/>
      <c r="U24" s="43">
        <v>215</v>
      </c>
      <c r="V24" s="43">
        <f>H24*U24*I24/15</f>
        <v>442570.33333333337</v>
      </c>
      <c r="W24" s="43">
        <v>246.41</v>
      </c>
      <c r="X24" s="43">
        <f>1172746.26/230*F24</f>
        <v>509889.67826086958</v>
      </c>
      <c r="Y24" s="43">
        <f>IF(B24="FRANCISCO CAMACHO",((F24*42)+(G24*42)),IF(B24="DANILO VIANA",((F24*60)+(G24*60)),IF(B24="ANTONIO MARCUS ALBINO",((F24*60)+(G24*60)),0)))</f>
        <v>4200</v>
      </c>
      <c r="Z24" s="272">
        <f>(22939+22894.93)/100*F24</f>
        <v>45833.93</v>
      </c>
      <c r="AA24" s="43">
        <v>0</v>
      </c>
      <c r="AB24" s="272">
        <v>2687.5</v>
      </c>
      <c r="AC24" s="43">
        <v>0</v>
      </c>
      <c r="AD24" s="43">
        <f>IF(F24="",G24*4.11,F24*4.11)</f>
        <v>411.00000000000006</v>
      </c>
      <c r="AE24" s="43">
        <f>X24*0.2%</f>
        <v>1019.7793565217391</v>
      </c>
      <c r="AF24" s="43">
        <f>V24+Y24+Z24+AA24+AB24+AC24+AD24</f>
        <v>495702.76333333337</v>
      </c>
      <c r="AG24" s="43">
        <f>IFERROR(IFERROR((H24*W24*J24/15)-AE24,""),"")</f>
        <v>504531.40397681162</v>
      </c>
      <c r="AH24" s="273">
        <f>IFERROR(AG24-AF24,0)</f>
        <v>8828.6406434782548</v>
      </c>
      <c r="AI24" s="25">
        <f>(F24+G24)/$AL$7*$AL$26</f>
        <v>1172.9319727891159</v>
      </c>
      <c r="AJ24" s="25">
        <f>(AH24+AI24)*70%</f>
        <v>7001.1008313871589</v>
      </c>
      <c r="AL24" s="280"/>
      <c r="AM24" s="6"/>
      <c r="AN24" s="174"/>
    </row>
    <row r="25" spans="1:40" x14ac:dyDescent="0.35">
      <c r="A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88.286406434782549</v>
      </c>
      <c r="AI25" s="21"/>
      <c r="AJ25" s="21"/>
      <c r="AL25" s="280"/>
      <c r="AM25" s="6"/>
      <c r="AN25" s="174"/>
    </row>
    <row r="26" spans="1:40" x14ac:dyDescent="0.35">
      <c r="A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1.7498693983940831E-2</v>
      </c>
      <c r="AI26" s="21"/>
      <c r="AJ26" s="21"/>
      <c r="AL26" s="214">
        <f>SUM(AL12:AL25)</f>
        <v>12069.470000000001</v>
      </c>
      <c r="AM26" s="189" t="s">
        <v>673</v>
      </c>
      <c r="AN26" s="191"/>
    </row>
    <row r="27" spans="1:40" x14ac:dyDescent="0.35">
      <c r="A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I27" s="21"/>
      <c r="AJ27" s="21"/>
      <c r="AL27" s="57"/>
      <c r="AM27" s="6"/>
    </row>
    <row r="28" spans="1:40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</row>
    <row r="29" spans="1:40" x14ac:dyDescent="0.35">
      <c r="A29" s="20">
        <v>45327</v>
      </c>
      <c r="B29" s="21" t="s">
        <v>632</v>
      </c>
      <c r="C29" s="21" t="s">
        <v>910</v>
      </c>
      <c r="D29" s="44">
        <v>1913101</v>
      </c>
      <c r="E29" s="301" t="s">
        <v>652</v>
      </c>
      <c r="F29" s="299">
        <f>50-20</f>
        <v>30</v>
      </c>
      <c r="G29" s="21"/>
      <c r="H29" s="22">
        <f>31530/50*F29</f>
        <v>18918</v>
      </c>
      <c r="I29" s="33">
        <v>0.55000000000000004</v>
      </c>
      <c r="J29" s="24">
        <f>IFERROR(K29/H29,"")</f>
        <v>0.52613912675758534</v>
      </c>
      <c r="K29" s="22">
        <v>9953.5</v>
      </c>
      <c r="L29" s="21">
        <v>1</v>
      </c>
      <c r="M29" s="21">
        <v>20</v>
      </c>
      <c r="N29" s="21">
        <v>4</v>
      </c>
      <c r="O29" s="21">
        <v>5</v>
      </c>
      <c r="P29" s="21"/>
      <c r="Q29" s="21"/>
      <c r="R29" s="21"/>
      <c r="S29" s="21"/>
      <c r="T29" s="21"/>
      <c r="U29" s="25">
        <v>215</v>
      </c>
      <c r="V29" s="25">
        <f>H29*U29*I29/15</f>
        <v>149136.9</v>
      </c>
      <c r="W29" s="25">
        <v>246.41</v>
      </c>
      <c r="X29" s="25">
        <f>1172746.26/230*F29</f>
        <v>152966.90347826085</v>
      </c>
      <c r="Y29" s="25">
        <f>IF(B29="FRANCISCO CAMACHO",((F29*42)+(G29*42)),IF(B29="DANILO VIANA",((F29*60)+(G29*60)),IF(B29="ANTONIO MARCUS ALBINO",((F29*60)+(G29*60)),0)))</f>
        <v>1260</v>
      </c>
      <c r="Z29" s="272">
        <f>(25299.2/50)*F29</f>
        <v>15179.52</v>
      </c>
      <c r="AA29" s="25">
        <v>0</v>
      </c>
      <c r="AB29" s="272">
        <f>1343.75/50*F29</f>
        <v>806.25</v>
      </c>
      <c r="AC29" s="25">
        <v>0</v>
      </c>
      <c r="AD29" s="25">
        <f>IF(F29="",G29*4.11,F29*4.11)</f>
        <v>123.30000000000001</v>
      </c>
      <c r="AE29" s="25">
        <f>X29*0.2%</f>
        <v>305.93380695652172</v>
      </c>
      <c r="AF29" s="25">
        <f>V29+Y29+Z29+AA29+AB29+AC29+AD29</f>
        <v>166505.96999999997</v>
      </c>
      <c r="AG29" s="25">
        <f>IFERROR(IFERROR((H29*W29*J29/15)-AE29,""),"")</f>
        <v>163203.52852637679</v>
      </c>
      <c r="AH29" s="26">
        <f>IFERROR(AG29-AF29,0)</f>
        <v>-3302.4414736231847</v>
      </c>
      <c r="AI29" s="25">
        <f>(F29+G29)/$AL$7*$AL$26</f>
        <v>351.87959183673473</v>
      </c>
      <c r="AJ29" s="25">
        <f>(AH29+AI29)*70%</f>
        <v>-2065.3933172505149</v>
      </c>
      <c r="AL29" s="57"/>
      <c r="AM29" s="118" t="s">
        <v>22</v>
      </c>
      <c r="AN29" s="12"/>
    </row>
    <row r="30" spans="1:40" x14ac:dyDescent="0.35">
      <c r="A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-110.08138245410616</v>
      </c>
      <c r="AI30" s="21"/>
      <c r="AJ30" s="21"/>
      <c r="AL30" s="354">
        <f>AL8-AL26</f>
        <v>-7493.9319684787515</v>
      </c>
      <c r="AM30" s="248">
        <f>AL30*30%</f>
        <v>-2248.1795905436252</v>
      </c>
      <c r="AN30" s="12"/>
    </row>
    <row r="31" spans="1:40" x14ac:dyDescent="0.35">
      <c r="A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-2.0235110744492558E-2</v>
      </c>
      <c r="AI31" s="21"/>
      <c r="AJ31" s="21"/>
      <c r="AL31" s="57"/>
      <c r="AM31" s="249"/>
      <c r="AN31" s="246"/>
    </row>
    <row r="32" spans="1:40" x14ac:dyDescent="0.35">
      <c r="A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21"/>
      <c r="AJ32" s="21"/>
      <c r="AL32" s="57"/>
      <c r="AM32" s="248">
        <f>'03.02.24'!AN35</f>
        <v>-1744.8198220000777</v>
      </c>
      <c r="AN32" s="1" t="s">
        <v>1024</v>
      </c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40" x14ac:dyDescent="0.35">
      <c r="A34" s="20">
        <v>45327</v>
      </c>
      <c r="B34" s="21" t="s">
        <v>632</v>
      </c>
      <c r="C34" s="21" t="s">
        <v>913</v>
      </c>
      <c r="D34" s="44">
        <v>1913101</v>
      </c>
      <c r="E34" s="44" t="s">
        <v>652</v>
      </c>
      <c r="F34" s="21">
        <v>7</v>
      </c>
      <c r="G34" s="21"/>
      <c r="H34" s="22">
        <v>4477</v>
      </c>
      <c r="I34" s="33">
        <v>0.54</v>
      </c>
      <c r="J34" s="24">
        <f>IFERROR(K34/H34,"")</f>
        <v>0.540763904400268</v>
      </c>
      <c r="K34" s="22">
        <v>2421</v>
      </c>
      <c r="L34" s="21">
        <v>1</v>
      </c>
      <c r="M34" s="21">
        <v>4</v>
      </c>
      <c r="N34" s="21">
        <v>2</v>
      </c>
      <c r="O34" s="21"/>
      <c r="P34" s="21"/>
      <c r="Q34" s="21"/>
      <c r="R34" s="21"/>
      <c r="S34" s="21"/>
      <c r="T34" s="21"/>
      <c r="U34" s="25">
        <v>210</v>
      </c>
      <c r="V34" s="25">
        <f>H34*U34*I34/15</f>
        <v>33846.120000000003</v>
      </c>
      <c r="W34" s="25">
        <v>246.41</v>
      </c>
      <c r="X34" s="25">
        <f>1172746.26/230*F34</f>
        <v>35692.277478260869</v>
      </c>
      <c r="Y34" s="25">
        <f>IF(B34="FRANCISCO CAMACHO",((F34*42)+(G34*42)),IF(B34="DANILO VIANA",((F34*60)+(G34*60)),IF(B34="ANTONIO MARCUS ALBINO",((F34*60)+(G34*60)),0)))</f>
        <v>294</v>
      </c>
      <c r="Z34" s="272">
        <f>(19569.35+20565.33)/106*F34</f>
        <v>2650.4033962264148</v>
      </c>
      <c r="AA34" s="25">
        <v>0</v>
      </c>
      <c r="AB34" s="272">
        <f>2782.5/106*F34</f>
        <v>183.75</v>
      </c>
      <c r="AC34" s="25">
        <v>0</v>
      </c>
      <c r="AD34" s="25">
        <f>IF(F34="",G34*4.11,F34*4.11)</f>
        <v>28.770000000000003</v>
      </c>
      <c r="AE34" s="25">
        <f>X34*0.2%</f>
        <v>71.38455495652174</v>
      </c>
      <c r="AF34" s="25">
        <f>V34+Y34+Z34+AA34+AB34+AC34+AD34</f>
        <v>37003.043396226414</v>
      </c>
      <c r="AG34" s="25">
        <f>IFERROR(IFERROR((H34*W34*J34/15)-AE34,""),"")</f>
        <v>39699.189445043477</v>
      </c>
      <c r="AH34" s="26">
        <f>IFERROR(AG34-AF34,0)</f>
        <v>2696.1460488170633</v>
      </c>
      <c r="AI34" s="25">
        <f>(F34+G34)/$AL$7*$AL$26</f>
        <v>82.105238095238107</v>
      </c>
      <c r="AJ34" s="25">
        <f>(AH34+AI34)*70%</f>
        <v>1944.7759008386111</v>
      </c>
      <c r="AM34" s="313">
        <f>AM30+(AM32)</f>
        <v>-3992.9994125437029</v>
      </c>
      <c r="AN34" s="314" t="s">
        <v>1023</v>
      </c>
    </row>
    <row r="35" spans="1:40" x14ac:dyDescent="0.35">
      <c r="A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385.16372125958048</v>
      </c>
      <c r="AI35" s="21"/>
      <c r="AJ35" s="21"/>
    </row>
    <row r="36" spans="1:40" x14ac:dyDescent="0.35">
      <c r="A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6.7914385318859002E-2</v>
      </c>
      <c r="AI36" s="21"/>
      <c r="AJ36" s="21"/>
    </row>
    <row r="37" spans="1:40" x14ac:dyDescent="0.35">
      <c r="A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21"/>
      <c r="AJ37" s="21"/>
      <c r="AL37" s="208"/>
      <c r="AM37" s="6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45327</v>
      </c>
      <c r="B39" s="21" t="s">
        <v>632</v>
      </c>
      <c r="C39" s="21" t="s">
        <v>913</v>
      </c>
      <c r="D39" s="44">
        <v>1913101</v>
      </c>
      <c r="E39" s="44" t="s">
        <v>652</v>
      </c>
      <c r="F39" s="21">
        <v>49</v>
      </c>
      <c r="G39" s="21"/>
      <c r="H39" s="22">
        <v>26180</v>
      </c>
      <c r="I39" s="33">
        <v>0.55000000000000004</v>
      </c>
      <c r="J39" s="24">
        <f>IFERROR(K39/H39,"")</f>
        <v>0.5565870387890256</v>
      </c>
      <c r="K39" s="22">
        <v>14571.448675496689</v>
      </c>
      <c r="L39" s="21">
        <v>3</v>
      </c>
      <c r="M39" s="21">
        <v>26</v>
      </c>
      <c r="N39" s="21">
        <v>14</v>
      </c>
      <c r="O39" s="21">
        <v>5</v>
      </c>
      <c r="P39" s="21">
        <v>1</v>
      </c>
      <c r="Q39" s="21"/>
      <c r="R39" s="21"/>
      <c r="S39" s="21"/>
      <c r="T39" s="21"/>
      <c r="U39" s="25">
        <v>210</v>
      </c>
      <c r="V39" s="25">
        <f>H39*U39*I39/15</f>
        <v>201586.00000000003</v>
      </c>
      <c r="W39" s="25">
        <v>246.41</v>
      </c>
      <c r="X39" s="25">
        <f>1172746.26/230*F39</f>
        <v>249845.94234782609</v>
      </c>
      <c r="Y39" s="25">
        <f>IF(B39="FRANCISCO CAMACHO",((F39*42)+(G39*42)),IF(B39="DANILO VIANA",((F39*60)+(G39*60)),IF(B39="ANTONIO MARCUS ALBINO",((F39*60)+(G39*60)),0)))</f>
        <v>2058</v>
      </c>
      <c r="Z39" s="272">
        <f>(19569.35+20565.33)/106*F39</f>
        <v>18552.823773584903</v>
      </c>
      <c r="AA39" s="25">
        <v>0</v>
      </c>
      <c r="AB39" s="272">
        <f>2782.5/106*F39</f>
        <v>1286.25</v>
      </c>
      <c r="AC39" s="25">
        <v>0</v>
      </c>
      <c r="AD39" s="25">
        <f>IF(F39="",G39*4.11,F39*4.11)</f>
        <v>201.39000000000001</v>
      </c>
      <c r="AE39" s="25">
        <f>X39*0.2%</f>
        <v>499.69188469565216</v>
      </c>
      <c r="AF39" s="25">
        <f>V39+Y39+Z39+AA39+AB39+AC39+AD39</f>
        <v>223684.46377358495</v>
      </c>
      <c r="AG39" s="25">
        <f>IFERROR(IFERROR((H39*W39*J39/15)-AE39,""),"")</f>
        <v>238870.35265724696</v>
      </c>
      <c r="AH39" s="26">
        <f>IFERROR(AG39-AF39,0)</f>
        <v>15185.888883662003</v>
      </c>
      <c r="AI39" s="25">
        <f>(F39+G39)/$AL$7*$AL$26</f>
        <v>574.73666666666668</v>
      </c>
      <c r="AJ39" s="25">
        <f>(AH39+AI39)*70%</f>
        <v>11032.437885230069</v>
      </c>
    </row>
    <row r="40" spans="1:40" x14ac:dyDescent="0.35">
      <c r="A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309.91609966657148</v>
      </c>
      <c r="AI40" s="21"/>
      <c r="AJ40" s="21"/>
    </row>
    <row r="41" spans="1:40" x14ac:dyDescent="0.35">
      <c r="A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6.3573770100520205E-2</v>
      </c>
      <c r="AI41" s="21"/>
      <c r="AJ41" s="21"/>
    </row>
    <row r="42" spans="1:40" x14ac:dyDescent="0.35">
      <c r="A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21"/>
      <c r="AJ42" s="21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45328</v>
      </c>
      <c r="B44" s="281" t="s">
        <v>917</v>
      </c>
      <c r="C44" s="21" t="s">
        <v>918</v>
      </c>
      <c r="D44" s="44">
        <v>1912994</v>
      </c>
      <c r="E44" s="44" t="s">
        <v>652</v>
      </c>
      <c r="F44" s="21">
        <v>50</v>
      </c>
      <c r="G44" s="21"/>
      <c r="H44" s="22">
        <v>25110</v>
      </c>
      <c r="I44" s="33">
        <v>0.55000000000000004</v>
      </c>
      <c r="J44" s="24">
        <f>IFERROR(K44/H44,"")</f>
        <v>0.54928315412186379</v>
      </c>
      <c r="K44" s="22">
        <v>13792.5</v>
      </c>
      <c r="L44" s="21">
        <v>18</v>
      </c>
      <c r="M44" s="21">
        <v>26</v>
      </c>
      <c r="N44" s="21">
        <v>6</v>
      </c>
      <c r="O44" s="21"/>
      <c r="P44" s="21"/>
      <c r="Q44" s="21"/>
      <c r="R44" s="21"/>
      <c r="S44" s="21"/>
      <c r="T44" s="21"/>
      <c r="U44" s="25">
        <v>245</v>
      </c>
      <c r="V44" s="25">
        <f>H44*U44*I44/15</f>
        <v>225571.50000000003</v>
      </c>
      <c r="W44" s="25">
        <v>247.93</v>
      </c>
      <c r="X44" s="25">
        <f>477360.27/100*F44</f>
        <v>238680.13500000001</v>
      </c>
      <c r="Y44" s="25">
        <f>IF(B44="FRANCISCO CAMACHO",((F44*42)+(G44*42)),IF(B44="DANILO VIANA",((F44*60)+(G44*60)),IF(B44="ANTONIO MARCUS ALBINO",((F44*60)+(G44*60)),0)))</f>
        <v>0</v>
      </c>
      <c r="Z44" s="272">
        <f>1504</f>
        <v>1504</v>
      </c>
      <c r="AA44" s="25">
        <v>0</v>
      </c>
      <c r="AB44" s="272">
        <v>1531.25</v>
      </c>
      <c r="AC44" s="25">
        <v>0</v>
      </c>
      <c r="AD44" s="25">
        <f>IF(F44="",G44*4.11,F44*4.11)</f>
        <v>205.50000000000003</v>
      </c>
      <c r="AE44" s="25">
        <f>954.73/100*F44</f>
        <v>477.36500000000001</v>
      </c>
      <c r="AF44" s="25">
        <f>V44+Y44+Z44+AA44+AB44+AC44+AD44</f>
        <v>228812.25000000003</v>
      </c>
      <c r="AG44" s="25">
        <f>IFERROR(IFERROR((H44*W44*J44/15)-AE44,""),"")</f>
        <v>227494.27</v>
      </c>
      <c r="AH44" s="26">
        <f>IFERROR(AG44-AF44,0)</f>
        <v>-1317.9800000000396</v>
      </c>
      <c r="AI44" s="25">
        <f>(F44+G44)/$AL$7*$AL$26</f>
        <v>586.46598639455794</v>
      </c>
      <c r="AJ44" s="25">
        <f>(AH44+AI44)*70%</f>
        <v>-512.05980952383709</v>
      </c>
    </row>
    <row r="45" spans="1:40" x14ac:dyDescent="0.35">
      <c r="A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-26.359600000000793</v>
      </c>
      <c r="AI45" s="21"/>
      <c r="AJ45" s="21"/>
    </row>
    <row r="46" spans="1:40" x14ac:dyDescent="0.35">
      <c r="A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-5.7934646002294459E-3</v>
      </c>
      <c r="AI46" s="21"/>
      <c r="AJ46" s="21"/>
    </row>
    <row r="47" spans="1:40" x14ac:dyDescent="0.35">
      <c r="A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  <c r="AI47" s="47"/>
      <c r="AJ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x14ac:dyDescent="0.35">
      <c r="A49" s="20">
        <v>45329</v>
      </c>
      <c r="B49" s="21" t="s">
        <v>911</v>
      </c>
      <c r="C49" s="21" t="s">
        <v>224</v>
      </c>
      <c r="D49" s="44">
        <v>1913159</v>
      </c>
      <c r="E49" s="44" t="s">
        <v>652</v>
      </c>
      <c r="F49" s="21">
        <v>149</v>
      </c>
      <c r="G49" s="21"/>
      <c r="H49" s="22">
        <v>77301.2</v>
      </c>
      <c r="I49" s="33">
        <v>0.54</v>
      </c>
      <c r="J49" s="24">
        <f>IFERROR(K49/H49,"")</f>
        <v>0.54503341043433562</v>
      </c>
      <c r="K49" s="22">
        <f>42414.5/150*F49</f>
        <v>42131.736666666664</v>
      </c>
      <c r="L49" s="21">
        <v>54</v>
      </c>
      <c r="M49" s="21">
        <v>69</v>
      </c>
      <c r="N49" s="21">
        <v>23</v>
      </c>
      <c r="O49" s="21">
        <v>2</v>
      </c>
      <c r="P49" s="21">
        <v>1</v>
      </c>
      <c r="Q49" s="21"/>
      <c r="R49" s="21"/>
      <c r="S49" s="21"/>
      <c r="T49" s="21"/>
      <c r="U49" s="25">
        <v>235</v>
      </c>
      <c r="V49" s="25">
        <f>H49*U49*I49/15</f>
        <v>653968.15200000012</v>
      </c>
      <c r="W49" s="25">
        <v>245.62</v>
      </c>
      <c r="X49" s="25">
        <f>1419555.62/300*F49</f>
        <v>705045.95793333347</v>
      </c>
      <c r="Y49" s="25">
        <f>IF(B49="FRANCISCO CAMACHO",((F49*42)+(G49*42)),IF(B49="DANILO VIANA",((F49*60)+(G49*60)),IF(B49="ANTONIO MARCUS ALBINO",((F49*60)+(G49*60)),0)))</f>
        <v>8940</v>
      </c>
      <c r="Z49" s="272">
        <f>(8727.6+17473.2)/150*F49</f>
        <v>26026.128000000004</v>
      </c>
      <c r="AA49" s="25">
        <v>0</v>
      </c>
      <c r="AB49" s="272">
        <f>4403.75/150*F49</f>
        <v>4374.3916666666664</v>
      </c>
      <c r="AC49" s="25">
        <f>38*F49</f>
        <v>5662</v>
      </c>
      <c r="AD49" s="25">
        <f>IF(F49="",G49*4.11,F49*4.11)</f>
        <v>612.3900000000001</v>
      </c>
      <c r="AE49" s="25">
        <f>X49*0.2%</f>
        <v>1410.091915866667</v>
      </c>
      <c r="AF49" s="25">
        <f>V49+Y49+Z49+AA49+AB49+AC49+AD49</f>
        <v>699583.06166666688</v>
      </c>
      <c r="AG49" s="25">
        <f>IFERROR(IFERROR((H49*W49*J49/15)-AE49,""),"")</f>
        <v>688483.05208857765</v>
      </c>
      <c r="AH49" s="26">
        <f>IFERROR(AG49-AF49,0)</f>
        <v>-11100.00957808923</v>
      </c>
      <c r="AI49" s="25">
        <f>(F49+G49)/$AL$7*$AL$26</f>
        <v>1747.6686394557826</v>
      </c>
      <c r="AJ49" s="25">
        <f>(AH49+AI49)*70%</f>
        <v>-6546.6386570434133</v>
      </c>
    </row>
    <row r="50" spans="1:36" x14ac:dyDescent="0.35">
      <c r="A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-74.496708577780069</v>
      </c>
      <c r="AI50" s="21"/>
      <c r="AJ50" s="21"/>
    </row>
    <row r="51" spans="1:36" x14ac:dyDescent="0.35">
      <c r="A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-1.6122415133410058E-2</v>
      </c>
      <c r="AI51" s="21"/>
      <c r="AJ51" s="21"/>
    </row>
    <row r="52" spans="1:36" x14ac:dyDescent="0.35">
      <c r="A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21"/>
      <c r="AJ52" s="21"/>
    </row>
    <row r="53" spans="1:36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x14ac:dyDescent="0.35">
      <c r="A54" s="20">
        <v>45329</v>
      </c>
      <c r="B54" s="21" t="s">
        <v>911</v>
      </c>
      <c r="C54" s="21" t="s">
        <v>224</v>
      </c>
      <c r="D54" s="44">
        <v>1913159</v>
      </c>
      <c r="E54" s="44" t="s">
        <v>652</v>
      </c>
      <c r="F54" s="21">
        <v>1</v>
      </c>
      <c r="G54" s="21"/>
      <c r="H54" s="22">
        <v>518.79999999999995</v>
      </c>
      <c r="I54" s="33">
        <v>0.54</v>
      </c>
      <c r="J54" s="24">
        <f>IFERROR(K54/H54,"")</f>
        <v>0.54503341043433562</v>
      </c>
      <c r="K54" s="22">
        <f>42414.5/150*F54</f>
        <v>282.76333333333332</v>
      </c>
      <c r="L54" s="21"/>
      <c r="M54" s="21">
        <v>1</v>
      </c>
      <c r="N54" s="21"/>
      <c r="O54" s="21"/>
      <c r="P54" s="21"/>
      <c r="Q54" s="21"/>
      <c r="R54" s="21"/>
      <c r="S54" s="21"/>
      <c r="T54" s="21"/>
      <c r="U54" s="25">
        <v>215</v>
      </c>
      <c r="V54" s="25">
        <f>H54*U54*I54/15</f>
        <v>4015.5119999999997</v>
      </c>
      <c r="W54" s="25">
        <v>245.62</v>
      </c>
      <c r="X54" s="25">
        <f>1419555.62/300*F54</f>
        <v>4731.8520666666673</v>
      </c>
      <c r="Y54" s="25">
        <f>IF(B54="FRANCISCO CAMACHO",((F54*42)+(G54*42)),IF(B54="DANILO VIANA",((F54*60)+(G54*60)),IF(B54="ANTONIO MARCUS ALBINO",((F54*60)+(G54*60)),0)))</f>
        <v>60</v>
      </c>
      <c r="Z54" s="272">
        <f>(8727.6+17473.2)/150*F54</f>
        <v>174.67200000000003</v>
      </c>
      <c r="AA54" s="25">
        <v>0</v>
      </c>
      <c r="AB54" s="272">
        <f>4403.75/150*F54</f>
        <v>29.358333333333334</v>
      </c>
      <c r="AC54" s="25">
        <f>38*F54</f>
        <v>38</v>
      </c>
      <c r="AD54" s="25">
        <f>IF(F54="",G54*4.11,F54*4.11)</f>
        <v>4.1100000000000003</v>
      </c>
      <c r="AE54" s="25">
        <f>X54*0.2%</f>
        <v>9.4637041333333354</v>
      </c>
      <c r="AF54" s="25">
        <f>V54+Y54+Z54+AA54+AB54+AC54+AD54</f>
        <v>4321.6523333333325</v>
      </c>
      <c r="AG54" s="25">
        <f>IFERROR(IFERROR((H54*W54*J54/15)-AE54,""),"")</f>
        <v>4620.6916247555546</v>
      </c>
      <c r="AH54" s="26">
        <f>IFERROR(AG54-AF54,0)</f>
        <v>299.03929142222205</v>
      </c>
      <c r="AI54" s="25">
        <f>(F54+G54)/$AL$7*$AL$26</f>
        <v>11.729319727891157</v>
      </c>
      <c r="AJ54" s="25">
        <f>(AH54+AI54)*70%</f>
        <v>217.53802780507922</v>
      </c>
    </row>
    <row r="55" spans="1:36" x14ac:dyDescent="0.35">
      <c r="A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299.03929142222205</v>
      </c>
      <c r="AI55" s="21"/>
      <c r="AJ55" s="21"/>
    </row>
    <row r="56" spans="1:36" x14ac:dyDescent="0.35">
      <c r="A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6.4717431005372902E-2</v>
      </c>
      <c r="AI56" s="21"/>
      <c r="AJ56" s="21"/>
    </row>
    <row r="57" spans="1:36" x14ac:dyDescent="0.35">
      <c r="A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  <c r="AI57" s="21"/>
      <c r="AJ57" s="21"/>
    </row>
    <row r="58" spans="1:36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6" x14ac:dyDescent="0.35">
      <c r="A59" s="20">
        <v>45329</v>
      </c>
      <c r="B59" s="21" t="s">
        <v>911</v>
      </c>
      <c r="C59" s="21" t="s">
        <v>846</v>
      </c>
      <c r="D59" s="44">
        <v>1913159</v>
      </c>
      <c r="E59" s="44" t="s">
        <v>652</v>
      </c>
      <c r="F59" s="21">
        <v>150</v>
      </c>
      <c r="G59" s="21"/>
      <c r="H59" s="22">
        <v>80490</v>
      </c>
      <c r="I59" s="33">
        <v>0.54</v>
      </c>
      <c r="J59" s="24">
        <f>IFERROR(K59/H59,"")</f>
        <v>0.55008075537333834</v>
      </c>
      <c r="K59" s="22">
        <v>44276</v>
      </c>
      <c r="L59" s="21">
        <v>19</v>
      </c>
      <c r="M59" s="21">
        <v>51</v>
      </c>
      <c r="N59" s="21">
        <v>61</v>
      </c>
      <c r="O59" s="21">
        <v>18</v>
      </c>
      <c r="P59" s="21">
        <v>1</v>
      </c>
      <c r="Q59" s="21"/>
      <c r="R59" s="21"/>
      <c r="S59" s="21"/>
      <c r="T59" s="21"/>
      <c r="U59" s="25">
        <v>235</v>
      </c>
      <c r="V59" s="25">
        <f>H59*U59*I59/15</f>
        <v>680945.4</v>
      </c>
      <c r="W59" s="25">
        <v>245.62</v>
      </c>
      <c r="X59" s="25">
        <f>1419555.62/300*F59</f>
        <v>709777.81</v>
      </c>
      <c r="Y59" s="25">
        <f>IF(B59="FRANCISCO CAMACHO",((F59*42)+(G59*42)),IF(B59="DANILO VIANA",((F59*60)+(G59*60)),IF(B59="ANTONIO MARCUS ALBINO",((F59*60)+(G59*60)),0)))</f>
        <v>9000</v>
      </c>
      <c r="Z59" s="272">
        <f>(16032.4+8027.6)/150*F59</f>
        <v>24060</v>
      </c>
      <c r="AA59" s="25">
        <v>0</v>
      </c>
      <c r="AB59" s="272">
        <f>4406.25</f>
        <v>4406.25</v>
      </c>
      <c r="AC59" s="25">
        <f>38*F59</f>
        <v>5700</v>
      </c>
      <c r="AD59" s="25">
        <f>IF(F59="",G59*4.11,F59*4.11)</f>
        <v>616.5</v>
      </c>
      <c r="AE59" s="25">
        <f>X59*0.2%</f>
        <v>1419.5556200000001</v>
      </c>
      <c r="AF59" s="25">
        <f>V59+Y59+Z59+AA59+AB59+AC59+AD59</f>
        <v>724728.15</v>
      </c>
      <c r="AG59" s="25">
        <f>IFERROR(IFERROR((H59*W59*J59/15)-AE59,""),"")</f>
        <v>723585.18571333343</v>
      </c>
      <c r="AH59" s="26">
        <f>IFERROR(AG59-AF59,0)</f>
        <v>-1142.9642866665963</v>
      </c>
      <c r="AI59" s="25">
        <f>(F59+G59)/$AL$7*$AL$26</f>
        <v>1759.3979591836737</v>
      </c>
      <c r="AJ59" s="25">
        <f>(AH59+AI59)*70%</f>
        <v>431.50357076195417</v>
      </c>
    </row>
    <row r="60" spans="1:36" x14ac:dyDescent="0.35">
      <c r="A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-7.6197619111106425</v>
      </c>
      <c r="AI60" s="21"/>
      <c r="AJ60" s="21"/>
    </row>
    <row r="61" spans="1:36" x14ac:dyDescent="0.35">
      <c r="A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-1.5795849738684542E-3</v>
      </c>
      <c r="AI61" s="21"/>
      <c r="AJ61" s="21"/>
    </row>
    <row r="62" spans="1:36" x14ac:dyDescent="0.35">
      <c r="A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45331</v>
      </c>
      <c r="B64" s="21" t="s">
        <v>632</v>
      </c>
      <c r="C64" s="21" t="s">
        <v>919</v>
      </c>
      <c r="D64" s="44">
        <v>1919372</v>
      </c>
      <c r="E64" s="44" t="s">
        <v>652</v>
      </c>
      <c r="F64" s="21">
        <v>50</v>
      </c>
      <c r="G64" s="21"/>
      <c r="H64" s="22">
        <v>26431</v>
      </c>
      <c r="I64" s="33">
        <v>0.55000000000000004</v>
      </c>
      <c r="J64" s="24">
        <f>IFERROR(K64/H64,"")</f>
        <v>0.5398319653135103</v>
      </c>
      <c r="K64" s="22">
        <v>14268.298675201389</v>
      </c>
      <c r="L64" s="21">
        <v>3</v>
      </c>
      <c r="M64" s="21">
        <v>22</v>
      </c>
      <c r="N64" s="21">
        <v>19</v>
      </c>
      <c r="O64" s="21">
        <v>5</v>
      </c>
      <c r="P64" s="21">
        <v>1</v>
      </c>
      <c r="Q64" s="21"/>
      <c r="R64" s="21"/>
      <c r="S64" s="21"/>
      <c r="T64" s="21"/>
      <c r="U64" s="25">
        <v>215</v>
      </c>
      <c r="V64" s="25">
        <f>H64*U64*I64/15</f>
        <v>208364.38333333336</v>
      </c>
      <c r="W64" s="25">
        <v>244.42</v>
      </c>
      <c r="X64" s="25">
        <f>K64/15*W64</f>
        <v>232497.17081284823</v>
      </c>
      <c r="Y64" s="25">
        <f>IF(B64="FRANCISCO CAMACHO",((F64*42)+(G64*42)),IF(B64="DANILO VIANA",((F64*60)+(G64*60)),IF(B64="ANTONIO MARCUS ALBINO",((F64*60)+(G64*60)),0)))</f>
        <v>2100</v>
      </c>
      <c r="Z64" s="272">
        <f>27517.36</f>
        <v>27517.360000000001</v>
      </c>
      <c r="AA64" s="25">
        <v>0</v>
      </c>
      <c r="AB64" s="272">
        <f>1343.75</f>
        <v>1343.75</v>
      </c>
      <c r="AC64" s="25">
        <v>0</v>
      </c>
      <c r="AD64" s="25">
        <f>IF(F64="",G64*4.11,F64*4.11)</f>
        <v>205.50000000000003</v>
      </c>
      <c r="AE64" s="25">
        <f>X64*0.2%</f>
        <v>464.99434162569645</v>
      </c>
      <c r="AF64" s="25">
        <f>V64+Y64+Z64+AA64+AB64+AC64+AD64</f>
        <v>239530.99333333335</v>
      </c>
      <c r="AG64" s="25">
        <f>IFERROR(IFERROR((H64*W64*J64/15)-AE64,""),"")</f>
        <v>232032.17647122254</v>
      </c>
      <c r="AH64" s="26">
        <f>IFERROR(AG64-AF64,0)</f>
        <v>-7498.8168621108052</v>
      </c>
      <c r="AI64" s="25">
        <f>(F64+G64)/$AL$7*$AL$26</f>
        <v>586.46598639455794</v>
      </c>
      <c r="AJ64" s="25">
        <f>(AH64+AI64)*70%</f>
        <v>-4838.645613001373</v>
      </c>
    </row>
    <row r="65" spans="1:36" x14ac:dyDescent="0.35">
      <c r="A65" s="21"/>
      <c r="C65" s="21"/>
      <c r="D65" s="21"/>
      <c r="E65" s="21"/>
      <c r="F65" s="21"/>
      <c r="G65" s="21"/>
      <c r="H65" s="21"/>
      <c r="I65" s="21"/>
      <c r="J65" s="21">
        <v>53.983196530999997</v>
      </c>
      <c r="K65" s="300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5"/>
      <c r="Y65" s="21"/>
      <c r="Z65" s="3"/>
      <c r="AA65" s="21"/>
      <c r="AB65" s="21"/>
      <c r="AC65" s="21"/>
      <c r="AD65" s="21"/>
      <c r="AE65" s="21"/>
      <c r="AF65" s="25"/>
      <c r="AG65" s="25"/>
      <c r="AH65" s="26">
        <f>IFERROR(AH64/F64,0)+IFERROR(AH64/G64,0)</f>
        <v>-149.97633724221612</v>
      </c>
      <c r="AI65" s="21"/>
      <c r="AJ65" s="21"/>
    </row>
    <row r="66" spans="1:36" x14ac:dyDescent="0.35">
      <c r="A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5"/>
      <c r="AH66" s="27">
        <f>IFERROR(AH64/AG64,"")</f>
        <v>-3.2318004236110053E-2</v>
      </c>
      <c r="AI66" s="21"/>
      <c r="AJ66" s="21"/>
    </row>
    <row r="67" spans="1:36" x14ac:dyDescent="0.35">
      <c r="A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21"/>
      <c r="AJ67" s="21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45331</v>
      </c>
      <c r="B69" s="21" t="s">
        <v>911</v>
      </c>
      <c r="C69" s="21" t="s">
        <v>170</v>
      </c>
      <c r="D69" s="44">
        <v>1919372</v>
      </c>
      <c r="E69" s="44" t="s">
        <v>652</v>
      </c>
      <c r="F69" s="21">
        <f>41</f>
        <v>41</v>
      </c>
      <c r="G69" s="21"/>
      <c r="H69" s="22">
        <v>23107.599999999999</v>
      </c>
      <c r="I69" s="33">
        <v>0.53</v>
      </c>
      <c r="J69" s="24">
        <f>IFERROR(K69/H69,"")</f>
        <v>0.5398319653135103</v>
      </c>
      <c r="K69" s="22">
        <v>12474.221121678469</v>
      </c>
      <c r="L69" s="21">
        <v>3</v>
      </c>
      <c r="M69" s="21">
        <v>18</v>
      </c>
      <c r="N69" s="21">
        <v>16</v>
      </c>
      <c r="O69" s="21">
        <v>4</v>
      </c>
      <c r="P69" s="21"/>
      <c r="Q69" s="21"/>
      <c r="R69" s="21"/>
      <c r="S69" s="21"/>
      <c r="T69" s="21"/>
      <c r="U69" s="25">
        <v>230</v>
      </c>
      <c r="V69" s="25">
        <f>H69*U69*I69/15</f>
        <v>187787.76266666668</v>
      </c>
      <c r="W69" s="25">
        <v>244.42</v>
      </c>
      <c r="X69" s="25">
        <f>K69/15*W69</f>
        <v>203263.27510404342</v>
      </c>
      <c r="Y69" s="25">
        <f>IF(B69="FRANCISCO CAMACHO",((F69*42)+(G69*42)),IF(B69="DANILO VIANA",((F69*60)+(G69*60)),IF(B69="ANTONIO MARCUS ALBINO",((F69*60)+(G69*60)),0)))</f>
        <v>2460</v>
      </c>
      <c r="Z69" s="272">
        <f>15244.2/50*F69</f>
        <v>12500.244000000001</v>
      </c>
      <c r="AA69" s="25">
        <v>0</v>
      </c>
      <c r="AB69" s="272">
        <f>1415/50*F69</f>
        <v>1160.3</v>
      </c>
      <c r="AC69" s="25">
        <f>38*F69</f>
        <v>1558</v>
      </c>
      <c r="AD69" s="25">
        <f>IF(F69="",G69*4.11,F69*4.11)</f>
        <v>168.51000000000002</v>
      </c>
      <c r="AE69" s="25">
        <f>X69*0.2%</f>
        <v>406.52655020808686</v>
      </c>
      <c r="AF69" s="25">
        <f>V69+Y69+Z69+AA69+AB69+AC69+AD69</f>
        <v>205634.81666666668</v>
      </c>
      <c r="AG69" s="25">
        <f>IFERROR(IFERROR((H69*W69*J69/15)-AE69,""),"")</f>
        <v>202856.74855383535</v>
      </c>
      <c r="AH69" s="26">
        <f>IFERROR(AG69-AF69,0)</f>
        <v>-2778.0681128313299</v>
      </c>
      <c r="AI69" s="25">
        <f>(F69+G69)/$AL$7*$AL$26</f>
        <v>480.90210884353746</v>
      </c>
      <c r="AJ69" s="25">
        <f>(AH69+AI69)*70%</f>
        <v>-1608.0162027914546</v>
      </c>
    </row>
    <row r="70" spans="1:36" x14ac:dyDescent="0.35">
      <c r="A70" s="21"/>
      <c r="C70" s="21"/>
      <c r="D70" s="21"/>
      <c r="E70" s="21"/>
      <c r="F70" s="21"/>
      <c r="G70" s="21"/>
      <c r="H70" s="21"/>
      <c r="I70" s="21"/>
      <c r="J70" s="21"/>
      <c r="K70" s="300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5"/>
      <c r="AG70" s="25"/>
      <c r="AH70" s="26">
        <f>IFERROR(AH69/F69,0)+IFERROR(AH69/G69,0)</f>
        <v>-67.757758849544629</v>
      </c>
      <c r="AI70" s="21"/>
      <c r="AJ70" s="21"/>
    </row>
    <row r="71" spans="1:36" x14ac:dyDescent="0.35">
      <c r="A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5"/>
      <c r="AH71" s="27">
        <f>IFERROR(AH69/AG69,"")</f>
        <v>-1.3694728583772353E-2</v>
      </c>
      <c r="AI71" s="21"/>
      <c r="AJ71" s="21"/>
    </row>
    <row r="72" spans="1:36" x14ac:dyDescent="0.35">
      <c r="A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  <c r="AI72" s="21"/>
      <c r="AJ72" s="21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45331</v>
      </c>
      <c r="B74" s="21" t="s">
        <v>911</v>
      </c>
      <c r="C74" s="21" t="s">
        <v>170</v>
      </c>
      <c r="D74" s="44">
        <v>1919372</v>
      </c>
      <c r="E74" s="44" t="s">
        <v>652</v>
      </c>
      <c r="F74" s="21">
        <f>50-F69</f>
        <v>9</v>
      </c>
      <c r="G74" s="21"/>
      <c r="H74" s="22">
        <v>5072.3999999999996</v>
      </c>
      <c r="I74" s="33">
        <v>0.53</v>
      </c>
      <c r="J74" s="24">
        <f>IFERROR(K74/H74,"")</f>
        <v>0.5398319653135103</v>
      </c>
      <c r="K74" s="22">
        <v>2738.2436608562493</v>
      </c>
      <c r="L74" s="21">
        <v>1</v>
      </c>
      <c r="M74" s="21">
        <v>4</v>
      </c>
      <c r="N74" s="21">
        <v>3</v>
      </c>
      <c r="O74" s="21">
        <v>1</v>
      </c>
      <c r="P74" s="21"/>
      <c r="Q74" s="21"/>
      <c r="R74" s="21"/>
      <c r="S74" s="21"/>
      <c r="T74" s="21"/>
      <c r="U74" s="25">
        <v>210</v>
      </c>
      <c r="V74" s="25">
        <f>H74*U74*I74/15</f>
        <v>37637.207999999999</v>
      </c>
      <c r="W74" s="25">
        <v>244.42</v>
      </c>
      <c r="X74" s="25">
        <f>K74/15*W74</f>
        <v>44618.767705765633</v>
      </c>
      <c r="Y74" s="25">
        <f>IF(B74="FRANCISCO CAMACHO",((F74*42)+(G74*42)),IF(B74="DANILO VIANA",((F74*60)+(G74*60)),IF(B74="ANTONIO MARCUS ALBINO",((F74*60)+(G74*60)),0)))</f>
        <v>540</v>
      </c>
      <c r="Z74" s="272">
        <f>15244.2/50*F74</f>
        <v>2743.9560000000001</v>
      </c>
      <c r="AA74" s="25">
        <v>0</v>
      </c>
      <c r="AB74" s="272">
        <f>1415/50*F74</f>
        <v>254.70000000000002</v>
      </c>
      <c r="AC74" s="25">
        <f>38*F74</f>
        <v>342</v>
      </c>
      <c r="AD74" s="25">
        <f>IF(F74="",G74*4.11,F74*4.11)</f>
        <v>36.99</v>
      </c>
      <c r="AE74" s="25">
        <f>X74*0.2%</f>
        <v>89.237535411531269</v>
      </c>
      <c r="AF74" s="25">
        <f>V74+Y74+Z74+AA74+AB74+AC74+AD74</f>
        <v>41554.853999999992</v>
      </c>
      <c r="AG74" s="25">
        <f>IFERROR(IFERROR((H74*W74*J74/15)-AE74,""),"")</f>
        <v>44529.530170354104</v>
      </c>
      <c r="AH74" s="26">
        <f>IFERROR(AG74-AF74,0)</f>
        <v>2974.6761703541124</v>
      </c>
      <c r="AI74" s="25">
        <f>(F74+G74)/$AL$7*$AL$26</f>
        <v>105.56387755102043</v>
      </c>
      <c r="AJ74" s="25">
        <f>(AH74+AI74)*70%</f>
        <v>2156.1680335335927</v>
      </c>
    </row>
    <row r="75" spans="1:36" x14ac:dyDescent="0.35">
      <c r="A75" s="21"/>
      <c r="C75" s="21"/>
      <c r="D75" s="21"/>
      <c r="E75" s="21"/>
      <c r="F75" s="21"/>
      <c r="G75" s="21"/>
      <c r="H75" s="21"/>
      <c r="I75" s="21"/>
      <c r="J75" s="21"/>
      <c r="K75" s="300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5"/>
      <c r="AG75" s="25"/>
      <c r="AH75" s="26">
        <f>IFERROR(AH74/F74,0)+IFERROR(AH74/G74,0)</f>
        <v>330.51957448379028</v>
      </c>
      <c r="AI75" s="21"/>
      <c r="AJ75" s="21"/>
    </row>
    <row r="76" spans="1:36" x14ac:dyDescent="0.35">
      <c r="A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5"/>
      <c r="AH76" s="27">
        <f>IFERROR(AH74/AG74,"")</f>
        <v>6.6802325534854337E-2</v>
      </c>
      <c r="AI76" s="21"/>
      <c r="AJ76" s="21"/>
    </row>
    <row r="77" spans="1:36" x14ac:dyDescent="0.35">
      <c r="A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21"/>
      <c r="AJ77" s="21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>
        <v>45331</v>
      </c>
      <c r="B79" s="21" t="s">
        <v>911</v>
      </c>
      <c r="C79" s="21" t="s">
        <v>531</v>
      </c>
      <c r="D79" s="44">
        <v>1919372</v>
      </c>
      <c r="E79" s="44" t="s">
        <v>652</v>
      </c>
      <c r="F79" s="21">
        <v>49</v>
      </c>
      <c r="G79" s="21"/>
      <c r="H79" s="22">
        <v>26660</v>
      </c>
      <c r="I79" s="33">
        <v>0.53</v>
      </c>
      <c r="J79" s="24">
        <f>IFERROR(K79/H79,"")</f>
        <v>0.53983196531351019</v>
      </c>
      <c r="K79" s="22">
        <v>14391.920195258183</v>
      </c>
      <c r="L79" s="21">
        <v>3</v>
      </c>
      <c r="M79" s="21">
        <v>22</v>
      </c>
      <c r="N79" s="21">
        <v>19</v>
      </c>
      <c r="O79" s="21">
        <v>6</v>
      </c>
      <c r="P79" s="21"/>
      <c r="Q79" s="21"/>
      <c r="R79" s="21"/>
      <c r="S79" s="21"/>
      <c r="T79" s="21"/>
      <c r="U79" s="25">
        <v>225</v>
      </c>
      <c r="V79" s="25">
        <f>H79*U79*I79/15</f>
        <v>211947</v>
      </c>
      <c r="W79" s="25">
        <v>244.42</v>
      </c>
      <c r="X79" s="25">
        <f>K79/15*W79</f>
        <v>234511.54227500031</v>
      </c>
      <c r="Y79" s="25">
        <f>IF(B79="FRANCISCO CAMACHO",((F79*42)+(G79*42)),IF(B79="DANILO VIANA",((F79*60)+(G79*60)),IF(B79="ANTONIO MARCUS ALBINO",((F79*60)+(G79*60)),0)))</f>
        <v>2940</v>
      </c>
      <c r="Z79" s="272">
        <f>9834.8</f>
        <v>9834.7999999999993</v>
      </c>
      <c r="AA79" s="25">
        <v>0</v>
      </c>
      <c r="AB79" s="272">
        <f>1378.13</f>
        <v>1378.13</v>
      </c>
      <c r="AC79" s="25">
        <f>38*F79</f>
        <v>1862</v>
      </c>
      <c r="AD79" s="25">
        <f>IF(F79="",G79*4.11,F79*4.11)</f>
        <v>201.39000000000001</v>
      </c>
      <c r="AE79" s="25">
        <f>X79*0.2%</f>
        <v>469.02308455000065</v>
      </c>
      <c r="AF79" s="25">
        <f>V79+Y79+Z79+AA79+AB79+AC79+AD79</f>
        <v>228163.32</v>
      </c>
      <c r="AG79" s="25">
        <f>IFERROR(IFERROR((H79*W79*J79/15)-AE79,""),"")</f>
        <v>234042.51919045032</v>
      </c>
      <c r="AH79" s="26">
        <f>IFERROR(AG79-AF79,0)</f>
        <v>5879.1991904503084</v>
      </c>
      <c r="AI79" s="25">
        <f>(F79+G79)/$AL$7*$AL$26</f>
        <v>574.73666666666668</v>
      </c>
      <c r="AJ79" s="25">
        <f>(AH79+AI79)*70%</f>
        <v>4517.7550999818823</v>
      </c>
    </row>
    <row r="80" spans="1:36" x14ac:dyDescent="0.35">
      <c r="A80" s="21"/>
      <c r="C80" s="21"/>
      <c r="D80" s="21"/>
      <c r="E80" s="21"/>
      <c r="F80" s="21"/>
      <c r="G80" s="21"/>
      <c r="H80" s="21"/>
      <c r="I80" s="21"/>
      <c r="J80" s="21"/>
      <c r="K80" s="300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5"/>
      <c r="AG80" s="25"/>
      <c r="AH80" s="26">
        <f>IFERROR(AH79/F79,0)+IFERROR(AH79/G79,0)</f>
        <v>119.98365694796547</v>
      </c>
      <c r="AI80" s="21"/>
      <c r="AJ80" s="21"/>
    </row>
    <row r="81" spans="1:36" x14ac:dyDescent="0.35">
      <c r="A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5"/>
      <c r="AH81" s="27">
        <f>IFERROR(AH79/AG79,"")</f>
        <v>2.512021837222729E-2</v>
      </c>
      <c r="AI81" s="21"/>
      <c r="AJ81" s="21"/>
    </row>
    <row r="82" spans="1:36" x14ac:dyDescent="0.35">
      <c r="A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  <c r="AI82" s="47"/>
      <c r="AJ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>
        <v>45331</v>
      </c>
      <c r="B84" s="21" t="s">
        <v>632</v>
      </c>
      <c r="C84" s="21" t="s">
        <v>909</v>
      </c>
      <c r="D84" s="44">
        <v>1919372</v>
      </c>
      <c r="E84" s="44" t="s">
        <v>652</v>
      </c>
      <c r="F84" s="21">
        <v>50</v>
      </c>
      <c r="G84" s="21"/>
      <c r="H84" s="22">
        <v>28860</v>
      </c>
      <c r="I84" s="33">
        <v>0.54</v>
      </c>
      <c r="J84" s="24">
        <f>IFERROR(K84/H84,"")</f>
        <v>0.53983196531351019</v>
      </c>
      <c r="K84" s="22">
        <v>15579.550518947904</v>
      </c>
      <c r="L84" s="21">
        <v>3</v>
      </c>
      <c r="M84" s="21">
        <v>22</v>
      </c>
      <c r="N84" s="21">
        <v>19</v>
      </c>
      <c r="O84" s="21">
        <v>6</v>
      </c>
      <c r="P84" s="21"/>
      <c r="Q84" s="21"/>
      <c r="R84" s="21"/>
      <c r="S84" s="21"/>
      <c r="T84" s="21"/>
      <c r="U84" s="25">
        <v>215</v>
      </c>
      <c r="V84" s="25">
        <f>H84*U84*I84/15</f>
        <v>223376.4</v>
      </c>
      <c r="W84" s="25">
        <v>244.42</v>
      </c>
      <c r="X84" s="25">
        <f>K84/15*W84</f>
        <v>253863.58252274976</v>
      </c>
      <c r="Y84" s="25">
        <f>IF(B84="FRANCISCO CAMACHO",((F84*42)+(G84*42)),IF(B84="DANILO VIANA",((F84*60)+(G84*60)),IF(B84="ANTONIO MARCUS ALBINO",((F84*60)+(G84*60)),0)))</f>
        <v>2100</v>
      </c>
      <c r="Z84" s="272">
        <f>23116.72</f>
        <v>23116.720000000001</v>
      </c>
      <c r="AA84" s="25">
        <v>0</v>
      </c>
      <c r="AB84" s="272">
        <f>1343.75</f>
        <v>1343.75</v>
      </c>
      <c r="AC84" s="25">
        <v>0</v>
      </c>
      <c r="AD84" s="25">
        <f>IF(F84="",G84*4.11,F84*4.11)</f>
        <v>205.50000000000003</v>
      </c>
      <c r="AE84" s="25">
        <f>X84*0.2%</f>
        <v>507.72716504549953</v>
      </c>
      <c r="AF84" s="25">
        <f>V84+Y84+Z84+AA84+AB84+AC84+AD84</f>
        <v>250142.37</v>
      </c>
      <c r="AG84" s="25">
        <f>IFERROR(IFERROR((H84*W84*J84/15)-AE84,""),"")</f>
        <v>253355.85535770425</v>
      </c>
      <c r="AH84" s="26">
        <f>IFERROR(AG84-AF84,0)</f>
        <v>3213.4853577042522</v>
      </c>
      <c r="AI84" s="25">
        <f>(F84+G84)/$AL$7*$AL$26</f>
        <v>586.46598639455794</v>
      </c>
      <c r="AJ84" s="25">
        <f>(AH84+AI84)*70%</f>
        <v>2659.9659408691668</v>
      </c>
    </row>
    <row r="85" spans="1:36" x14ac:dyDescent="0.35">
      <c r="A85" s="21"/>
      <c r="C85" s="21"/>
      <c r="D85" s="21"/>
      <c r="E85" s="21"/>
      <c r="F85" s="21"/>
      <c r="G85" s="21"/>
      <c r="H85" s="21"/>
      <c r="I85" s="21"/>
      <c r="J85" s="21"/>
      <c r="K85" s="300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5"/>
      <c r="AG85" s="25"/>
      <c r="AH85" s="26">
        <f>IFERROR(AH84/F84,0)+IFERROR(AH84/G84,0)</f>
        <v>64.26970715408504</v>
      </c>
      <c r="AI85" s="21"/>
      <c r="AJ85" s="21"/>
    </row>
    <row r="86" spans="1:36" x14ac:dyDescent="0.35">
      <c r="A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5"/>
      <c r="AH86" s="27">
        <f>IFERROR(AH84/AG84,"")</f>
        <v>1.2683683008499034E-2</v>
      </c>
      <c r="AI86" s="21"/>
      <c r="AJ86" s="21"/>
    </row>
    <row r="87" spans="1:36" x14ac:dyDescent="0.35">
      <c r="A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  <c r="AI87" s="47"/>
      <c r="AJ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>
        <v>45332</v>
      </c>
      <c r="B89" s="21" t="s">
        <v>911</v>
      </c>
      <c r="C89" s="21" t="s">
        <v>174</v>
      </c>
      <c r="D89" s="44">
        <v>1919372</v>
      </c>
      <c r="E89" s="44" t="s">
        <v>652</v>
      </c>
      <c r="F89" s="306">
        <v>40</v>
      </c>
      <c r="G89" s="21"/>
      <c r="H89" s="22">
        <v>24912</v>
      </c>
      <c r="I89" s="33">
        <v>0.54</v>
      </c>
      <c r="J89" s="24">
        <f>IFERROR(K89/H89,"")</f>
        <v>0.53983196531350985</v>
      </c>
      <c r="K89" s="22">
        <f>16810.3673998627/50*F89</f>
        <v>13448.293919890159</v>
      </c>
      <c r="L89" s="21">
        <v>2</v>
      </c>
      <c r="M89" s="21">
        <v>18</v>
      </c>
      <c r="N89" s="21">
        <v>15</v>
      </c>
      <c r="O89" s="21">
        <v>5</v>
      </c>
      <c r="P89" s="21"/>
      <c r="Q89" s="21"/>
      <c r="R89" s="21"/>
      <c r="S89" s="21"/>
      <c r="T89" s="21"/>
      <c r="U89" s="25">
        <v>230</v>
      </c>
      <c r="V89" s="25">
        <f>H89*U89*I89/15</f>
        <v>206271.36000000002</v>
      </c>
      <c r="W89" s="25">
        <v>244.42</v>
      </c>
      <c r="X89" s="25">
        <f>(K89/15*W89)-4.39</f>
        <v>219131.07665997016</v>
      </c>
      <c r="Y89" s="25">
        <f>IF(B89="FRANCISCO CAMACHO",((F89*42)+(G89*42)),IF(B89="DANILO VIANA",((F89*60)+(G89*60)),IF(B89="ANTONIO MARCUS ALBINO",((F89*60)+(G89*60)),0)))</f>
        <v>2400</v>
      </c>
      <c r="Z89" s="272">
        <f>11956/50*F89</f>
        <v>9564.7999999999993</v>
      </c>
      <c r="AA89" s="25">
        <v>0</v>
      </c>
      <c r="AB89" s="272">
        <f>1412.5/50*F89</f>
        <v>1130</v>
      </c>
      <c r="AC89" s="25">
        <f>38*F89</f>
        <v>1520</v>
      </c>
      <c r="AD89" s="25">
        <f>IF(F89="",G89*4.11,F89*4.11)</f>
        <v>164.4</v>
      </c>
      <c r="AE89" s="25">
        <f>(X89*0.2%)+0.01</f>
        <v>438.27215331994034</v>
      </c>
      <c r="AF89" s="25">
        <f>V89+Y89+Z89+AA89+AB89+AC89+AD89</f>
        <v>221050.56</v>
      </c>
      <c r="AG89" s="25">
        <f>IFERROR(IFERROR((H89*W89*J89/15)-AE89,""),"")</f>
        <v>218697.19450665021</v>
      </c>
      <c r="AH89" s="26">
        <f>IFERROR(AG89-AF89,0)</f>
        <v>-2353.3654933497892</v>
      </c>
      <c r="AI89" s="25">
        <f>(F89+G89)/$AL$7*$AL$26</f>
        <v>469.17278911564631</v>
      </c>
      <c r="AJ89" s="25">
        <f>(AH89+AI89)*70%</f>
        <v>-1318.9348929639</v>
      </c>
    </row>
    <row r="90" spans="1:36" x14ac:dyDescent="0.35">
      <c r="A90" s="21"/>
      <c r="C90" s="21"/>
      <c r="D90" s="21"/>
      <c r="E90" s="21"/>
      <c r="F90" s="21"/>
      <c r="G90" s="21"/>
      <c r="H90" s="21"/>
      <c r="I90" s="21"/>
      <c r="J90" s="21"/>
      <c r="K90" s="300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5"/>
      <c r="AG90" s="25"/>
      <c r="AH90" s="26">
        <f>IFERROR(AH89/F89,0)+IFERROR(AH89/G89,0)</f>
        <v>-58.834137333744728</v>
      </c>
      <c r="AI90" s="21"/>
      <c r="AJ90" s="21"/>
    </row>
    <row r="91" spans="1:36" x14ac:dyDescent="0.35">
      <c r="A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5"/>
      <c r="AH91" s="27">
        <f>IFERROR(AH89/AG89,"")</f>
        <v>-1.0760839884840074E-2</v>
      </c>
      <c r="AI91" s="21"/>
      <c r="AJ91" s="21"/>
    </row>
    <row r="92" spans="1:36" x14ac:dyDescent="0.35">
      <c r="A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21"/>
      <c r="AJ92" s="21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>
        <v>45332</v>
      </c>
      <c r="B94" s="21" t="s">
        <v>911</v>
      </c>
      <c r="C94" s="21" t="s">
        <v>174</v>
      </c>
      <c r="D94" s="44">
        <v>1919372</v>
      </c>
      <c r="E94" s="44" t="s">
        <v>652</v>
      </c>
      <c r="F94" s="306">
        <v>10</v>
      </c>
      <c r="G94" s="21"/>
      <c r="H94" s="22">
        <v>6228</v>
      </c>
      <c r="I94" s="33">
        <v>0.54</v>
      </c>
      <c r="J94" s="24">
        <f>IFERROR(K94/H94,"")</f>
        <v>0.53983196531350985</v>
      </c>
      <c r="K94" s="22">
        <f>16810.3673998627/50*F94</f>
        <v>3362.0734799725396</v>
      </c>
      <c r="L94" s="21">
        <v>1</v>
      </c>
      <c r="M94" s="21">
        <v>4</v>
      </c>
      <c r="N94" s="21">
        <v>4</v>
      </c>
      <c r="O94" s="21">
        <v>1</v>
      </c>
      <c r="P94" s="21"/>
      <c r="Q94" s="21"/>
      <c r="R94" s="21"/>
      <c r="S94" s="21"/>
      <c r="T94" s="21"/>
      <c r="U94" s="25">
        <v>210</v>
      </c>
      <c r="V94" s="25">
        <f>H94*U94*I94/15</f>
        <v>47083.680000000008</v>
      </c>
      <c r="W94" s="25">
        <v>244.42</v>
      </c>
      <c r="X94" s="25">
        <f>(K94/15*W94)-4.39</f>
        <v>54779.476664992544</v>
      </c>
      <c r="Y94" s="25">
        <f>IF(B94="FRANCISCO CAMACHO",((F94*42)+(G94*42)),IF(B94="DANILO VIANA",((F94*60)+(G94*60)),IF(B94="ANTONIO MARCUS ALBINO",((F94*60)+(G94*60)),0)))</f>
        <v>600</v>
      </c>
      <c r="Z94" s="272">
        <f>11956/50*F94</f>
        <v>2391.1999999999998</v>
      </c>
      <c r="AA94" s="25">
        <v>0</v>
      </c>
      <c r="AB94" s="272">
        <f>1412.5/50*F94</f>
        <v>282.5</v>
      </c>
      <c r="AC94" s="25">
        <f>38*F94</f>
        <v>380</v>
      </c>
      <c r="AD94" s="25">
        <f>IF(F94="",G94*4.11,F94*4.11)</f>
        <v>41.1</v>
      </c>
      <c r="AE94" s="25">
        <f>(X94*0.2%)+0.01</f>
        <v>109.56895332998509</v>
      </c>
      <c r="AF94" s="25">
        <f>V94+Y94+Z94+AA94+AB94+AC94+AD94</f>
        <v>50778.48</v>
      </c>
      <c r="AG94" s="25">
        <f>IFERROR(IFERROR((H94*W94*J94/15)-AE94,""),"")</f>
        <v>54674.297711662548</v>
      </c>
      <c r="AH94" s="26">
        <f>IFERROR(AG94-AF94,0)</f>
        <v>3895.8177116625448</v>
      </c>
      <c r="AI94" s="25">
        <f>(F94+G94)/$AL$7*$AL$26</f>
        <v>117.29319727891158</v>
      </c>
      <c r="AJ94" s="25">
        <f>(AH94+AI94)*70%</f>
        <v>2809.1776362590194</v>
      </c>
    </row>
    <row r="95" spans="1:36" x14ac:dyDescent="0.35">
      <c r="A95" s="21"/>
      <c r="C95" s="21"/>
      <c r="D95" s="21"/>
      <c r="E95" s="21"/>
      <c r="F95" s="21"/>
      <c r="G95" s="21"/>
      <c r="H95" s="21"/>
      <c r="I95" s="21"/>
      <c r="J95" s="21"/>
      <c r="K95" s="300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5"/>
      <c r="AG95" s="25"/>
      <c r="AH95" s="26">
        <f>IFERROR(AH94/F94,0)+IFERROR(AH94/G94,0)</f>
        <v>389.5817711662545</v>
      </c>
      <c r="AI95" s="21"/>
      <c r="AJ95" s="21"/>
    </row>
    <row r="96" spans="1:36" x14ac:dyDescent="0.35">
      <c r="A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5"/>
      <c r="AH96" s="27">
        <f>IFERROR(AH94/AG94,"")</f>
        <v>7.1255011490189285E-2</v>
      </c>
      <c r="AI96" s="21"/>
      <c r="AJ96" s="21"/>
    </row>
    <row r="97" spans="1:36" x14ac:dyDescent="0.35">
      <c r="A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21"/>
      <c r="AJ97" s="21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>
        <v>45332</v>
      </c>
      <c r="B99" s="21" t="s">
        <v>911</v>
      </c>
      <c r="C99" s="21" t="s">
        <v>332</v>
      </c>
      <c r="D99" s="44">
        <v>1919372</v>
      </c>
      <c r="E99" s="44" t="s">
        <v>652</v>
      </c>
      <c r="F99" s="21">
        <v>50</v>
      </c>
      <c r="G99" s="21"/>
      <c r="H99" s="22">
        <v>29170</v>
      </c>
      <c r="I99" s="33">
        <v>0.55000000000000004</v>
      </c>
      <c r="J99" s="24">
        <f>IFERROR(K99/H99,"")</f>
        <v>0.5398319653135103</v>
      </c>
      <c r="K99" s="22">
        <v>15746.898428195094</v>
      </c>
      <c r="L99" s="21">
        <v>3</v>
      </c>
      <c r="M99" s="21">
        <v>22</v>
      </c>
      <c r="N99" s="21">
        <v>19</v>
      </c>
      <c r="O99" s="21">
        <v>5</v>
      </c>
      <c r="P99" s="21">
        <v>1</v>
      </c>
      <c r="Q99" s="21"/>
      <c r="R99" s="21"/>
      <c r="S99" s="21"/>
      <c r="T99" s="21"/>
      <c r="U99" s="25">
        <v>230</v>
      </c>
      <c r="V99" s="25">
        <f>H99*U99*I99/15</f>
        <v>246000.33333333337</v>
      </c>
      <c r="W99" s="25">
        <v>244.42</v>
      </c>
      <c r="X99" s="25">
        <f>K99/15*W99</f>
        <v>256590.46092129633</v>
      </c>
      <c r="Y99" s="25">
        <f>IF(B99="FRANCISCO CAMACHO",((F99*42)+(G99*42)),IF(B99="DANILO VIANA",((F99*60)+(G99*60)),IF(B99="ANTONIO MARCUS ALBINO",((F99*60)+(G99*60)),0)))</f>
        <v>3000</v>
      </c>
      <c r="Z99" s="272">
        <f>10579.4</f>
        <v>10579.4</v>
      </c>
      <c r="AA99" s="25">
        <v>0</v>
      </c>
      <c r="AB99" s="272">
        <f>1437.5</f>
        <v>1437.5</v>
      </c>
      <c r="AC99" s="25">
        <f>38*F99</f>
        <v>1900</v>
      </c>
      <c r="AD99" s="25">
        <f>IF(F99="",G99*4.11,F99*4.11)</f>
        <v>205.50000000000003</v>
      </c>
      <c r="AE99" s="25">
        <f>X99*0.2%</f>
        <v>513.18092184259262</v>
      </c>
      <c r="AF99" s="25">
        <f>V99+Y99+Z99+AA99+AB99+AC99+AD99</f>
        <v>263122.7333333334</v>
      </c>
      <c r="AG99" s="25">
        <f>IFERROR(IFERROR((H99*W99*J99/15)-AE99,""),"")</f>
        <v>256077.27999945372</v>
      </c>
      <c r="AH99" s="26">
        <f>IFERROR(AG99-AF99,0)</f>
        <v>-7045.4533338796755</v>
      </c>
      <c r="AI99" s="25">
        <f>(F99+G99)/$AL$7*$AL$26</f>
        <v>586.46598639455794</v>
      </c>
      <c r="AJ99" s="25">
        <f>(AH99+AI99)*70%</f>
        <v>-4521.2911432395822</v>
      </c>
    </row>
    <row r="100" spans="1:36" x14ac:dyDescent="0.35">
      <c r="A100" s="21"/>
      <c r="C100" s="21"/>
      <c r="D100" s="21"/>
      <c r="E100" s="21"/>
      <c r="F100" s="21"/>
      <c r="G100" s="21"/>
      <c r="H100" s="21"/>
      <c r="I100" s="21"/>
      <c r="J100" s="21"/>
      <c r="K100" s="300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5"/>
      <c r="AF100" s="25"/>
      <c r="AG100" s="25"/>
      <c r="AH100" s="26">
        <f>IFERROR(AH99/F99,0)+IFERROR(AH99/G99,0)</f>
        <v>-140.9090666775935</v>
      </c>
      <c r="AI100" s="21"/>
      <c r="AJ100" s="21"/>
    </row>
    <row r="101" spans="1:36" x14ac:dyDescent="0.35">
      <c r="A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5"/>
      <c r="AH101" s="27">
        <f>IFERROR(AH99/AG99,"")</f>
        <v>-2.7512996599677667E-2</v>
      </c>
      <c r="AI101" s="21"/>
      <c r="AJ101" s="21"/>
    </row>
    <row r="102" spans="1:36" x14ac:dyDescent="0.35">
      <c r="A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  <c r="AI102" s="21"/>
      <c r="AJ102" s="21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C104" s="21"/>
      <c r="D104" s="44"/>
      <c r="E104" s="44"/>
      <c r="F104" s="21"/>
      <c r="G104" s="21"/>
      <c r="H104" s="22"/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>
        <v>0</v>
      </c>
      <c r="Y104" s="25">
        <f>IF(B104="FRANCISCO CAMACHO",((F104*42)+(G104*42)),IF(B104="DANILO VIANA",((F104*60)+(G104*60)),IF(B104="ANTONIO MARCUS ALBINO",((F104*60)+(G104*60)),0)))</f>
        <v>0</v>
      </c>
      <c r="Z104" s="25"/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(F104+G104)/$AL$7*$AL$26</f>
        <v>0</v>
      </c>
      <c r="AJ104" s="25">
        <f>(AH104+AI104)*70%</f>
        <v>0</v>
      </c>
    </row>
    <row r="105" spans="1:36" x14ac:dyDescent="0.35">
      <c r="A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  <c r="AI105" s="21"/>
      <c r="AJ105" s="21"/>
    </row>
    <row r="106" spans="1:36" x14ac:dyDescent="0.35">
      <c r="A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  <c r="AI106" s="21"/>
      <c r="AJ106" s="21"/>
    </row>
    <row r="107" spans="1:36" x14ac:dyDescent="0.35">
      <c r="A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  <c r="AI107" s="47"/>
      <c r="AJ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C109" s="21"/>
      <c r="D109" s="44"/>
      <c r="E109" s="44"/>
      <c r="F109" s="21"/>
      <c r="G109" s="21"/>
      <c r="H109" s="22"/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>
        <v>0</v>
      </c>
      <c r="Y109" s="25">
        <f>IF(B109="FRANCISCO CAMACHO",((F109*42)+(G109*42)),IF(B109="DANILO VIANA",((F109*60)+(G109*60)),IF(B109="ANTONIO MARCUS ALBINO",((F109*60)+(G109*60)),0)))</f>
        <v>0</v>
      </c>
      <c r="Z109" s="25"/>
      <c r="AA109" s="25">
        <v>0</v>
      </c>
      <c r="AB109" s="25">
        <v>0</v>
      </c>
      <c r="AC109" s="25"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(F109+G109)/$AL$7*$AL$26</f>
        <v>0</v>
      </c>
      <c r="AJ109" s="25">
        <f>(AH109+AI109)*70%</f>
        <v>0</v>
      </c>
    </row>
    <row r="110" spans="1:36" x14ac:dyDescent="0.35">
      <c r="A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  <c r="AI110" s="21"/>
      <c r="AJ110" s="21"/>
    </row>
    <row r="111" spans="1:36" x14ac:dyDescent="0.35">
      <c r="A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  <c r="AI111" s="21"/>
      <c r="AJ111" s="21"/>
    </row>
    <row r="112" spans="1:36" x14ac:dyDescent="0.35">
      <c r="A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  <c r="AI112" s="21"/>
      <c r="AJ112" s="21"/>
    </row>
    <row r="113" spans="1:36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C114" s="21"/>
      <c r="D114" s="44"/>
      <c r="E114" s="44"/>
      <c r="F114" s="21"/>
      <c r="G114" s="21"/>
      <c r="H114" s="22"/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/>
      <c r="V114" s="25">
        <f>H114*U114*I114/15</f>
        <v>0</v>
      </c>
      <c r="W114" s="25">
        <v>0</v>
      </c>
      <c r="X114" s="25">
        <v>0</v>
      </c>
      <c r="Y114" s="25">
        <f>IF(B114="FRANCISCO CAMACHO",((F114*42)+(G114*42)),IF(B114="DANILO VIANA",((F114*60)+(G114*60)),IF(B114="ANTONIO MARCUS ALBINO",((F114*60)+(G114*60)),0)))</f>
        <v>0</v>
      </c>
      <c r="Z114" s="25"/>
      <c r="AA114" s="25">
        <v>0</v>
      </c>
      <c r="AB114" s="25">
        <v>0</v>
      </c>
      <c r="AC114" s="25">
        <v>0</v>
      </c>
      <c r="AD114" s="25">
        <f>IF(F114="",G114*4.11,F114*4.11)</f>
        <v>0</v>
      </c>
      <c r="AE114" s="25">
        <v>0</v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25">
        <f>(F114+G114)/$AL$7*$AL$26</f>
        <v>0</v>
      </c>
      <c r="AJ114" s="25">
        <f>(AH114+AI114)*70%</f>
        <v>0</v>
      </c>
    </row>
    <row r="115" spans="1:36" x14ac:dyDescent="0.35">
      <c r="A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  <c r="AI115" s="21"/>
      <c r="AJ115" s="21"/>
    </row>
    <row r="116" spans="1:36" x14ac:dyDescent="0.35">
      <c r="A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  <c r="AI116" s="21"/>
      <c r="AJ116" s="21"/>
    </row>
    <row r="117" spans="1:36" x14ac:dyDescent="0.35">
      <c r="A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21"/>
      <c r="AJ117" s="21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C119" s="21"/>
      <c r="D119" s="44"/>
      <c r="E119" s="44"/>
      <c r="F119" s="21"/>
      <c r="G119" s="21"/>
      <c r="H119" s="22"/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>
        <v>0</v>
      </c>
      <c r="X119" s="25">
        <v>0</v>
      </c>
      <c r="Y119" s="25">
        <f>IF(B119="FRANCISCO CAMACHO",((F119*42)+(G119*42)),IF(B119="DANILO VIANA",((F119*60)+(G119*60)),IF(B119="ANTONIO MARCUS ALBINO",((F119*60)+(G119*60)),0)))</f>
        <v>0</v>
      </c>
      <c r="Z119" s="25"/>
      <c r="AA119" s="25">
        <v>0</v>
      </c>
      <c r="AB119" s="25">
        <v>0</v>
      </c>
      <c r="AC119" s="25">
        <v>0</v>
      </c>
      <c r="AD119" s="25">
        <f>IF(F119="",G119*4.11,F119*4.11)</f>
        <v>0</v>
      </c>
      <c r="AE119" s="25">
        <v>0</v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25">
        <f>(F119+G119)/$AL$7*$AL$26</f>
        <v>0</v>
      </c>
      <c r="AJ119" s="25">
        <f>(AH119+AI119)*70%</f>
        <v>0</v>
      </c>
    </row>
    <row r="120" spans="1:36" x14ac:dyDescent="0.35">
      <c r="A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  <c r="AI120" s="21"/>
      <c r="AJ120" s="21"/>
    </row>
    <row r="121" spans="1:36" x14ac:dyDescent="0.35">
      <c r="A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  <c r="AI121" s="21"/>
      <c r="AJ121" s="21"/>
    </row>
    <row r="122" spans="1:36" ht="15" thickBot="1" x14ac:dyDescent="0.4">
      <c r="A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  <c r="AI122" s="47"/>
      <c r="AJ122" s="47"/>
    </row>
    <row r="123" spans="1:36" ht="16" thickBot="1" x14ac:dyDescent="0.4">
      <c r="A123" s="377" t="s">
        <v>803</v>
      </c>
      <c r="B123" s="378"/>
      <c r="C123" s="378"/>
      <c r="D123" s="378"/>
      <c r="E123" s="378"/>
      <c r="F123" s="163">
        <f>SUM(F4:F119)</f>
        <v>1029</v>
      </c>
      <c r="G123" s="163">
        <f>SUM(G4:G119)</f>
        <v>0</v>
      </c>
      <c r="H123" s="274">
        <f>SUM(H4:H119)</f>
        <v>559747</v>
      </c>
      <c r="I123" s="30"/>
      <c r="J123" s="30"/>
      <c r="K123" s="274">
        <f>SUM(K4:K119)</f>
        <v>304076.50000000006</v>
      </c>
      <c r="L123" s="46"/>
      <c r="M123" s="46"/>
      <c r="N123" s="46"/>
      <c r="O123" s="46"/>
      <c r="P123" s="46"/>
      <c r="Q123" s="46"/>
      <c r="R123" s="46"/>
      <c r="S123" s="46"/>
      <c r="T123" s="46"/>
      <c r="U123" s="30"/>
      <c r="V123" s="275">
        <f>SUM(V4:V119)</f>
        <v>4565876.5613333331</v>
      </c>
      <c r="W123" s="31"/>
      <c r="X123" s="275">
        <f t="shared" ref="X123:AG123" si="0">SUM(X4:X119)</f>
        <v>4982096.7426666664</v>
      </c>
      <c r="Y123" s="275">
        <f t="shared" si="0"/>
        <v>51900</v>
      </c>
      <c r="Z123" s="275">
        <f t="shared" si="0"/>
        <v>293681.16716981132</v>
      </c>
      <c r="AA123" s="275">
        <f t="shared" si="0"/>
        <v>0</v>
      </c>
      <c r="AB123" s="275">
        <f t="shared" si="0"/>
        <v>29068.13</v>
      </c>
      <c r="AC123" s="275">
        <f t="shared" si="0"/>
        <v>22762</v>
      </c>
      <c r="AD123" s="275">
        <f t="shared" si="0"/>
        <v>4229.1900000000005</v>
      </c>
      <c r="AE123" s="275">
        <f t="shared" si="0"/>
        <v>9964.2244653333346</v>
      </c>
      <c r="AF123" s="275">
        <f t="shared" si="0"/>
        <v>4967517.0485031446</v>
      </c>
      <c r="AG123" s="275">
        <f t="shared" si="0"/>
        <v>4972092.5865346659</v>
      </c>
      <c r="AH123" s="276">
        <f>AH4+AH9+AH14+AH19+AH24+AH29+AH34+AH39+AH44+AH49+AH54+AH59+AH64+AH69+AH74+AH79+AH84+AH89+AH94+AH99+AH104+AH109+AH114+AH119</f>
        <v>4575.5380315212496</v>
      </c>
      <c r="AI123" s="304">
        <f>SUM(AI4:AI119)</f>
        <v>12069.470000000003</v>
      </c>
      <c r="AJ123" s="303">
        <f>SUM(AJ4:AJ119)</f>
        <v>11651.505622064873</v>
      </c>
    </row>
    <row r="135" spans="41:41" x14ac:dyDescent="0.35">
      <c r="AO135" s="21"/>
    </row>
  </sheetData>
  <autoFilter ref="A13:AJ123"/>
  <mergeCells count="1">
    <mergeCell ref="A123:E12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3:AQ115"/>
  <sheetViews>
    <sheetView showGridLines="0" topLeftCell="B1" zoomScale="85" zoomScaleNormal="85" workbookViewId="0">
      <pane xSplit="1" ySplit="1" topLeftCell="AA3" activePane="bottomRight" state="frozen"/>
      <selection activeCell="Z79" sqref="Z79"/>
      <selection pane="topRight" activeCell="Z79" sqref="Z79"/>
      <selection pane="bottomLeft" activeCell="Z79" sqref="Z79"/>
      <selection pane="bottomRight" activeCell="B3" sqref="B3:AJ19"/>
    </sheetView>
  </sheetViews>
  <sheetFormatPr defaultRowHeight="14.5" x14ac:dyDescent="0.35"/>
  <cols>
    <col min="1" max="1" width="13.26953125" customWidth="1"/>
    <col min="2" max="2" width="32" bestFit="1" customWidth="1"/>
    <col min="3" max="3" width="20.26953125" customWidth="1"/>
    <col min="4" max="4" width="15.1796875" customWidth="1"/>
    <col min="5" max="5" width="11.26953125" customWidth="1"/>
    <col min="6" max="6" width="13.453125" customWidth="1"/>
    <col min="8" max="8" width="12.26953125" bestFit="1" customWidth="1"/>
    <col min="10" max="10" width="10.26953125" bestFit="1" customWidth="1"/>
    <col min="11" max="11" width="12.453125" bestFit="1" customWidth="1"/>
    <col min="17" max="17" width="11.1796875" bestFit="1" customWidth="1"/>
    <col min="21" max="21" width="15" bestFit="1" customWidth="1"/>
    <col min="22" max="22" width="18.1796875" bestFit="1" customWidth="1"/>
    <col min="23" max="23" width="13.26953125" bestFit="1" customWidth="1"/>
    <col min="24" max="24" width="14.26953125" bestFit="1" customWidth="1"/>
    <col min="25" max="25" width="15" bestFit="1" customWidth="1"/>
    <col min="26" max="26" width="16.26953125" bestFit="1" customWidth="1"/>
    <col min="27" max="27" width="12.54296875" customWidth="1"/>
    <col min="28" max="28" width="15" bestFit="1" customWidth="1"/>
    <col min="29" max="29" width="12.54296875" customWidth="1"/>
    <col min="30" max="31" width="13.81640625" bestFit="1" customWidth="1"/>
    <col min="32" max="34" width="18.1796875" bestFit="1" customWidth="1"/>
    <col min="35" max="35" width="19.7265625" customWidth="1"/>
    <col min="36" max="36" width="18.81640625" customWidth="1"/>
    <col min="38" max="38" width="19" customWidth="1"/>
    <col min="39" max="39" width="20.1796875" customWidth="1"/>
    <col min="40" max="40" width="61.453125" customWidth="1"/>
    <col min="41" max="41" width="13.7265625" customWidth="1"/>
  </cols>
  <sheetData>
    <row r="3" spans="1:4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277">
        <f>AF103</f>
        <v>2447978.0266666668</v>
      </c>
      <c r="AM3" s="164">
        <f>AH103-AI103</f>
        <v>-18468.845443333645</v>
      </c>
    </row>
    <row r="4" spans="1:41" x14ac:dyDescent="0.35">
      <c r="A4" s="20">
        <v>45335</v>
      </c>
      <c r="B4" s="21" t="s">
        <v>948</v>
      </c>
      <c r="C4" s="21" t="s">
        <v>949</v>
      </c>
      <c r="D4" s="44">
        <v>1913427</v>
      </c>
      <c r="E4" s="44" t="s">
        <v>652</v>
      </c>
      <c r="F4" s="21">
        <v>200</v>
      </c>
      <c r="G4" s="21"/>
      <c r="H4" s="22">
        <f>108363</f>
        <v>108363</v>
      </c>
      <c r="I4" s="33">
        <v>0.54</v>
      </c>
      <c r="J4" s="24">
        <f>IFERROR(K4/H4,"")</f>
        <v>0.53467973385749745</v>
      </c>
      <c r="K4" s="22">
        <v>57939.5</v>
      </c>
      <c r="L4" s="21">
        <v>8</v>
      </c>
      <c r="M4" s="21">
        <v>127</v>
      </c>
      <c r="N4" s="21">
        <v>59</v>
      </c>
      <c r="O4" s="21">
        <v>6</v>
      </c>
      <c r="P4" s="21"/>
      <c r="Q4" s="21"/>
      <c r="R4" s="21"/>
      <c r="S4" s="21"/>
      <c r="T4" s="21"/>
      <c r="U4" s="25">
        <v>220</v>
      </c>
      <c r="V4" s="25">
        <f>H4*U4*I4/15</f>
        <v>858234.96000000008</v>
      </c>
      <c r="W4" s="25">
        <v>247.18</v>
      </c>
      <c r="X4" s="25">
        <f>954772.64</f>
        <v>954772.64</v>
      </c>
      <c r="Y4" s="25">
        <f>IF(B4="FRANCISCO CAMACHO",((F4*42)+(G4*42)),IF(B4="DANILO VIANA",((F4*60)+(G4*60)),IF(B4="ANTONIO MARCUS ALBINO",((F4*60)+(G4*60)),0)))</f>
        <v>0</v>
      </c>
      <c r="Z4" s="307">
        <f>43865.37+40461.24</f>
        <v>84326.61</v>
      </c>
      <c r="AA4" s="25">
        <v>0</v>
      </c>
      <c r="AB4" s="272">
        <f>5500</f>
        <v>5500</v>
      </c>
      <c r="AC4" s="25">
        <v>0</v>
      </c>
      <c r="AD4" s="25">
        <f>IF(F4="",G4*4.11,F4*4.11)</f>
        <v>822.00000000000011</v>
      </c>
      <c r="AE4" s="25">
        <v>1909.54</v>
      </c>
      <c r="AF4" s="25">
        <f>V4+Y4+Z4+AA4+AB4+AC4+AD4</f>
        <v>948883.57000000007</v>
      </c>
      <c r="AG4" s="25">
        <f>IFERROR(IFERROR((H4*W4*J4/15)-AE4,""),"")</f>
        <v>952856.16733333329</v>
      </c>
      <c r="AH4" s="26">
        <f>IFERROR(AG4-AF4,0)</f>
        <v>3972.5973333332222</v>
      </c>
      <c r="AI4" s="25">
        <f>(F4+G4)/$AL$7*$AL$26</f>
        <v>5197.2880000000005</v>
      </c>
      <c r="AJ4" s="25">
        <f>(AH4-AI4)*70%</f>
        <v>-857.28346666674474</v>
      </c>
      <c r="AL4" s="166" t="s">
        <v>749</v>
      </c>
      <c r="AM4" s="167">
        <f>AM3/AL3</f>
        <v>-7.5445307278685335E-3</v>
      </c>
    </row>
    <row r="5" spans="1:41" hidden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5"/>
      <c r="AH5" s="26">
        <f>IFERROR(AH4/F4,0)+IFERROR(AH4/G4,0)</f>
        <v>19.86298666666611</v>
      </c>
      <c r="AI5" s="21"/>
      <c r="AJ5" s="21"/>
      <c r="AM5" s="63"/>
    </row>
    <row r="6" spans="1:41" hidden="1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4.1691468970085459E-3</v>
      </c>
      <c r="AI6" s="21"/>
      <c r="AJ6" s="21"/>
      <c r="AM6" s="63"/>
    </row>
    <row r="7" spans="1:41" hidden="1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21"/>
      <c r="AJ7" s="21"/>
      <c r="AL7" s="290">
        <f>F103+G103</f>
        <v>500</v>
      </c>
      <c r="AM7" s="118" t="s">
        <v>22</v>
      </c>
    </row>
    <row r="8" spans="1:41" hidden="1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L8" s="11">
        <f>AH103</f>
        <v>-5475.6254433336435</v>
      </c>
      <c r="AM8" s="11">
        <f>AL8*30%</f>
        <v>-1642.687633000093</v>
      </c>
      <c r="AN8" s="2"/>
    </row>
    <row r="9" spans="1:41" x14ac:dyDescent="0.35">
      <c r="A9" s="38">
        <v>45338</v>
      </c>
      <c r="B9" s="39" t="s">
        <v>632</v>
      </c>
      <c r="C9" s="39" t="s">
        <v>919</v>
      </c>
      <c r="D9" s="45">
        <v>1913448</v>
      </c>
      <c r="E9" s="45" t="s">
        <v>652</v>
      </c>
      <c r="F9" s="39">
        <v>50</v>
      </c>
      <c r="G9" s="39"/>
      <c r="H9" s="40">
        <f>59407/100*F9</f>
        <v>29703.500000000004</v>
      </c>
      <c r="I9" s="53">
        <v>0.55000000000000004</v>
      </c>
      <c r="J9" s="42">
        <f>IFERROR(K9/H9,"")</f>
        <v>0.53360715067247966</v>
      </c>
      <c r="K9" s="40">
        <v>15850</v>
      </c>
      <c r="L9" s="39">
        <v>3</v>
      </c>
      <c r="M9" s="39">
        <v>14</v>
      </c>
      <c r="N9" s="39">
        <v>23</v>
      </c>
      <c r="O9" s="39">
        <v>10</v>
      </c>
      <c r="P9" s="39"/>
      <c r="Q9" s="39"/>
      <c r="R9" s="39"/>
      <c r="S9" s="39"/>
      <c r="T9" s="39"/>
      <c r="U9" s="43">
        <v>213</v>
      </c>
      <c r="V9" s="43">
        <f>H9*U9*I9/15</f>
        <v>231984.33500000005</v>
      </c>
      <c r="W9" s="43">
        <v>243.45</v>
      </c>
      <c r="X9" s="43">
        <f>(H9*J9/15)*W9</f>
        <v>257245.5</v>
      </c>
      <c r="Y9" s="43">
        <f>IF(B9="FRANCISCO CAMACHO",((F9*42)+(G9*42)),IF(B9="DANILO VIANA",((F9*60)+(G9*60)),IF(B9="ANTONIO MARCUS ALBINO",((F9*60)+(G9*60)),0)))</f>
        <v>2100</v>
      </c>
      <c r="Z9" s="307">
        <f>54198.6/100*F9</f>
        <v>27099.3</v>
      </c>
      <c r="AA9" s="43">
        <v>0</v>
      </c>
      <c r="AB9" s="307">
        <f>2662.5/100*F9</f>
        <v>1331.25</v>
      </c>
      <c r="AC9" s="43">
        <v>0</v>
      </c>
      <c r="AD9" s="43">
        <f>IF(F9="",G9*4.11,F9*4.11)</f>
        <v>205.50000000000003</v>
      </c>
      <c r="AE9" s="43">
        <f>X9*0.2%+0.01</f>
        <v>514.50099999999998</v>
      </c>
      <c r="AF9" s="43">
        <f>V9+Y9+Z9+AA9+AB9+AC9+AD9</f>
        <v>262720.38500000001</v>
      </c>
      <c r="AG9" s="43">
        <f>IFERROR(IFERROR((H9*W9*J9/15)-AE9,""),"")</f>
        <v>256730.99900000001</v>
      </c>
      <c r="AH9" s="273">
        <f>IFERROR(AG9-AF9,0)</f>
        <v>-5989.3859999999986</v>
      </c>
      <c r="AI9" s="25">
        <f>(F9+G9)/$AL$7*$AL$26</f>
        <v>1299.3220000000001</v>
      </c>
      <c r="AJ9" s="25">
        <f>(AH9-AI9)*70%</f>
        <v>-5102.0955999999987</v>
      </c>
      <c r="AL9" s="11"/>
      <c r="AM9" s="11"/>
    </row>
    <row r="10" spans="1:41" hidden="1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-119.78771999999998</v>
      </c>
      <c r="AI10" s="21"/>
      <c r="AJ10" s="21"/>
    </row>
    <row r="11" spans="1:41" hidden="1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-2.3329422716109161E-2</v>
      </c>
      <c r="AI11" s="21"/>
      <c r="AJ11" s="21"/>
      <c r="AL11" s="180" t="s">
        <v>187</v>
      </c>
      <c r="AM11" s="181" t="s">
        <v>680</v>
      </c>
      <c r="AN11" s="191"/>
      <c r="AO11" s="180" t="s">
        <v>1</v>
      </c>
    </row>
    <row r="12" spans="1:41" hidden="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  <c r="AI12" s="21"/>
      <c r="AJ12" s="21"/>
      <c r="AL12" s="213">
        <v>318.10000000000002</v>
      </c>
      <c r="AM12" s="330" t="s">
        <v>888</v>
      </c>
      <c r="AN12" s="190"/>
      <c r="AO12" s="333">
        <v>45336</v>
      </c>
    </row>
    <row r="13" spans="1:41" hidden="1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  <c r="AL13" s="213">
        <f>1137.12-800</f>
        <v>337.11999999999989</v>
      </c>
      <c r="AM13" s="330" t="s">
        <v>885</v>
      </c>
      <c r="AN13" s="190"/>
      <c r="AO13" s="333">
        <v>45336</v>
      </c>
    </row>
    <row r="14" spans="1:41" x14ac:dyDescent="0.35">
      <c r="A14" s="38">
        <v>45338</v>
      </c>
      <c r="B14" s="39" t="s">
        <v>632</v>
      </c>
      <c r="C14" s="39" t="s">
        <v>919</v>
      </c>
      <c r="D14" s="45">
        <v>1913430</v>
      </c>
      <c r="E14" s="45" t="s">
        <v>652</v>
      </c>
      <c r="F14" s="39">
        <v>50</v>
      </c>
      <c r="G14" s="39"/>
      <c r="H14" s="40">
        <f>59407/100*F14</f>
        <v>29703.500000000004</v>
      </c>
      <c r="I14" s="53">
        <v>0.55000000000000004</v>
      </c>
      <c r="J14" s="42">
        <f>IFERROR(K14/H14,"")</f>
        <v>0.54791522884508548</v>
      </c>
      <c r="K14" s="40">
        <v>16275</v>
      </c>
      <c r="L14" s="39">
        <v>3</v>
      </c>
      <c r="M14" s="39">
        <v>14</v>
      </c>
      <c r="N14" s="39">
        <v>24</v>
      </c>
      <c r="O14" s="39">
        <v>8</v>
      </c>
      <c r="P14" s="39">
        <v>1</v>
      </c>
      <c r="Q14" s="39"/>
      <c r="R14" s="39"/>
      <c r="S14" s="39"/>
      <c r="T14" s="39"/>
      <c r="U14" s="43">
        <v>213</v>
      </c>
      <c r="V14" s="43">
        <f>H14*U14*I14/15</f>
        <v>231984.33500000005</v>
      </c>
      <c r="W14" s="43">
        <v>246.33</v>
      </c>
      <c r="X14" s="43">
        <f>(H14*J14/15)*W14</f>
        <v>267268.04999999993</v>
      </c>
      <c r="Y14" s="43">
        <f>IF(B14="FRANCISCO CAMACHO",((F14*42)+(G14*42)),IF(B14="DANILO VIANA",((F14*60)+(G14*60)),IF(B14="ANTONIO MARCUS ALBINO",((F14*60)+(G14*60)),0)))</f>
        <v>2100</v>
      </c>
      <c r="Z14" s="307">
        <f>54198.6/100*F14</f>
        <v>27099.3</v>
      </c>
      <c r="AA14" s="43">
        <v>0</v>
      </c>
      <c r="AB14" s="307">
        <f>2662.5/100*F14</f>
        <v>1331.25</v>
      </c>
      <c r="AC14" s="43">
        <v>0</v>
      </c>
      <c r="AD14" s="43">
        <f>IF(F14="",G14*4.11,F14*4.11)</f>
        <v>205.50000000000003</v>
      </c>
      <c r="AE14" s="43">
        <f>X14*0.2%</f>
        <v>534.53609999999992</v>
      </c>
      <c r="AF14" s="43">
        <f>V14+Y14+Z14+AA14+AB14+AC14+AD14</f>
        <v>262720.38500000001</v>
      </c>
      <c r="AG14" s="43">
        <f>IFERROR(IFERROR((H14*W14*J14/15)-AE14,""),"")</f>
        <v>266733.51389999996</v>
      </c>
      <c r="AH14" s="273">
        <f>IFERROR(AG14-AF14,0)</f>
        <v>4013.1288999999524</v>
      </c>
      <c r="AI14" s="25">
        <f>(F14+G14)/$AL$7*$AL$26</f>
        <v>1299.3220000000001</v>
      </c>
      <c r="AJ14" s="25">
        <f>(AH14-AI14)*70%</f>
        <v>1899.6648299999665</v>
      </c>
      <c r="AL14" s="213">
        <v>6000</v>
      </c>
      <c r="AM14" s="330" t="s">
        <v>915</v>
      </c>
      <c r="AN14" s="190"/>
      <c r="AO14" s="333">
        <v>45336</v>
      </c>
    </row>
    <row r="15" spans="1:41" hidden="1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80.262577999999053</v>
      </c>
      <c r="AI15" s="21"/>
      <c r="AJ15" s="21"/>
      <c r="AL15" s="213">
        <v>92.15</v>
      </c>
      <c r="AM15" s="330" t="s">
        <v>890</v>
      </c>
      <c r="AN15" s="190"/>
      <c r="AO15" s="333">
        <v>45334</v>
      </c>
    </row>
    <row r="16" spans="1:41" hidden="1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1.5045461821886015E-2</v>
      </c>
      <c r="AI16" s="21"/>
      <c r="AJ16" s="21"/>
      <c r="AL16" s="213">
        <v>236</v>
      </c>
      <c r="AM16" s="330" t="s">
        <v>994</v>
      </c>
      <c r="AN16" s="190"/>
      <c r="AO16" s="333">
        <v>45336</v>
      </c>
    </row>
    <row r="17" spans="1:43" ht="14.5" hidden="1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  <c r="AI17" s="21"/>
      <c r="AJ17" s="21"/>
      <c r="AL17" s="213">
        <v>2000</v>
      </c>
      <c r="AM17" s="331" t="s">
        <v>951</v>
      </c>
      <c r="AN17" s="332"/>
      <c r="AO17" s="333">
        <v>45336</v>
      </c>
      <c r="AP17" s="298"/>
      <c r="AQ17" s="298"/>
    </row>
    <row r="18" spans="1:43" hidden="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54" t="s">
        <v>17</v>
      </c>
      <c r="AI18" s="14" t="s">
        <v>679</v>
      </c>
      <c r="AJ18" s="14" t="s">
        <v>678</v>
      </c>
      <c r="AL18" s="213">
        <v>1412</v>
      </c>
      <c r="AM18" s="331" t="s">
        <v>995</v>
      </c>
      <c r="AN18" s="190"/>
      <c r="AO18" s="333">
        <v>45336</v>
      </c>
    </row>
    <row r="19" spans="1:43" x14ac:dyDescent="0.35">
      <c r="A19" s="20">
        <v>45338</v>
      </c>
      <c r="B19" s="21" t="s">
        <v>632</v>
      </c>
      <c r="C19" s="21" t="s">
        <v>848</v>
      </c>
      <c r="D19" s="44">
        <v>1913430</v>
      </c>
      <c r="E19" s="44" t="s">
        <v>652</v>
      </c>
      <c r="F19" s="21">
        <v>200</v>
      </c>
      <c r="G19" s="21"/>
      <c r="H19" s="22">
        <f>107348</f>
        <v>107348</v>
      </c>
      <c r="I19" s="33">
        <v>0.55000000000000004</v>
      </c>
      <c r="J19" s="24">
        <f>IFERROR(K19/H19,"")</f>
        <v>0.54917185229347543</v>
      </c>
      <c r="K19" s="22">
        <f>43984+14968.5</f>
        <v>58952.5</v>
      </c>
      <c r="L19" s="21">
        <f>47+18</f>
        <v>65</v>
      </c>
      <c r="M19" s="21">
        <f>85+24</f>
        <v>109</v>
      </c>
      <c r="N19" s="21">
        <f>12+6</f>
        <v>18</v>
      </c>
      <c r="O19" s="21">
        <f>5+2</f>
        <v>7</v>
      </c>
      <c r="P19" s="21">
        <v>1</v>
      </c>
      <c r="Q19" s="21"/>
      <c r="R19" s="21"/>
      <c r="S19" s="21"/>
      <c r="T19" s="21"/>
      <c r="U19" s="25">
        <v>215</v>
      </c>
      <c r="V19" s="25">
        <f>H19*U19*I19/15</f>
        <v>846260.06666666677</v>
      </c>
      <c r="W19" s="25">
        <v>246.33</v>
      </c>
      <c r="X19" s="25">
        <f>(H19*J19/15)*W19-0.95</f>
        <v>968117.005</v>
      </c>
      <c r="Y19" s="25">
        <f>IF(B19="FRANCISCO CAMACHO",((F19*42)+(G19*42)),IF(B19="DANILO VIANA",((F19*60)+(G19*60)),IF(B19="ANTONIO MARCUS ALBINO",((F19*60)+(G19*60)),0)))</f>
        <v>8400</v>
      </c>
      <c r="Z19" s="307">
        <f>56497.92+28290.6+28008.1</f>
        <v>112796.62</v>
      </c>
      <c r="AA19" s="25">
        <v>0</v>
      </c>
      <c r="AB19" s="307">
        <f>5375</f>
        <v>5375</v>
      </c>
      <c r="AC19" s="25">
        <v>0</v>
      </c>
      <c r="AD19" s="25">
        <f>IF(F19="",G19*4.11,F19*4.11)</f>
        <v>822.00000000000011</v>
      </c>
      <c r="AE19" s="25">
        <f>X19*0.2%</f>
        <v>1936.2340100000001</v>
      </c>
      <c r="AF19" s="25">
        <f>V19+Y19+Z19+AA19+AB19+AC19+AD19</f>
        <v>973653.68666666676</v>
      </c>
      <c r="AG19" s="25">
        <f>IFERROR(IFERROR((H19*W19*J19/15)-AE19,""),"")</f>
        <v>966181.72098999994</v>
      </c>
      <c r="AH19" s="26">
        <f>IFERROR(AG19-AF19,0)</f>
        <v>-7471.9656766668195</v>
      </c>
      <c r="AI19" s="25">
        <f>(F19+G19)/$AL$7*$AL$26</f>
        <v>5197.2880000000005</v>
      </c>
      <c r="AJ19" s="25">
        <f>(AH19-AI19)*70%</f>
        <v>-8868.4775736667725</v>
      </c>
      <c r="AL19" s="213">
        <v>2597.85</v>
      </c>
      <c r="AM19" s="334" t="s">
        <v>997</v>
      </c>
      <c r="AN19" s="190"/>
      <c r="AO19" s="333">
        <v>45338</v>
      </c>
    </row>
    <row r="20" spans="1:43" hidden="1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-37.359828383334097</v>
      </c>
      <c r="AI20" s="21"/>
      <c r="AJ20" s="21"/>
      <c r="AL20" s="238"/>
      <c r="AM20" s="190"/>
      <c r="AN20" s="190"/>
      <c r="AO20" s="333"/>
    </row>
    <row r="21" spans="1:43" hidden="1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-7.7334993141980118E-3</v>
      </c>
      <c r="AI21" s="21"/>
      <c r="AJ21" s="21"/>
      <c r="AL21" s="238"/>
      <c r="AM21" s="190"/>
      <c r="AN21" s="190"/>
      <c r="AO21" s="333"/>
    </row>
    <row r="22" spans="1:43" hidden="1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I22" s="21"/>
      <c r="AJ22" s="21"/>
      <c r="AL22" s="238"/>
      <c r="AM22" s="190"/>
      <c r="AN22" s="190"/>
      <c r="AO22" s="333"/>
    </row>
    <row r="23" spans="1:43" hidden="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238"/>
      <c r="AM23" s="190"/>
      <c r="AN23" s="190"/>
      <c r="AO23" s="333"/>
    </row>
    <row r="24" spans="1:43" hidden="1" x14ac:dyDescent="0.35">
      <c r="A24" s="20"/>
      <c r="B24" s="21"/>
      <c r="C24" s="21"/>
      <c r="D24" s="44"/>
      <c r="E24" s="44"/>
      <c r="F24" s="21"/>
      <c r="G24" s="21"/>
      <c r="H24" s="22"/>
      <c r="I24" s="33">
        <v>0</v>
      </c>
      <c r="J24" s="24" t="str">
        <f>IFERROR(K24/H24,"")</f>
        <v/>
      </c>
      <c r="K24" s="22">
        <v>0</v>
      </c>
      <c r="L24" s="21"/>
      <c r="M24" s="21"/>
      <c r="N24" s="21"/>
      <c r="O24" s="21"/>
      <c r="P24" s="21"/>
      <c r="Q24" s="21"/>
      <c r="R24" s="21"/>
      <c r="S24" s="21"/>
      <c r="T24" s="21"/>
      <c r="U24" s="25">
        <v>0</v>
      </c>
      <c r="V24" s="25">
        <f>H24*U24*I24/15</f>
        <v>0</v>
      </c>
      <c r="W24" s="25">
        <v>0</v>
      </c>
      <c r="X24" s="25">
        <v>0</v>
      </c>
      <c r="Y24" s="25">
        <f>IF(B24="FRANCISCO CAMACHO",((F24*42)+(G24*42)),IF(B24="DANILO VIANA",((F24*60)+(G24*60)),IF(B24="ANTONIO MARCUS ALBINO",((F24*60)+(G24*60)),0)))</f>
        <v>0</v>
      </c>
      <c r="Z24" s="25"/>
      <c r="AA24" s="25">
        <v>0</v>
      </c>
      <c r="AB24" s="25">
        <v>0</v>
      </c>
      <c r="AC24" s="25">
        <v>0</v>
      </c>
      <c r="AD24" s="25">
        <f>IF(F24="",G24*4.11,F24*4.11)</f>
        <v>0</v>
      </c>
      <c r="AE24" s="25">
        <v>0</v>
      </c>
      <c r="AF24" s="25">
        <f>V24+Y24+Z24+AA24+AB24+AC24+AD24</f>
        <v>0</v>
      </c>
      <c r="AG24" s="25" t="str">
        <f>IFERROR(IFERROR((H24*W24*J24/15)-AE24,""),"")</f>
        <v/>
      </c>
      <c r="AH24" s="26">
        <f>IFERROR(AG24-AF24,0)</f>
        <v>0</v>
      </c>
      <c r="AI24" s="25">
        <f>(F24+G24)/$AL$7*$AL$26</f>
        <v>0</v>
      </c>
      <c r="AJ24" s="25">
        <f>(AH24-AI24)*70%</f>
        <v>0</v>
      </c>
      <c r="AL24" s="238"/>
      <c r="AM24" s="190"/>
      <c r="AN24" s="190"/>
      <c r="AO24" s="333"/>
    </row>
    <row r="25" spans="1:43" hidden="1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0</v>
      </c>
      <c r="AI25" s="21"/>
      <c r="AJ25" s="21"/>
      <c r="AL25" s="213"/>
      <c r="AM25" s="330"/>
      <c r="AN25" s="190"/>
      <c r="AO25" s="333"/>
    </row>
    <row r="26" spans="1:43" hidden="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 t="str">
        <f>IFERROR(AH24/AG24,"")</f>
        <v/>
      </c>
      <c r="AI26" s="21"/>
      <c r="AJ26" s="21"/>
      <c r="AL26" s="214">
        <f>SUM(AL12:AL25)</f>
        <v>12993.22</v>
      </c>
      <c r="AM26" s="189" t="s">
        <v>673</v>
      </c>
      <c r="AN26" s="190"/>
      <c r="AO26" s="333"/>
    </row>
    <row r="27" spans="1:43" hidden="1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I27" s="21"/>
      <c r="AJ27" s="21"/>
      <c r="AL27" s="57"/>
      <c r="AM27" s="6"/>
    </row>
    <row r="28" spans="1:43" hidden="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M28" s="118" t="s">
        <v>22</v>
      </c>
    </row>
    <row r="29" spans="1:43" hidden="1" x14ac:dyDescent="0.35">
      <c r="A29" s="20"/>
      <c r="B29" s="21"/>
      <c r="C29" s="21"/>
      <c r="D29" s="44"/>
      <c r="E29" s="44"/>
      <c r="F29" s="21"/>
      <c r="G29" s="21"/>
      <c r="H29" s="22"/>
      <c r="I29" s="33">
        <v>0</v>
      </c>
      <c r="J29" s="24" t="str">
        <f>IFERROR(K29/H29,"")</f>
        <v/>
      </c>
      <c r="K29" s="22">
        <v>0</v>
      </c>
      <c r="L29" s="21"/>
      <c r="M29" s="21"/>
      <c r="N29" s="21"/>
      <c r="O29" s="21"/>
      <c r="P29" s="21"/>
      <c r="Q29" s="21"/>
      <c r="R29" s="21"/>
      <c r="S29" s="21"/>
      <c r="T29" s="21"/>
      <c r="U29" s="25">
        <v>0</v>
      </c>
      <c r="V29" s="25">
        <f>H29*U29*I29/15</f>
        <v>0</v>
      </c>
      <c r="W29" s="25">
        <v>0</v>
      </c>
      <c r="X29" s="25">
        <v>0</v>
      </c>
      <c r="Y29" s="25">
        <f>IF(B29="FRANCISCO CAMACHO",((F29*42)+(G29*42)),IF(B29="DANILO VIANA",((F29*60)+(G29*60)),IF(B29="ANTONIO MARCUS ALBINO",((F29*60)+(G29*60)),0)))</f>
        <v>0</v>
      </c>
      <c r="Z29" s="25"/>
      <c r="AA29" s="25">
        <v>0</v>
      </c>
      <c r="AB29" s="25">
        <v>0</v>
      </c>
      <c r="AC29" s="25">
        <v>0</v>
      </c>
      <c r="AD29" s="25">
        <f>IF(F29="",G29*4.11,F29*4.11)</f>
        <v>0</v>
      </c>
      <c r="AE29" s="25">
        <v>0</v>
      </c>
      <c r="AF29" s="25">
        <f>V29+Y29+Z29+AA29+AB29+AC29+AD29</f>
        <v>0</v>
      </c>
      <c r="AG29" s="25" t="str">
        <f>IFERROR(IFERROR((H29*W29*J29/15)-AE29,""),"")</f>
        <v/>
      </c>
      <c r="AH29" s="26">
        <f>IFERROR(AG29-AF29,0)</f>
        <v>0</v>
      </c>
      <c r="AI29" s="25">
        <f>(F29+G29)/$AL$7*$AL$26</f>
        <v>0</v>
      </c>
      <c r="AJ29" s="25">
        <f>(AH29-AI29)*70%</f>
        <v>0</v>
      </c>
      <c r="AL29" s="336">
        <f>AL8-AL26</f>
        <v>-18468.845443333645</v>
      </c>
      <c r="AM29" s="337">
        <f>AL29*30%</f>
        <v>-5540.6536330000936</v>
      </c>
      <c r="AN29" s="269" t="s">
        <v>897</v>
      </c>
    </row>
    <row r="30" spans="1:43" hidden="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0</v>
      </c>
      <c r="AI30" s="21"/>
      <c r="AJ30" s="21"/>
    </row>
    <row r="31" spans="1:43" hidden="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 t="str">
        <f>IFERROR(AH29/AG29,"")</f>
        <v/>
      </c>
      <c r="AI31" s="21"/>
      <c r="AJ31" s="21"/>
    </row>
    <row r="32" spans="1:43" hidden="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21"/>
      <c r="AJ32" s="21"/>
      <c r="AM32" s="248">
        <f>'10.02.24'!AM34</f>
        <v>-3992.9994125437029</v>
      </c>
      <c r="AN32" s="1" t="s">
        <v>1025</v>
      </c>
    </row>
    <row r="33" spans="1:40" hidden="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40" hidden="1" x14ac:dyDescent="0.35">
      <c r="A34" s="20"/>
      <c r="B34" s="21"/>
      <c r="C34" s="21"/>
      <c r="D34" s="44"/>
      <c r="E34" s="44"/>
      <c r="F34" s="21"/>
      <c r="G34" s="21"/>
      <c r="H34" s="22"/>
      <c r="I34" s="33">
        <v>0</v>
      </c>
      <c r="J34" s="24" t="str">
        <f>IFERROR(K34/H34,"")</f>
        <v/>
      </c>
      <c r="K34" s="22">
        <v>0</v>
      </c>
      <c r="L34" s="21"/>
      <c r="M34" s="21"/>
      <c r="N34" s="21"/>
      <c r="O34" s="21"/>
      <c r="P34" s="21"/>
      <c r="Q34" s="21"/>
      <c r="R34" s="21"/>
      <c r="S34" s="21"/>
      <c r="T34" s="21"/>
      <c r="U34" s="25">
        <v>0</v>
      </c>
      <c r="V34" s="25">
        <f>H34*U34*I34/15</f>
        <v>0</v>
      </c>
      <c r="W34" s="25">
        <v>0</v>
      </c>
      <c r="X34" s="25">
        <v>0</v>
      </c>
      <c r="Y34" s="25">
        <f>IF(B34="FRANCISCO CAMACHO",((F34*42)+(G34*42)),IF(B34="DANILO VIANA",((F34*60)+(G34*60)),IF(B34="ANTONIO MARCUS ALBINO",((F34*60)+(G34*60)),0)))</f>
        <v>0</v>
      </c>
      <c r="Z34" s="25"/>
      <c r="AA34" s="25">
        <v>0</v>
      </c>
      <c r="AB34" s="25">
        <v>0</v>
      </c>
      <c r="AC34" s="25">
        <v>0</v>
      </c>
      <c r="AD34" s="25">
        <f>IF(F34="",G34*4.11,F34*4.11)</f>
        <v>0</v>
      </c>
      <c r="AE34" s="25">
        <v>0</v>
      </c>
      <c r="AF34" s="25">
        <f>V34+Y34+Z34+AA34+AB34+AC34+AD34</f>
        <v>0</v>
      </c>
      <c r="AG34" s="25" t="str">
        <f>IFERROR(IFERROR((H34*W34*J34/15)-AE34,""),"")</f>
        <v/>
      </c>
      <c r="AH34" s="26">
        <f>IFERROR(AG34-AF34,0)</f>
        <v>0</v>
      </c>
      <c r="AI34" s="25">
        <f>(F34+G34)/$AL$7*$AL$26</f>
        <v>0</v>
      </c>
      <c r="AJ34" s="25">
        <f>(AH34-AI34)*70%</f>
        <v>0</v>
      </c>
      <c r="AM34" s="313">
        <f>AM29+AM32</f>
        <v>-9533.6530455437969</v>
      </c>
      <c r="AN34" s="314" t="s">
        <v>1023</v>
      </c>
    </row>
    <row r="35" spans="1:40" hidden="1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0</v>
      </c>
      <c r="AI35" s="21"/>
      <c r="AJ35" s="21"/>
    </row>
    <row r="36" spans="1:40" hidden="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 t="str">
        <f>IFERROR(AH34/AG34,"")</f>
        <v/>
      </c>
      <c r="AI36" s="21"/>
      <c r="AJ36" s="21"/>
    </row>
    <row r="37" spans="1:40" hidden="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47"/>
      <c r="AJ37" s="47"/>
    </row>
    <row r="38" spans="1:40" hidden="1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hidden="1" x14ac:dyDescent="0.35">
      <c r="A39" s="20"/>
      <c r="B39" s="21"/>
      <c r="C39" s="21"/>
      <c r="D39" s="44"/>
      <c r="E39" s="44"/>
      <c r="F39" s="21"/>
      <c r="G39" s="21"/>
      <c r="H39" s="22"/>
      <c r="I39" s="33">
        <v>0</v>
      </c>
      <c r="J39" s="24" t="str">
        <f>IFERROR(K39/H39,"")</f>
        <v/>
      </c>
      <c r="K39" s="22">
        <v>0</v>
      </c>
      <c r="L39" s="21"/>
      <c r="M39" s="21"/>
      <c r="N39" s="21"/>
      <c r="O39" s="21"/>
      <c r="P39" s="21"/>
      <c r="Q39" s="21"/>
      <c r="R39" s="21"/>
      <c r="S39" s="21"/>
      <c r="T39" s="21"/>
      <c r="U39" s="25">
        <v>0</v>
      </c>
      <c r="V39" s="25">
        <f>H39*U39*I39/15</f>
        <v>0</v>
      </c>
      <c r="W39" s="25">
        <v>0</v>
      </c>
      <c r="X39" s="25">
        <v>0</v>
      </c>
      <c r="Y39" s="25">
        <f>IF(B39="FRANCISCO CAMACHO",((F39*42)+(G39*42)),IF(B39="DANILO VIANA",((F39*60)+(G39*60)),IF(B39="ANTONIO MARCUS ALBINO",((F39*60)+(G39*60)),0)))</f>
        <v>0</v>
      </c>
      <c r="Z39" s="25"/>
      <c r="AA39" s="25">
        <v>0</v>
      </c>
      <c r="AB39" s="25">
        <v>0</v>
      </c>
      <c r="AC39" s="25">
        <v>0</v>
      </c>
      <c r="AD39" s="25">
        <f>IF(F39="",G39*4.11,F39*4.11)</f>
        <v>0</v>
      </c>
      <c r="AE39" s="25">
        <v>0</v>
      </c>
      <c r="AF39" s="25">
        <f>V39+Y39+Z39+AA39+AB39+AC39+AD39</f>
        <v>0</v>
      </c>
      <c r="AG39" s="25" t="str">
        <f>IFERROR(IFERROR((H39*W39*J39/15)-AE39,""),"")</f>
        <v/>
      </c>
      <c r="AH39" s="26">
        <f>IFERROR(AG39-AF39,0)</f>
        <v>0</v>
      </c>
      <c r="AI39" s="25">
        <f>(F39+G39)/$AL$7*$AL$26</f>
        <v>0</v>
      </c>
      <c r="AJ39" s="25">
        <f>(AH39-AI39)*70%</f>
        <v>0</v>
      </c>
    </row>
    <row r="40" spans="1:40" hidden="1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0</v>
      </c>
      <c r="AI40" s="21"/>
      <c r="AJ40" s="21"/>
    </row>
    <row r="41" spans="1:40" hidden="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 t="str">
        <f>IFERROR(AH39/AG39,"")</f>
        <v/>
      </c>
      <c r="AI41" s="21"/>
      <c r="AJ41" s="21"/>
    </row>
    <row r="42" spans="1:40" hidden="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21"/>
      <c r="AJ42" s="21"/>
    </row>
    <row r="43" spans="1:40" hidden="1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hidden="1" x14ac:dyDescent="0.35">
      <c r="A44" s="20"/>
      <c r="B44" s="21"/>
      <c r="C44" s="21"/>
      <c r="D44" s="44"/>
      <c r="E44" s="44"/>
      <c r="F44" s="21"/>
      <c r="G44" s="21"/>
      <c r="H44" s="22"/>
      <c r="I44" s="33">
        <v>0</v>
      </c>
      <c r="J44" s="24" t="str">
        <f>IFERROR(K44/H44,"")</f>
        <v/>
      </c>
      <c r="K44" s="22">
        <v>0</v>
      </c>
      <c r="L44" s="21"/>
      <c r="M44" s="21"/>
      <c r="N44" s="21"/>
      <c r="O44" s="21"/>
      <c r="P44" s="21"/>
      <c r="Q44" s="21"/>
      <c r="R44" s="21"/>
      <c r="S44" s="21"/>
      <c r="T44" s="21"/>
      <c r="U44" s="25"/>
      <c r="V44" s="25">
        <f>H44*U44*I44/15</f>
        <v>0</v>
      </c>
      <c r="W44" s="25">
        <v>0</v>
      </c>
      <c r="X44" s="25">
        <v>0</v>
      </c>
      <c r="Y44" s="25">
        <f>IF(B44="FRANCISCO CAMACHO",((F44*42)+(G44*42)),IF(B44="DANILO VIANA",((F44*60)+(G44*60)),IF(B44="ANTONIO MARCUS ALBINO",((F44*60)+(G44*60)),0)))</f>
        <v>0</v>
      </c>
      <c r="Z44" s="25"/>
      <c r="AA44" s="25">
        <v>0</v>
      </c>
      <c r="AB44" s="25">
        <v>0</v>
      </c>
      <c r="AC44" s="25">
        <v>0</v>
      </c>
      <c r="AD44" s="25">
        <f>IF(F44="",G44*4.11,F44*4.11)</f>
        <v>0</v>
      </c>
      <c r="AE44" s="25">
        <v>0</v>
      </c>
      <c r="AF44" s="25">
        <f>V44+Y44+Z44+AA44+AB44+AC44+AD44</f>
        <v>0</v>
      </c>
      <c r="AG44" s="25" t="str">
        <f>IFERROR(IFERROR((H44*W44*J44/15)-AE44,""),"")</f>
        <v/>
      </c>
      <c r="AH44" s="26">
        <f>IFERROR(AG44-AF44,0)</f>
        <v>0</v>
      </c>
      <c r="AI44" s="25">
        <f>(F44+G44)/$AL$7*$AL$26</f>
        <v>0</v>
      </c>
      <c r="AJ44" s="25">
        <f>(AH44-AI44)*70%</f>
        <v>0</v>
      </c>
    </row>
    <row r="45" spans="1:40" hidden="1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0</v>
      </c>
      <c r="AI45" s="21"/>
      <c r="AJ45" s="21"/>
    </row>
    <row r="46" spans="1:40" hidden="1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 t="str">
        <f>IFERROR(AH44/AG44,"")</f>
        <v/>
      </c>
      <c r="AI46" s="21"/>
      <c r="AJ46" s="21"/>
    </row>
    <row r="47" spans="1:40" hidden="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  <c r="AI47" s="21"/>
      <c r="AJ47" s="21"/>
    </row>
    <row r="48" spans="1:40" hidden="1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hidden="1" x14ac:dyDescent="0.35">
      <c r="A49" s="20"/>
      <c r="B49" s="21"/>
      <c r="C49" s="21"/>
      <c r="D49" s="44"/>
      <c r="E49" s="44"/>
      <c r="F49" s="21"/>
      <c r="G49" s="21"/>
      <c r="H49" s="22"/>
      <c r="I49" s="33">
        <v>0</v>
      </c>
      <c r="J49" s="24" t="str">
        <f>IFERROR(K49/H49,"")</f>
        <v/>
      </c>
      <c r="K49" s="22">
        <v>0</v>
      </c>
      <c r="L49" s="21"/>
      <c r="M49" s="21"/>
      <c r="N49" s="21"/>
      <c r="O49" s="21"/>
      <c r="P49" s="21"/>
      <c r="Q49" s="21"/>
      <c r="R49" s="21"/>
      <c r="S49" s="21"/>
      <c r="T49" s="21"/>
      <c r="U49" s="25">
        <v>0</v>
      </c>
      <c r="V49" s="25">
        <f>H49*U49*I49/15</f>
        <v>0</v>
      </c>
      <c r="W49" s="25">
        <v>0</v>
      </c>
      <c r="X49" s="25">
        <v>0</v>
      </c>
      <c r="Y49" s="25">
        <f>IF(B49="FRANCISCO CAMACHO",((F49*42)+(G49*42)),IF(B49="DANILO VIANA",((F49*60)+(G49*60)),IF(B49="ANTONIO MARCUS ALBINO",((F49*60)+(G49*60)),0)))</f>
        <v>0</v>
      </c>
      <c r="Z49" s="25"/>
      <c r="AA49" s="25">
        <v>0</v>
      </c>
      <c r="AB49" s="25">
        <v>0</v>
      </c>
      <c r="AC49" s="25">
        <v>0</v>
      </c>
      <c r="AD49" s="25">
        <f>IF(F49="",G49*4.11,F49*4.11)</f>
        <v>0</v>
      </c>
      <c r="AE49" s="25">
        <v>0</v>
      </c>
      <c r="AF49" s="25">
        <f>V49+Y49+Z49+AA49+AB49+AC49+AD49</f>
        <v>0</v>
      </c>
      <c r="AG49" s="25" t="str">
        <f>IFERROR(IFERROR((H49*W49*J49/15)-AE49,""),"")</f>
        <v/>
      </c>
      <c r="AH49" s="26">
        <f>IFERROR(AG49-AF49,0)</f>
        <v>0</v>
      </c>
      <c r="AI49" s="25">
        <f>(F49+G49)/$AL$7*$AL$26</f>
        <v>0</v>
      </c>
      <c r="AJ49" s="25">
        <f>(AH49-AI49)*70%</f>
        <v>0</v>
      </c>
    </row>
    <row r="50" spans="1:36" hidden="1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0</v>
      </c>
      <c r="AI50" s="21"/>
      <c r="AJ50" s="21"/>
    </row>
    <row r="51" spans="1:36" hidden="1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 t="str">
        <f>IFERROR(AH49/AG49,"")</f>
        <v/>
      </c>
      <c r="AI51" s="21"/>
      <c r="AJ51" s="21"/>
    </row>
    <row r="52" spans="1:36" hidden="1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47"/>
      <c r="AJ52" s="47"/>
    </row>
    <row r="53" spans="1:36" hidden="1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hidden="1" x14ac:dyDescent="0.35">
      <c r="A54" s="20"/>
      <c r="B54" s="21"/>
      <c r="C54" s="21"/>
      <c r="D54" s="44"/>
      <c r="E54" s="44"/>
      <c r="F54" s="21"/>
      <c r="G54" s="21"/>
      <c r="H54" s="22"/>
      <c r="I54" s="33">
        <v>0</v>
      </c>
      <c r="J54" s="24" t="str">
        <f>IFERROR(K54/H54,"")</f>
        <v/>
      </c>
      <c r="K54" s="22">
        <v>0</v>
      </c>
      <c r="L54" s="21"/>
      <c r="M54" s="21"/>
      <c r="N54" s="21"/>
      <c r="O54" s="21"/>
      <c r="P54" s="21"/>
      <c r="Q54" s="21"/>
      <c r="R54" s="21"/>
      <c r="S54" s="21"/>
      <c r="T54" s="21"/>
      <c r="U54" s="25">
        <v>0</v>
      </c>
      <c r="V54" s="25">
        <f>H54*U54*I54/15</f>
        <v>0</v>
      </c>
      <c r="W54" s="25">
        <v>0</v>
      </c>
      <c r="X54" s="25">
        <v>0</v>
      </c>
      <c r="Y54" s="25">
        <f>IF(B54="FRANCISCO CAMACHO",((F54*42)+(G54*42)),IF(B54="DANILO VIANA",((F54*60)+(G54*60)),IF(B54="ANTONIO MARCUS ALBINO",((F54*60)+(G54*60)),0)))</f>
        <v>0</v>
      </c>
      <c r="Z54" s="25"/>
      <c r="AA54" s="25">
        <v>0</v>
      </c>
      <c r="AB54" s="25">
        <v>0</v>
      </c>
      <c r="AC54" s="25">
        <v>0</v>
      </c>
      <c r="AD54" s="25">
        <f>IF(F54="",G54*4.11,F54*4.11)</f>
        <v>0</v>
      </c>
      <c r="AE54" s="25">
        <v>0</v>
      </c>
      <c r="AF54" s="25">
        <f>V54+Y54+Z54+AA54+AB54+AC54+AD54</f>
        <v>0</v>
      </c>
      <c r="AG54" s="25" t="str">
        <f>IFERROR(IFERROR((H54*W54*J54/15)-AE54,""),"")</f>
        <v/>
      </c>
      <c r="AH54" s="26">
        <f>IFERROR(AG54-AF54,0)</f>
        <v>0</v>
      </c>
      <c r="AI54" s="25">
        <f>(F54+G54)/$AL$7*$AL$26</f>
        <v>0</v>
      </c>
      <c r="AJ54" s="25">
        <f>(AH54-AI54)*70%</f>
        <v>0</v>
      </c>
    </row>
    <row r="55" spans="1:36" hidden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0</v>
      </c>
      <c r="AI55" s="21"/>
      <c r="AJ55" s="21"/>
    </row>
    <row r="56" spans="1:36" hidden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 t="str">
        <f>IFERROR(AH54/AG54,"")</f>
        <v/>
      </c>
      <c r="AI56" s="21"/>
      <c r="AJ56" s="21"/>
    </row>
    <row r="57" spans="1:36" hidden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  <c r="AI57" s="21"/>
      <c r="AJ57" s="21"/>
    </row>
    <row r="58" spans="1:36" hidden="1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6" hidden="1" x14ac:dyDescent="0.35">
      <c r="A59" s="20"/>
      <c r="B59" s="21"/>
      <c r="C59" s="21"/>
      <c r="D59" s="44"/>
      <c r="E59" s="44"/>
      <c r="F59" s="21"/>
      <c r="G59" s="21"/>
      <c r="H59" s="22"/>
      <c r="I59" s="33">
        <v>0</v>
      </c>
      <c r="J59" s="24" t="str">
        <f>IFERROR(K59/H59,"")</f>
        <v/>
      </c>
      <c r="K59" s="22">
        <v>0</v>
      </c>
      <c r="L59" s="21"/>
      <c r="M59" s="21"/>
      <c r="N59" s="21"/>
      <c r="O59" s="21"/>
      <c r="P59" s="21"/>
      <c r="Q59" s="21"/>
      <c r="R59" s="21"/>
      <c r="S59" s="21"/>
      <c r="T59" s="21"/>
      <c r="U59" s="25"/>
      <c r="V59" s="25">
        <f>H59*U59*I59/15</f>
        <v>0</v>
      </c>
      <c r="W59" s="25">
        <v>0</v>
      </c>
      <c r="X59" s="25">
        <v>0</v>
      </c>
      <c r="Y59" s="25">
        <f>IF(B59="FRANCISCO CAMACHO",((F59*42)+(G59*42)),IF(B59="DANILO VIANA",((F59*60)+(G59*60)),IF(B59="ANTONIO MARCUS ALBINO",((F59*60)+(G59*60)),0)))</f>
        <v>0</v>
      </c>
      <c r="Z59" s="25"/>
      <c r="AA59" s="25">
        <v>0</v>
      </c>
      <c r="AB59" s="25">
        <v>0</v>
      </c>
      <c r="AC59" s="25">
        <v>0</v>
      </c>
      <c r="AD59" s="25">
        <f>IF(F59="",G59*4.11,F59*4.11)</f>
        <v>0</v>
      </c>
      <c r="AE59" s="25">
        <v>0</v>
      </c>
      <c r="AF59" s="25">
        <f>V59+Y59+Z59+AA59+AB59+AC59+AD59</f>
        <v>0</v>
      </c>
      <c r="AG59" s="25" t="str">
        <f>IFERROR(IFERROR((H59*W59*J59/15)-AE59,""),"")</f>
        <v/>
      </c>
      <c r="AH59" s="26">
        <f>IFERROR(AG59-AF59,0)</f>
        <v>0</v>
      </c>
      <c r="AI59" s="25">
        <f>(F59+G59)/$AL$7*$AL$26</f>
        <v>0</v>
      </c>
      <c r="AJ59" s="25">
        <f>(AH59-AI59)*70%</f>
        <v>0</v>
      </c>
    </row>
    <row r="60" spans="1:36" hidden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0</v>
      </c>
      <c r="AI60" s="21"/>
      <c r="AJ60" s="21"/>
    </row>
    <row r="61" spans="1:36" hidden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 t="str">
        <f>IFERROR(AH59/AG59,"")</f>
        <v/>
      </c>
      <c r="AI61" s="21"/>
      <c r="AJ61" s="21"/>
    </row>
    <row r="62" spans="1:36" hidden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21"/>
      <c r="AJ62" s="21"/>
    </row>
    <row r="63" spans="1:36" hidden="1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hidden="1" x14ac:dyDescent="0.35">
      <c r="A64" s="20"/>
      <c r="B64" s="21"/>
      <c r="C64" s="21"/>
      <c r="D64" s="44"/>
      <c r="E64" s="44"/>
      <c r="F64" s="21"/>
      <c r="G64" s="21"/>
      <c r="H64" s="22"/>
      <c r="I64" s="33">
        <v>0</v>
      </c>
      <c r="J64" s="24" t="str">
        <f>IFERROR(K64/H64,"")</f>
        <v/>
      </c>
      <c r="K64" s="22">
        <v>0</v>
      </c>
      <c r="L64" s="21"/>
      <c r="M64" s="21"/>
      <c r="N64" s="21"/>
      <c r="O64" s="21"/>
      <c r="P64" s="21"/>
      <c r="Q64" s="21"/>
      <c r="R64" s="21"/>
      <c r="S64" s="21"/>
      <c r="T64" s="21"/>
      <c r="U64" s="25">
        <v>0</v>
      </c>
      <c r="V64" s="25">
        <f>H64*U64*I64/15</f>
        <v>0</v>
      </c>
      <c r="W64" s="25">
        <v>0</v>
      </c>
      <c r="X64" s="25">
        <v>0</v>
      </c>
      <c r="Y64" s="25">
        <f>IF(B64="FRANCISCO CAMACHO",((F64*42)+(G64*42)),IF(B64="DANILO VIANA",((F64*60)+(G64*60)),IF(B64="ANTONIO MARCUS ALBINO",((F64*60)+(G64*60)),0)))</f>
        <v>0</v>
      </c>
      <c r="Z64" s="25"/>
      <c r="AA64" s="25">
        <v>0</v>
      </c>
      <c r="AB64" s="25">
        <v>0</v>
      </c>
      <c r="AC64" s="25">
        <v>0</v>
      </c>
      <c r="AD64" s="25">
        <f>IF(F64="",G64*4.11,F64*4.11)</f>
        <v>0</v>
      </c>
      <c r="AE64" s="25">
        <v>0</v>
      </c>
      <c r="AF64" s="25">
        <f>V64+Y64+Z64+AA64+AB64+AC64+AD64</f>
        <v>0</v>
      </c>
      <c r="AG64" s="25" t="str">
        <f>IFERROR(IFERROR((H64*W64*J64/15)-AE64,""),"")</f>
        <v/>
      </c>
      <c r="AH64" s="26">
        <f>IFERROR(AG64-AF64,0)</f>
        <v>0</v>
      </c>
      <c r="AI64" s="25">
        <f>(F64+G64)/$AL$7*$AL$26</f>
        <v>0</v>
      </c>
      <c r="AJ64" s="25">
        <f>(AH64-AI64)*70%</f>
        <v>0</v>
      </c>
    </row>
    <row r="65" spans="1:36" hidden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0</v>
      </c>
      <c r="AI65" s="21"/>
      <c r="AJ65" s="21"/>
    </row>
    <row r="66" spans="1:36" hidden="1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 t="str">
        <f>IFERROR(AH64/AG64,"")</f>
        <v/>
      </c>
      <c r="AI66" s="21"/>
      <c r="AJ66" s="21"/>
    </row>
    <row r="67" spans="1:36" hidden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hidden="1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hidden="1" x14ac:dyDescent="0.35">
      <c r="A69" s="20"/>
      <c r="B69" s="21"/>
      <c r="C69" s="21"/>
      <c r="D69" s="44"/>
      <c r="E69" s="44"/>
      <c r="F69" s="21"/>
      <c r="G69" s="21"/>
      <c r="H69" s="22"/>
      <c r="I69" s="33">
        <v>0</v>
      </c>
      <c r="J69" s="24" t="str">
        <f>IFERROR(K69/H69,"")</f>
        <v/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>
        <v>0</v>
      </c>
      <c r="V69" s="25">
        <f>H69*U69*I69/15</f>
        <v>0</v>
      </c>
      <c r="W69" s="25">
        <v>0</v>
      </c>
      <c r="X69" s="25">
        <v>0</v>
      </c>
      <c r="Y69" s="25">
        <f>IF(B69="FRANCISCO CAMACHO",((F69*42)+(G69*42)),IF(B69="DANILO VIANA",((F69*60)+(G69*60)),IF(B69="ANTONIO MARCUS ALBINO",((F69*60)+(G69*60)),0)))</f>
        <v>0</v>
      </c>
      <c r="Z69" s="25"/>
      <c r="AA69" s="25">
        <v>0</v>
      </c>
      <c r="AB69" s="25">
        <v>0</v>
      </c>
      <c r="AC69" s="25">
        <v>0</v>
      </c>
      <c r="AD69" s="25">
        <f>IF(F69="",G69*4.11,F69*4.11)</f>
        <v>0</v>
      </c>
      <c r="AE69" s="25">
        <v>0</v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25">
        <f>(F69+G69)/$AL$7*$AL$26</f>
        <v>0</v>
      </c>
      <c r="AJ69" s="25">
        <f>(AH69-AI69)*70%</f>
        <v>0</v>
      </c>
    </row>
    <row r="70" spans="1:36" hidden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  <c r="AI70" s="21"/>
      <c r="AJ70" s="21"/>
    </row>
    <row r="71" spans="1:36" hidden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  <c r="AI71" s="21"/>
      <c r="AJ71" s="21"/>
    </row>
    <row r="72" spans="1:36" hidden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  <c r="AI72" s="47"/>
      <c r="AJ72" s="47"/>
    </row>
    <row r="73" spans="1:36" hidden="1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hidden="1" x14ac:dyDescent="0.35">
      <c r="A74" s="20"/>
      <c r="B74" s="21"/>
      <c r="C74" s="21"/>
      <c r="D74" s="44"/>
      <c r="E74" s="44"/>
      <c r="F74" s="21"/>
      <c r="G74" s="21"/>
      <c r="H74" s="22"/>
      <c r="I74" s="33">
        <v>0</v>
      </c>
      <c r="J74" s="24" t="str">
        <f>IFERROR(K74/H74,"")</f>
        <v/>
      </c>
      <c r="K74" s="22"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>
        <v>0</v>
      </c>
      <c r="Y74" s="25">
        <f>IF(B74="FRANCISCO CAMACHO",((F74*42)+(G74*42)),IF(B74="DANILO VIANA",((F74*60)+(G74*60)),IF(B74="ANTONIO MARCUS ALBINO",((F74*60)+(G74*60)),0)))</f>
        <v>0</v>
      </c>
      <c r="Z74" s="25"/>
      <c r="AA74" s="25">
        <v>0</v>
      </c>
      <c r="AB74" s="25">
        <v>0</v>
      </c>
      <c r="AC74" s="25">
        <v>0</v>
      </c>
      <c r="AD74" s="25">
        <f>IF(F74="",G74*4.11,F74*4.11)</f>
        <v>0</v>
      </c>
      <c r="AE74" s="25">
        <v>0</v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25">
        <f>(F74+G74)/$AL$7*$AL$26</f>
        <v>0</v>
      </c>
      <c r="AJ74" s="25">
        <f>(AH74-AI74)*70%</f>
        <v>0</v>
      </c>
    </row>
    <row r="75" spans="1:36" hidden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  <c r="AI75" s="21"/>
      <c r="AJ75" s="21"/>
    </row>
    <row r="76" spans="1:36" hidden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  <c r="AI76" s="21"/>
      <c r="AJ76" s="21"/>
    </row>
    <row r="77" spans="1:36" hidden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21"/>
      <c r="AJ77" s="21"/>
    </row>
    <row r="78" spans="1:36" hidden="1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hidden="1" x14ac:dyDescent="0.35">
      <c r="A79" s="20"/>
      <c r="B79" s="21"/>
      <c r="C79" s="21"/>
      <c r="D79" s="44"/>
      <c r="E79" s="44"/>
      <c r="F79" s="21"/>
      <c r="G79" s="21"/>
      <c r="H79" s="22"/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/>
      <c r="V79" s="25">
        <f>H79*U79*I79/15</f>
        <v>0</v>
      </c>
      <c r="W79" s="25">
        <v>0</v>
      </c>
      <c r="X79" s="25">
        <v>0</v>
      </c>
      <c r="Y79" s="25">
        <f>IF(B79="FRANCISCO CAMACHO",((F79*42)+(G79*42)),IF(B79="DANILO VIANA",((F79*60)+(G79*60)),IF(B79="ANTONIO MARCUS ALBINO",((F79*60)+(G79*60)),0)))</f>
        <v>0</v>
      </c>
      <c r="Z79" s="25"/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v>0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25">
        <f>(F79+G79)/$AL$7*$AL$26</f>
        <v>0</v>
      </c>
      <c r="AJ79" s="25">
        <f>(AH79-AI79)*70%</f>
        <v>0</v>
      </c>
    </row>
    <row r="80" spans="1:36" hidden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  <c r="AI80" s="21"/>
      <c r="AJ80" s="21"/>
    </row>
    <row r="81" spans="1:36" hidden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  <c r="AI81" s="21"/>
      <c r="AJ81" s="21"/>
    </row>
    <row r="82" spans="1:36" hidden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  <c r="AI82" s="21"/>
      <c r="AJ82" s="21"/>
    </row>
    <row r="83" spans="1:36" hidden="1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hidden="1" x14ac:dyDescent="0.35">
      <c r="A84" s="20"/>
      <c r="B84" s="21"/>
      <c r="C84" s="21"/>
      <c r="D84" s="44"/>
      <c r="E84" s="44"/>
      <c r="F84" s="21"/>
      <c r="G84" s="21"/>
      <c r="H84" s="22"/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f>IF(B84="FRANCISCO CAMACHO",((F84*42)+(G84*42)),IF(B84="DANILO VIANA",((F84*60)+(G84*60)),IF(B84="ANTONIO MARCUS ALBINO",((F84*60)+(G84*60)),0)))</f>
        <v>0</v>
      </c>
      <c r="Z84" s="25"/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25">
        <f>(F84+G84)/$AL$7*$AL$26</f>
        <v>0</v>
      </c>
      <c r="AJ84" s="25">
        <f>(AH84-AI84)*70%</f>
        <v>0</v>
      </c>
    </row>
    <row r="85" spans="1:36" hidden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  <c r="AI85" s="21"/>
      <c r="AJ85" s="21"/>
    </row>
    <row r="86" spans="1:36" hidden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  <c r="AI86" s="21"/>
      <c r="AJ86" s="21"/>
    </row>
    <row r="87" spans="1:36" hidden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  <c r="AI87" s="47"/>
      <c r="AJ87" s="47"/>
    </row>
    <row r="88" spans="1:36" hidden="1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hidden="1" x14ac:dyDescent="0.35">
      <c r="A89" s="20"/>
      <c r="B89" s="21"/>
      <c r="C89" s="21"/>
      <c r="D89" s="44"/>
      <c r="E89" s="44"/>
      <c r="F89" s="21"/>
      <c r="G89" s="21"/>
      <c r="H89" s="22"/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>
        <v>0</v>
      </c>
      <c r="Y89" s="25">
        <f>IF(B89="FRANCISCO CAMACHO",((F89*42)+(G89*42)),IF(B89="DANILO VIANA",((F89*60)+(G89*60)),IF(B89="ANTONIO MARCUS ALBINO",((F89*60)+(G89*60)),0)))</f>
        <v>0</v>
      </c>
      <c r="Z89" s="25"/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25">
        <f>(F89+G89)/$AL$7*$AL$26</f>
        <v>0</v>
      </c>
      <c r="AJ89" s="25">
        <f>(AH89-AI89)*70%</f>
        <v>0</v>
      </c>
    </row>
    <row r="90" spans="1:36" hidden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  <c r="AI90" s="21"/>
      <c r="AJ90" s="21"/>
    </row>
    <row r="91" spans="1:36" hidden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  <c r="AI91" s="21"/>
      <c r="AJ91" s="21"/>
    </row>
    <row r="92" spans="1:36" hidden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21"/>
      <c r="AJ92" s="21"/>
    </row>
    <row r="93" spans="1:36" hidden="1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hidden="1" x14ac:dyDescent="0.35">
      <c r="A94" s="20"/>
      <c r="B94" s="21"/>
      <c r="C94" s="21"/>
      <c r="D94" s="44"/>
      <c r="E94" s="44"/>
      <c r="F94" s="21"/>
      <c r="G94" s="21"/>
      <c r="H94" s="22"/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/>
      <c r="V94" s="25">
        <f>H94*U94*I94/15</f>
        <v>0</v>
      </c>
      <c r="W94" s="25">
        <v>0</v>
      </c>
      <c r="X94" s="25">
        <v>0</v>
      </c>
      <c r="Y94" s="25">
        <f>IF(B94="FRANCISCO CAMACHO",((F94*42)+(G94*42)),IF(B94="DANILO VIANA",((F94*60)+(G94*60)),IF(B94="ANTONIO MARCUS ALBINO",((F94*60)+(G94*60)),0)))</f>
        <v>0</v>
      </c>
      <c r="Z94" s="25"/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25">
        <f>(F94+G94)/$AL$7*$AL$26</f>
        <v>0</v>
      </c>
      <c r="AJ94" s="25">
        <f>(AH94-AI94)*70%</f>
        <v>0</v>
      </c>
    </row>
    <row r="95" spans="1:36" hidden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  <c r="AI95" s="21"/>
      <c r="AJ95" s="21"/>
    </row>
    <row r="96" spans="1:36" hidden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  <c r="AI96" s="21"/>
      <c r="AJ96" s="21"/>
    </row>
    <row r="97" spans="1:36" hidden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21"/>
      <c r="AJ97" s="21"/>
    </row>
    <row r="98" spans="1:36" hidden="1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hidden="1" x14ac:dyDescent="0.35">
      <c r="A99" s="20"/>
      <c r="B99" s="21"/>
      <c r="C99" s="21"/>
      <c r="D99" s="44"/>
      <c r="E99" s="44"/>
      <c r="F99" s="21"/>
      <c r="G99" s="21"/>
      <c r="H99" s="22"/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IF(B99="FRANCISCO CAMACHO",((F99*42)+(G99*42)),IF(B99="DANILO VIANA",((F99*60)+(G99*60)),IF(B99="ANTONIO MARCUS ALBINO",((F99*60)+(G99*60)),0)))</f>
        <v>0</v>
      </c>
      <c r="Z99" s="25"/>
      <c r="AA99" s="25">
        <v>0</v>
      </c>
      <c r="AB99" s="25">
        <v>0</v>
      </c>
      <c r="AC99" s="25"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(F99+G99)/$AL$7*$AL$26</f>
        <v>0</v>
      </c>
      <c r="AJ99" s="25">
        <f>(AH99-AI99)*70%</f>
        <v>0</v>
      </c>
    </row>
    <row r="100" spans="1:36" hidden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  <c r="AI100" s="21"/>
      <c r="AJ100" s="21"/>
    </row>
    <row r="101" spans="1:36" hidden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  <c r="AI101" s="21"/>
      <c r="AJ101" s="21"/>
    </row>
    <row r="102" spans="1:36" ht="15" thickBot="1" x14ac:dyDescent="0.4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  <c r="AI102" s="47"/>
      <c r="AJ102" s="47"/>
    </row>
    <row r="103" spans="1:36" ht="16" thickBot="1" x14ac:dyDescent="0.4">
      <c r="A103" s="377" t="s">
        <v>803</v>
      </c>
      <c r="B103" s="378"/>
      <c r="C103" s="378"/>
      <c r="D103" s="378"/>
      <c r="E103" s="378"/>
      <c r="F103" s="163">
        <f>SUM(F4:F99)</f>
        <v>500</v>
      </c>
      <c r="G103" s="163">
        <f>SUM(G4:G99)</f>
        <v>0</v>
      </c>
      <c r="H103" s="274">
        <f>SUM(H4:H99)</f>
        <v>275118</v>
      </c>
      <c r="I103" s="30"/>
      <c r="J103" s="30"/>
      <c r="K103" s="274">
        <f>SUM(K4:K99)</f>
        <v>149017</v>
      </c>
      <c r="L103" s="46"/>
      <c r="M103" s="46"/>
      <c r="N103" s="46"/>
      <c r="O103" s="46"/>
      <c r="P103" s="46"/>
      <c r="Q103" s="46"/>
      <c r="R103" s="46"/>
      <c r="S103" s="46"/>
      <c r="T103" s="46"/>
      <c r="U103" s="30"/>
      <c r="V103" s="275">
        <f>SUM(V4:V99)</f>
        <v>2168463.6966666668</v>
      </c>
      <c r="W103" s="31"/>
      <c r="X103" s="275">
        <f t="shared" ref="X103:AG103" si="0">SUM(X4:X99)</f>
        <v>2447403.1949999998</v>
      </c>
      <c r="Y103" s="275">
        <f t="shared" si="0"/>
        <v>12600</v>
      </c>
      <c r="Z103" s="275">
        <f t="shared" si="0"/>
        <v>251321.83</v>
      </c>
      <c r="AA103" s="275">
        <f t="shared" si="0"/>
        <v>0</v>
      </c>
      <c r="AB103" s="275">
        <f t="shared" si="0"/>
        <v>13537.5</v>
      </c>
      <c r="AC103" s="275">
        <f t="shared" si="0"/>
        <v>0</v>
      </c>
      <c r="AD103" s="275">
        <f t="shared" si="0"/>
        <v>2055.0000000000005</v>
      </c>
      <c r="AE103" s="275">
        <f t="shared" si="0"/>
        <v>4894.8111100000006</v>
      </c>
      <c r="AF103" s="275">
        <f t="shared" si="0"/>
        <v>2447978.0266666668</v>
      </c>
      <c r="AG103" s="275">
        <f t="shared" si="0"/>
        <v>2442502.4012233331</v>
      </c>
      <c r="AH103" s="276">
        <f>AH4+AH9+AH14+AH19+AH24+AH29+AH34+AH34+AH39+AH44+AH49+AH54+AH59+AH64+AH69+AH74+AH79+AH84+AH89+AH94+AH99</f>
        <v>-5475.6254433336435</v>
      </c>
      <c r="AI103" s="275">
        <f>SUM(AI4:AI99)</f>
        <v>12993.220000000001</v>
      </c>
      <c r="AJ103" s="275">
        <f>SUM(AJ4:AJ99)</f>
        <v>-12928.19181033355</v>
      </c>
    </row>
    <row r="115" spans="41:41" x14ac:dyDescent="0.35">
      <c r="AO115" s="21"/>
    </row>
  </sheetData>
  <autoFilter ref="A3:AJ101">
    <filterColumn colId="1">
      <filters>
        <filter val="FRANCISCO CAMACHO"/>
        <filter val="RONALDO SOUZA BEZERRA JUNIOR"/>
      </filters>
    </filterColumn>
  </autoFilter>
  <mergeCells count="1">
    <mergeCell ref="A103:E103"/>
  </mergeCells>
  <pageMargins left="0.511811024" right="0.511811024" top="0.78740157499999996" bottom="0.78740157499999996" header="0.31496062000000002" footer="0.31496062000000002"/>
  <legacy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3:AO141"/>
  <sheetViews>
    <sheetView zoomScale="85" zoomScaleNormal="85" workbookViewId="0">
      <pane xSplit="7" ySplit="3" topLeftCell="AG14" activePane="bottomRight" state="frozen"/>
      <selection activeCell="Z79" sqref="Z79"/>
      <selection pane="topRight" activeCell="Z79" sqref="Z79"/>
      <selection pane="bottomLeft" activeCell="Z79" sqref="Z79"/>
      <selection pane="bottomRight" activeCell="A3" sqref="A3:AJ114"/>
    </sheetView>
  </sheetViews>
  <sheetFormatPr defaultRowHeight="14.5" x14ac:dyDescent="0.35"/>
  <cols>
    <col min="1" max="1" width="13.26953125" customWidth="1"/>
    <col min="2" max="2" width="32" bestFit="1" customWidth="1"/>
    <col min="3" max="3" width="25.54296875" bestFit="1" customWidth="1"/>
    <col min="4" max="4" width="15.1796875" customWidth="1"/>
    <col min="5" max="5" width="11.26953125" customWidth="1"/>
    <col min="6" max="6" width="13.453125" customWidth="1"/>
    <col min="8" max="8" width="11.54296875" bestFit="1" customWidth="1"/>
    <col min="10" max="10" width="10.26953125" bestFit="1" customWidth="1"/>
    <col min="11" max="11" width="12.453125" bestFit="1" customWidth="1"/>
    <col min="17" max="17" width="11.1796875" bestFit="1" customWidth="1"/>
    <col min="21" max="21" width="15" bestFit="1" customWidth="1"/>
    <col min="22" max="22" width="18.1796875" bestFit="1" customWidth="1"/>
    <col min="23" max="23" width="13.26953125" bestFit="1" customWidth="1"/>
    <col min="24" max="24" width="14.26953125" bestFit="1" customWidth="1"/>
    <col min="25" max="25" width="15" bestFit="1" customWidth="1"/>
    <col min="26" max="29" width="12.54296875" customWidth="1"/>
    <col min="30" max="30" width="13.81640625" bestFit="1" customWidth="1"/>
    <col min="31" max="31" width="12.54296875" customWidth="1"/>
    <col min="32" max="34" width="18.1796875" bestFit="1" customWidth="1"/>
    <col min="35" max="35" width="19.7265625" customWidth="1"/>
    <col min="36" max="36" width="18.81640625" customWidth="1"/>
    <col min="38" max="38" width="19" customWidth="1"/>
    <col min="39" max="39" width="20.1796875" customWidth="1"/>
    <col min="40" max="40" width="58.453125" customWidth="1"/>
    <col min="41" max="41" width="11.81640625" customWidth="1"/>
  </cols>
  <sheetData>
    <row r="3" spans="1:4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14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277">
        <f>AF128</f>
        <v>5643870.6540000001</v>
      </c>
      <c r="AM3" s="164">
        <f>AH128-AI128</f>
        <v>2490.1010893100738</v>
      </c>
    </row>
    <row r="4" spans="1:41" x14ac:dyDescent="0.35">
      <c r="A4" s="20">
        <v>45340</v>
      </c>
      <c r="B4" s="21" t="s">
        <v>911</v>
      </c>
      <c r="C4" s="21" t="s">
        <v>242</v>
      </c>
      <c r="D4" s="44">
        <v>1913448</v>
      </c>
      <c r="E4" s="44" t="s">
        <v>652</v>
      </c>
      <c r="F4" s="21">
        <v>50</v>
      </c>
      <c r="G4" s="21"/>
      <c r="H4" s="22">
        <v>24110</v>
      </c>
      <c r="I4" s="33">
        <v>0.53</v>
      </c>
      <c r="J4" s="24">
        <f>IFERROR(K4/H4,"")</f>
        <v>0.52202405640812943</v>
      </c>
      <c r="K4" s="22">
        <v>12586</v>
      </c>
      <c r="L4" s="21">
        <v>7</v>
      </c>
      <c r="M4" s="21">
        <v>19</v>
      </c>
      <c r="N4" s="21">
        <v>21</v>
      </c>
      <c r="O4" s="21">
        <v>2</v>
      </c>
      <c r="P4" s="21">
        <v>1</v>
      </c>
      <c r="Q4" s="21"/>
      <c r="R4" s="21"/>
      <c r="S4" s="21"/>
      <c r="T4" s="21"/>
      <c r="U4" s="25">
        <v>225</v>
      </c>
      <c r="V4" s="25">
        <f>H4*U4*I4/15</f>
        <v>191674.5</v>
      </c>
      <c r="W4" s="25">
        <v>243.45</v>
      </c>
      <c r="X4" s="25">
        <f>(H4*J4/15)*W4-9.12</f>
        <v>204261.66</v>
      </c>
      <c r="Y4" s="25">
        <f>IF(B4="FRANCISCO CAMACHO",((F4*42)+(G4*42)),IF(B4="DANILO VIANA",((F4*60)+(G4*60)),IF(B4="ANTONIO MARCUS ALBINO",((F4*60)+(G4*60)),0)))</f>
        <v>3000</v>
      </c>
      <c r="Z4" s="307">
        <v>9682</v>
      </c>
      <c r="AA4" s="25">
        <v>0</v>
      </c>
      <c r="AB4" s="307">
        <v>1406.25</v>
      </c>
      <c r="AC4" s="25">
        <f>38*F4</f>
        <v>1900</v>
      </c>
      <c r="AD4" s="25">
        <f>IF(F4="",G4*4.11,F4*4.11)</f>
        <v>205.50000000000003</v>
      </c>
      <c r="AE4" s="25">
        <f>X4*0.2%</f>
        <v>408.52332000000001</v>
      </c>
      <c r="AF4" s="25">
        <f>V4+Y4+Z4+AA4+AB4+AC4+AD4</f>
        <v>207868.25</v>
      </c>
      <c r="AG4" s="25">
        <f>IFERROR(IFERROR((H4*W4*J4/15)-AE4,""),"")</f>
        <v>203862.25667999999</v>
      </c>
      <c r="AH4" s="26">
        <f>IFERROR(AG4-AF4,0)</f>
        <v>-4005.9933200000087</v>
      </c>
      <c r="AI4" s="25">
        <f>(F4+G4)/$AL$7*$AL$27</f>
        <v>329.79119086460031</v>
      </c>
      <c r="AJ4" s="25">
        <f>(AH4-AI4)*70%</f>
        <v>-3035.0491576052259</v>
      </c>
      <c r="AL4" s="166" t="s">
        <v>749</v>
      </c>
      <c r="AM4" s="167">
        <f>AM3/AL3</f>
        <v>4.4120449279702324E-4</v>
      </c>
    </row>
    <row r="5" spans="1:41" hidden="1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1"/>
      <c r="AF5" s="21"/>
      <c r="AG5" s="21"/>
      <c r="AH5" s="26">
        <f>IFERROR(AH4/F4,0)+IFERROR(AH4/G4,0)</f>
        <v>-80.119866400000177</v>
      </c>
      <c r="AI5" s="21"/>
      <c r="AJ5" s="21"/>
      <c r="AM5" s="63"/>
    </row>
    <row r="6" spans="1:41" hidden="1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-1.9650490410729464E-2</v>
      </c>
      <c r="AI6" s="21"/>
      <c r="AJ6" s="21"/>
      <c r="AM6" s="63"/>
    </row>
    <row r="7" spans="1:41" hidden="1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21"/>
      <c r="AJ7" s="21"/>
      <c r="AL7" s="341">
        <f>F128+G128</f>
        <v>1226</v>
      </c>
      <c r="AM7" s="342" t="s">
        <v>22</v>
      </c>
    </row>
    <row r="8" spans="1:41" hidden="1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14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L8" s="305">
        <f>AH128</f>
        <v>10576.581089310072</v>
      </c>
      <c r="AM8" s="305">
        <f>AL8*30%</f>
        <v>3172.9743267930212</v>
      </c>
      <c r="AN8" s="2"/>
    </row>
    <row r="9" spans="1:41" x14ac:dyDescent="0.35">
      <c r="A9" s="20">
        <v>45341</v>
      </c>
      <c r="B9" s="21" t="s">
        <v>911</v>
      </c>
      <c r="C9" s="21" t="s">
        <v>955</v>
      </c>
      <c r="D9" s="44">
        <v>1913458</v>
      </c>
      <c r="E9" s="44" t="s">
        <v>652</v>
      </c>
      <c r="F9" s="21">
        <v>10</v>
      </c>
      <c r="G9" s="21"/>
      <c r="H9" s="22">
        <f>5239</f>
        <v>5239</v>
      </c>
      <c r="I9" s="33">
        <v>0.52</v>
      </c>
      <c r="J9" s="24">
        <f>IFERROR(K9/H9,"")</f>
        <v>0.53567774936061374</v>
      </c>
      <c r="K9" s="22">
        <v>2806.4157289002555</v>
      </c>
      <c r="L9" s="21">
        <v>1</v>
      </c>
      <c r="M9" s="21">
        <v>3</v>
      </c>
      <c r="N9" s="21">
        <v>2</v>
      </c>
      <c r="O9" s="21">
        <v>3</v>
      </c>
      <c r="P9" s="21">
        <v>1</v>
      </c>
      <c r="Q9" s="21"/>
      <c r="R9" s="21"/>
      <c r="S9" s="21"/>
      <c r="T9" s="21"/>
      <c r="U9" s="25">
        <v>215</v>
      </c>
      <c r="V9" s="25">
        <f>H9*U9*I9/15</f>
        <v>39048.013333333336</v>
      </c>
      <c r="W9" s="25">
        <v>229.83</v>
      </c>
      <c r="X9" s="25">
        <f>(H9*J9/15)*W9+0.56</f>
        <v>43000.461798209712</v>
      </c>
      <c r="Y9" s="25">
        <f>IF(B9="FRANCISCO CAMACHO",((F9*42)+(G9*42)),IF(B9="DANILO VIANA",((F9*60)+(G9*60)),IF(B9="ANTONIO MARCUS ALBINO",((F9*60)+(G9*60)),0)))</f>
        <v>600</v>
      </c>
      <c r="Z9" s="307">
        <f>8956.3/50*F9</f>
        <v>1791.2599999999998</v>
      </c>
      <c r="AA9" s="25">
        <v>0</v>
      </c>
      <c r="AB9" s="307">
        <f>1393.75/50*F9</f>
        <v>278.75</v>
      </c>
      <c r="AC9" s="25">
        <f>38*F9</f>
        <v>380</v>
      </c>
      <c r="AD9" s="25">
        <f>IF(F9="",G9*4.11,F9*4.11)</f>
        <v>41.1</v>
      </c>
      <c r="AE9" s="25">
        <f>X9*0.2%</f>
        <v>86.000923596419426</v>
      </c>
      <c r="AF9" s="25">
        <f>V9+Y9+Z9+AA9+AB9+AC9+AD9</f>
        <v>42139.123333333337</v>
      </c>
      <c r="AG9" s="25">
        <f>IFERROR(IFERROR((H9*W9*J9/15)-AE9,""),"")</f>
        <v>42913.900874613304</v>
      </c>
      <c r="AH9" s="26">
        <f>IFERROR(AG9-AF9,0)</f>
        <v>774.77754127996741</v>
      </c>
      <c r="AI9" s="25">
        <f>(F9+G9)/$AL$7*$AL$27</f>
        <v>65.958238172920062</v>
      </c>
      <c r="AJ9" s="25">
        <f>(AH9-AI9)*70%</f>
        <v>496.17351217493308</v>
      </c>
      <c r="AL9" s="11"/>
      <c r="AM9" s="11"/>
    </row>
    <row r="10" spans="1:41" hidden="1" x14ac:dyDescent="0.35">
      <c r="A10" s="21"/>
      <c r="B10" s="21"/>
      <c r="C10" s="21"/>
      <c r="D10" s="21"/>
      <c r="E10" s="21"/>
      <c r="F10" s="21"/>
      <c r="G10" s="21"/>
      <c r="H10" s="312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77.477754127996747</v>
      </c>
      <c r="AI10" s="21"/>
      <c r="AJ10" s="21"/>
    </row>
    <row r="11" spans="1:41" hidden="1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1.8054232439594059E-2</v>
      </c>
      <c r="AI11" s="21"/>
      <c r="AJ11" s="21"/>
      <c r="AL11" s="180" t="s">
        <v>187</v>
      </c>
      <c r="AM11" s="181" t="s">
        <v>680</v>
      </c>
      <c r="AN11" s="191"/>
      <c r="AO11" s="180" t="s">
        <v>1</v>
      </c>
    </row>
    <row r="12" spans="1:41" hidden="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  <c r="AI12" s="21"/>
      <c r="AJ12" s="21"/>
      <c r="AL12" s="213">
        <v>236</v>
      </c>
      <c r="AM12" s="336" t="s">
        <v>952</v>
      </c>
      <c r="AN12" s="238"/>
      <c r="AO12" s="333">
        <v>45341</v>
      </c>
    </row>
    <row r="13" spans="1:41" hidden="1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14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  <c r="AL13" s="213">
        <v>2000</v>
      </c>
      <c r="AM13" s="336" t="s">
        <v>951</v>
      </c>
      <c r="AN13" s="338"/>
      <c r="AO13" s="333">
        <v>45343</v>
      </c>
    </row>
    <row r="14" spans="1:41" x14ac:dyDescent="0.35">
      <c r="A14" s="20">
        <v>45341</v>
      </c>
      <c r="B14" s="21" t="s">
        <v>911</v>
      </c>
      <c r="C14" s="21" t="s">
        <v>955</v>
      </c>
      <c r="D14" s="44">
        <v>1913458</v>
      </c>
      <c r="E14" s="44" t="s">
        <v>652</v>
      </c>
      <c r="F14" s="21">
        <f>50-F9</f>
        <v>40</v>
      </c>
      <c r="G14" s="21"/>
      <c r="H14" s="22">
        <f>18221</f>
        <v>18221</v>
      </c>
      <c r="I14" s="33">
        <v>0.52</v>
      </c>
      <c r="J14" s="24">
        <f>IFERROR(K14/H14,"")</f>
        <v>0.53567774936061374</v>
      </c>
      <c r="K14" s="22">
        <v>9760.584271099744</v>
      </c>
      <c r="L14" s="21">
        <v>2</v>
      </c>
      <c r="M14" s="21">
        <v>9</v>
      </c>
      <c r="N14" s="21">
        <v>13</v>
      </c>
      <c r="O14" s="21">
        <v>14</v>
      </c>
      <c r="P14" s="21">
        <v>2</v>
      </c>
      <c r="Q14" s="21"/>
      <c r="R14" s="21"/>
      <c r="S14" s="21"/>
      <c r="T14" s="21"/>
      <c r="U14" s="25">
        <v>225</v>
      </c>
      <c r="V14" s="25">
        <f>H14*U14*I14/15</f>
        <v>142123.79999999999</v>
      </c>
      <c r="W14" s="25">
        <v>229.83</v>
      </c>
      <c r="X14" s="25">
        <f>(H14*J14/15)*W14+1.95</f>
        <v>149553.62220179028</v>
      </c>
      <c r="Y14" s="25">
        <f>IF(B14="FRANCISCO CAMACHO",((F14*42)+(G14*42)),IF(B14="DANILO VIANA",((F14*60)+(G14*60)),IF(B14="ANTONIO MARCUS ALBINO",((F14*60)+(G14*60)),0)))</f>
        <v>2400</v>
      </c>
      <c r="Z14" s="307">
        <f>8956.3/50*F14</f>
        <v>7165.0399999999991</v>
      </c>
      <c r="AA14" s="25">
        <v>0</v>
      </c>
      <c r="AB14" s="307">
        <f>1393.75/50*F14</f>
        <v>1115</v>
      </c>
      <c r="AC14" s="25">
        <f>38*F14</f>
        <v>1520</v>
      </c>
      <c r="AD14" s="25">
        <f>IF(F14="",G14*4.11,F14*4.11)</f>
        <v>164.4</v>
      </c>
      <c r="AE14" s="25">
        <f>X14*0.2%</f>
        <v>299.10724440358058</v>
      </c>
      <c r="AF14" s="25">
        <f>V14+Y14+Z14+AA14+AB14+AC14+AD14</f>
        <v>154488.24</v>
      </c>
      <c r="AG14" s="25">
        <f>IFERROR(IFERROR((H14*W14*J14/15)-AE14,""),"")</f>
        <v>149252.5649573867</v>
      </c>
      <c r="AH14" s="26">
        <f>IFERROR(AG14-AF14,0)</f>
        <v>-5235.675042613293</v>
      </c>
      <c r="AI14" s="25">
        <f>(F14+G14)/$AL$7*$AL$27</f>
        <v>263.83295269168025</v>
      </c>
      <c r="AJ14" s="25">
        <f>(AH14-AI14)*70%</f>
        <v>-3849.6555967134814</v>
      </c>
      <c r="AL14" s="213">
        <v>1350</v>
      </c>
      <c r="AM14" s="336" t="s">
        <v>950</v>
      </c>
      <c r="AN14" s="238"/>
      <c r="AO14" s="333">
        <v>45343</v>
      </c>
    </row>
    <row r="15" spans="1:41" hidden="1" x14ac:dyDescent="0.35">
      <c r="A15" s="21"/>
      <c r="B15" s="21"/>
      <c r="C15" s="21"/>
      <c r="D15" s="21"/>
      <c r="E15" s="21"/>
      <c r="F15" s="21"/>
      <c r="G15" s="21"/>
      <c r="H15" s="312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-130.89187606533233</v>
      </c>
      <c r="AI15" s="21"/>
      <c r="AJ15" s="21"/>
      <c r="AL15" s="213">
        <v>520.05999999999995</v>
      </c>
      <c r="AM15" s="336" t="s">
        <v>996</v>
      </c>
      <c r="AN15" s="238"/>
      <c r="AO15" s="333">
        <v>45344</v>
      </c>
    </row>
    <row r="16" spans="1:41" hidden="1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-3.5079296922690323E-2</v>
      </c>
      <c r="AI16" s="21"/>
      <c r="AJ16" s="21"/>
      <c r="AL16" s="213">
        <v>4216.42</v>
      </c>
      <c r="AM16" s="339" t="s">
        <v>999</v>
      </c>
      <c r="AN16" s="336"/>
      <c r="AO16" s="333">
        <v>45344</v>
      </c>
    </row>
    <row r="17" spans="1:41" hidden="1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  <c r="AI17" s="21"/>
      <c r="AJ17" s="21"/>
      <c r="AL17" s="213"/>
      <c r="AM17" s="339"/>
      <c r="AN17" s="336"/>
      <c r="AO17" s="333"/>
    </row>
    <row r="18" spans="1:41" hidden="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14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213"/>
      <c r="AM18" s="331"/>
      <c r="AN18" s="340"/>
      <c r="AO18" s="238"/>
    </row>
    <row r="19" spans="1:41" x14ac:dyDescent="0.35">
      <c r="A19" s="20">
        <v>45341</v>
      </c>
      <c r="B19" s="21" t="s">
        <v>911</v>
      </c>
      <c r="C19" s="21" t="s">
        <v>341</v>
      </c>
      <c r="D19" s="44">
        <v>1913458</v>
      </c>
      <c r="E19" s="44" t="s">
        <v>652</v>
      </c>
      <c r="F19" s="21">
        <v>53</v>
      </c>
      <c r="G19" s="21"/>
      <c r="H19" s="22">
        <v>29020</v>
      </c>
      <c r="I19" s="33">
        <v>0.54</v>
      </c>
      <c r="J19" s="24">
        <f>IFERROR(K19/H19,"")</f>
        <v>0.55031013094417647</v>
      </c>
      <c r="K19" s="22">
        <v>15970</v>
      </c>
      <c r="L19" s="21">
        <v>13</v>
      </c>
      <c r="M19" s="21">
        <v>33</v>
      </c>
      <c r="N19" s="21">
        <v>5</v>
      </c>
      <c r="O19" s="21">
        <v>1</v>
      </c>
      <c r="P19" s="21">
        <v>1</v>
      </c>
      <c r="Q19" s="21"/>
      <c r="R19" s="21"/>
      <c r="S19" s="21"/>
      <c r="T19" s="21"/>
      <c r="U19" s="25">
        <v>225</v>
      </c>
      <c r="V19" s="25">
        <f>H19*U19*I19/15</f>
        <v>235062</v>
      </c>
      <c r="W19" s="25">
        <v>229.83</v>
      </c>
      <c r="X19" s="25">
        <f>(H19*J19/15)*W19+3.19</f>
        <v>244695.53000000003</v>
      </c>
      <c r="Y19" s="25">
        <f>IF(B19="FRANCISCO CAMACHO",((F19*42)+(G19*42)),IF(B19="DANILO VIANA",((F19*60)+(G19*60)),IF(B19="ANTONIO MARCUS ALBINO",((F19*60)+(G19*60)),0)))</f>
        <v>3180</v>
      </c>
      <c r="Z19" s="307">
        <v>6598.4</v>
      </c>
      <c r="AA19" s="25">
        <v>0</v>
      </c>
      <c r="AB19" s="307">
        <v>1490.63</v>
      </c>
      <c r="AC19" s="25">
        <f>38*F19</f>
        <v>2014</v>
      </c>
      <c r="AD19" s="25">
        <f>IF(F19="",G19*4.11,F19*4.11)</f>
        <v>217.83</v>
      </c>
      <c r="AE19" s="25">
        <f>X19*0.2%</f>
        <v>489.39106000000004</v>
      </c>
      <c r="AF19" s="25">
        <f>V19+Y19+Z19+AA19+AB19+AC19+AD19</f>
        <v>248562.86</v>
      </c>
      <c r="AG19" s="25">
        <f>IFERROR(IFERROR((H19*W19*J19/15)-AE19,""),"")</f>
        <v>244202.94894000003</v>
      </c>
      <c r="AH19" s="26">
        <f>IFERROR(AG19-AF19,0)</f>
        <v>-4359.9110599999549</v>
      </c>
      <c r="AI19" s="25">
        <f>(F19+G19)/$AL$7*$AL$27</f>
        <v>349.57866231647631</v>
      </c>
      <c r="AJ19" s="25">
        <f>(AH19-AI19)*70%</f>
        <v>-3296.6428056215018</v>
      </c>
      <c r="AL19" s="213"/>
      <c r="AM19" s="331"/>
      <c r="AN19" s="191"/>
      <c r="AO19" s="333"/>
    </row>
    <row r="20" spans="1:41" hidden="1" x14ac:dyDescent="0.35">
      <c r="A20" s="21"/>
      <c r="B20" s="21"/>
      <c r="C20" s="21"/>
      <c r="D20" s="21"/>
      <c r="E20" s="21"/>
      <c r="F20" s="21"/>
      <c r="G20" s="21"/>
      <c r="H20" s="312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-82.262472830187832</v>
      </c>
      <c r="AI20" s="21"/>
      <c r="AJ20" s="21"/>
      <c r="AL20" s="213"/>
      <c r="AM20" s="331"/>
      <c r="AN20" s="191"/>
      <c r="AO20" s="238"/>
    </row>
    <row r="21" spans="1:41" hidden="1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-1.7853638045424145E-2</v>
      </c>
      <c r="AI21" s="21"/>
      <c r="AJ21" s="21"/>
      <c r="AL21" s="213"/>
      <c r="AM21" s="331"/>
      <c r="AN21" s="191"/>
      <c r="AO21" s="238"/>
    </row>
    <row r="22" spans="1:41" hidden="1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I22" s="21"/>
      <c r="AJ22" s="21"/>
      <c r="AL22" s="213"/>
      <c r="AM22" s="331"/>
      <c r="AN22" s="191"/>
      <c r="AO22" s="238"/>
    </row>
    <row r="23" spans="1:41" ht="15" hidden="1" customHeight="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14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213"/>
      <c r="AM23" s="331"/>
      <c r="AN23" s="191"/>
      <c r="AO23" s="238"/>
    </row>
    <row r="24" spans="1:41" x14ac:dyDescent="0.35">
      <c r="A24" s="20">
        <v>45341</v>
      </c>
      <c r="B24" s="21" t="s">
        <v>632</v>
      </c>
      <c r="C24" s="21" t="s">
        <v>909</v>
      </c>
      <c r="D24" s="44">
        <v>1919619</v>
      </c>
      <c r="E24" s="44" t="s">
        <v>652</v>
      </c>
      <c r="F24" s="21">
        <v>50</v>
      </c>
      <c r="G24" s="21"/>
      <c r="H24" s="22">
        <v>25052</v>
      </c>
      <c r="I24" s="33">
        <v>0.53</v>
      </c>
      <c r="J24" s="24">
        <f>IFERROR(K24/H24,"")</f>
        <v>0.53620469423598915</v>
      </c>
      <c r="K24" s="22">
        <v>13433</v>
      </c>
      <c r="L24" s="21">
        <v>18</v>
      </c>
      <c r="M24" s="21">
        <v>22</v>
      </c>
      <c r="N24" s="21">
        <v>8</v>
      </c>
      <c r="O24" s="21">
        <v>2</v>
      </c>
      <c r="P24" s="21"/>
      <c r="Q24" s="21"/>
      <c r="R24" s="21"/>
      <c r="S24" s="21"/>
      <c r="T24" s="21"/>
      <c r="U24" s="25">
        <v>210</v>
      </c>
      <c r="V24" s="25">
        <f>H24*U24*I24/15</f>
        <v>185885.84</v>
      </c>
      <c r="W24" s="25">
        <v>241.4</v>
      </c>
      <c r="X24" s="25">
        <f>(H24*J24/15)*W24-3.35</f>
        <v>216178.39666666667</v>
      </c>
      <c r="Y24" s="25">
        <f>IF(B24="FRANCISCO CAMACHO",((F24*42)+(G24*42)),IF(B24="DANILO VIANA",((F24*60)+(G24*60)),IF(B24="ANTONIO MARCUS ALBINO",((F24*60)+(G24*60)),0)))</f>
        <v>2100</v>
      </c>
      <c r="Z24" s="307">
        <f>21951.92</f>
        <v>21951.919999999998</v>
      </c>
      <c r="AA24" s="25">
        <v>0</v>
      </c>
      <c r="AB24" s="307">
        <f>1312.5</f>
        <v>1312.5</v>
      </c>
      <c r="AC24" s="25">
        <v>0</v>
      </c>
      <c r="AD24" s="25">
        <f>IF(F24="",G24*4.11,F24*4.11)</f>
        <v>205.50000000000003</v>
      </c>
      <c r="AE24" s="25">
        <f>X24*0.2%</f>
        <v>432.35679333333337</v>
      </c>
      <c r="AF24" s="25">
        <f>V24+Y24+Z24+AA24+AB24+AC24+AD24</f>
        <v>211455.76</v>
      </c>
      <c r="AG24" s="25">
        <f>IFERROR(IFERROR((H24*W24*J24/15)-AE24,""),"")</f>
        <v>215749.38987333333</v>
      </c>
      <c r="AH24" s="26">
        <f>IFERROR(AG24-AF24,0)</f>
        <v>4293.6298733333242</v>
      </c>
      <c r="AI24" s="25">
        <f>(F24+G24)/$AL$7*$AL$27</f>
        <v>329.79119086460031</v>
      </c>
      <c r="AJ24" s="25">
        <f>(AH24-AI24)*70%</f>
        <v>2774.6870777281065</v>
      </c>
      <c r="AL24" s="238"/>
      <c r="AM24" s="335"/>
      <c r="AN24" s="191"/>
      <c r="AO24" s="238"/>
    </row>
    <row r="25" spans="1:41" hidden="1" x14ac:dyDescent="0.35">
      <c r="A25" s="21"/>
      <c r="B25" s="21"/>
      <c r="C25" s="21"/>
      <c r="D25" s="21"/>
      <c r="E25" s="21"/>
      <c r="F25" s="21"/>
      <c r="G25" s="21"/>
      <c r="H25" s="312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85.872597466666491</v>
      </c>
      <c r="AI25" s="21"/>
      <c r="AJ25" s="21"/>
      <c r="AL25" s="213"/>
      <c r="AM25" s="331"/>
      <c r="AN25" s="191"/>
      <c r="AO25" s="238"/>
    </row>
    <row r="26" spans="1:41" hidden="1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1.9901005865435441E-2</v>
      </c>
      <c r="AI26" s="21"/>
      <c r="AJ26" s="21"/>
      <c r="AL26" s="213"/>
      <c r="AM26" s="331"/>
      <c r="AN26" s="191"/>
      <c r="AO26" s="238"/>
    </row>
    <row r="27" spans="1:41" hidden="1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I27" s="47"/>
      <c r="AJ27" s="47"/>
      <c r="AL27" s="214">
        <f>SUM(AL13:AL26)</f>
        <v>8086.48</v>
      </c>
      <c r="AM27" s="305" t="s">
        <v>673</v>
      </c>
      <c r="AO27" s="238"/>
    </row>
    <row r="28" spans="1:41" hidden="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14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54" t="s">
        <v>17</v>
      </c>
      <c r="AI28" s="14" t="s">
        <v>679</v>
      </c>
      <c r="AJ28" s="14" t="s">
        <v>678</v>
      </c>
      <c r="AL28" s="57"/>
      <c r="AM28" s="6"/>
    </row>
    <row r="29" spans="1:41" x14ac:dyDescent="0.35">
      <c r="A29" s="20">
        <v>45341</v>
      </c>
      <c r="B29" s="21" t="s">
        <v>911</v>
      </c>
      <c r="C29" s="21" t="s">
        <v>332</v>
      </c>
      <c r="D29" s="44">
        <v>1913458</v>
      </c>
      <c r="E29" s="44" t="s">
        <v>652</v>
      </c>
      <c r="F29" s="21">
        <v>50</v>
      </c>
      <c r="G29" s="21"/>
      <c r="H29" s="22">
        <v>25920</v>
      </c>
      <c r="I29" s="33">
        <v>0.54</v>
      </c>
      <c r="J29" s="24">
        <f>IFERROR(K29/H29,"")</f>
        <v>0.53721064814814812</v>
      </c>
      <c r="K29" s="22">
        <v>13924.5</v>
      </c>
      <c r="L29" s="21">
        <v>2</v>
      </c>
      <c r="M29" s="21">
        <v>10</v>
      </c>
      <c r="N29" s="21">
        <v>29</v>
      </c>
      <c r="O29" s="21">
        <v>9</v>
      </c>
      <c r="P29" s="21"/>
      <c r="Q29" s="21"/>
      <c r="R29" s="21"/>
      <c r="S29" s="21"/>
      <c r="T29" s="21"/>
      <c r="U29" s="25">
        <v>225</v>
      </c>
      <c r="V29" s="25">
        <f>H29*U29*I29/15</f>
        <v>209952</v>
      </c>
      <c r="W29" s="25">
        <v>229.83</v>
      </c>
      <c r="X29" s="25">
        <f>(H29*J29/15)*W29+2.78</f>
        <v>213353.96900000001</v>
      </c>
      <c r="Y29" s="25">
        <f>IF(B29="FRANCISCO CAMACHO",((F29*42)+(G29*42)),IF(B29="DANILO VIANA",((F29*60)+(G29*60)),IF(B29="ANTONIO MARCUS ALBINO",((F29*60)+(G29*60)),0)))</f>
        <v>3000</v>
      </c>
      <c r="Z29" s="307">
        <f>9706.8</f>
        <v>9706.7999999999993</v>
      </c>
      <c r="AA29" s="25">
        <v>0</v>
      </c>
      <c r="AB29" s="307">
        <v>1406.25</v>
      </c>
      <c r="AC29" s="25">
        <f>38*F29</f>
        <v>1900</v>
      </c>
      <c r="AD29" s="25">
        <f>IF(F29="",G29*4.11,F29*4.11)</f>
        <v>205.50000000000003</v>
      </c>
      <c r="AE29" s="25">
        <f>X29*0.2%</f>
        <v>426.70793800000001</v>
      </c>
      <c r="AF29" s="25">
        <f>V29+Y29+Z29+AA29+AB29+AC29+AD29</f>
        <v>226170.55</v>
      </c>
      <c r="AG29" s="25">
        <f>IFERROR(IFERROR((H29*W29*J29/15)-AE29,""),"")</f>
        <v>212924.48106199998</v>
      </c>
      <c r="AH29" s="48">
        <f>IFERROR(AG29-AF29,0)</f>
        <v>-13246.068938000011</v>
      </c>
      <c r="AI29" s="25">
        <f>(F29+G29)/$AL$7*$AL$27</f>
        <v>329.79119086460031</v>
      </c>
      <c r="AJ29" s="25">
        <f>(AH29-AI29)*70%</f>
        <v>-9503.1020902052278</v>
      </c>
      <c r="AN29" s="12"/>
    </row>
    <row r="30" spans="1:41" hidden="1" x14ac:dyDescent="0.35">
      <c r="A30" s="21"/>
      <c r="B30" s="21"/>
      <c r="C30" s="21"/>
      <c r="D30" s="21"/>
      <c r="E30" s="21"/>
      <c r="F30" s="21"/>
      <c r="G30" s="21"/>
      <c r="H30" s="312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-264.92137876000021</v>
      </c>
      <c r="AI30" s="21"/>
      <c r="AJ30" s="21"/>
      <c r="AL30" s="57"/>
      <c r="AM30" s="118" t="s">
        <v>22</v>
      </c>
      <c r="AN30" s="12"/>
    </row>
    <row r="31" spans="1:41" hidden="1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-6.2210173634956435E-2</v>
      </c>
      <c r="AI31" s="21"/>
      <c r="AJ31" s="21"/>
      <c r="AL31" s="248">
        <f>AL8-AL27</f>
        <v>2490.101089310072</v>
      </c>
      <c r="AM31" s="248">
        <f>AL31*30%</f>
        <v>747.03032679302157</v>
      </c>
      <c r="AN31" s="1" t="s">
        <v>914</v>
      </c>
    </row>
    <row r="32" spans="1:41" hidden="1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21"/>
      <c r="AJ32" s="21"/>
      <c r="AL32" s="57"/>
      <c r="AM32" s="249"/>
    </row>
    <row r="33" spans="1:40" hidden="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14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7"/>
      <c r="AM33" s="248">
        <f>'17.02.24'!AM34</f>
        <v>-9533.6530455437969</v>
      </c>
      <c r="AN33" s="1" t="s">
        <v>1026</v>
      </c>
    </row>
    <row r="34" spans="1:40" x14ac:dyDescent="0.35">
      <c r="A34" s="20">
        <v>45341</v>
      </c>
      <c r="B34" s="21" t="s">
        <v>956</v>
      </c>
      <c r="C34" s="21" t="s">
        <v>957</v>
      </c>
      <c r="D34" s="44">
        <v>1919619</v>
      </c>
      <c r="E34" s="44" t="s">
        <v>652</v>
      </c>
      <c r="F34" s="21">
        <f>25</f>
        <v>25</v>
      </c>
      <c r="G34" s="21"/>
      <c r="H34" s="22">
        <v>13250</v>
      </c>
      <c r="I34" s="33">
        <v>0.54</v>
      </c>
      <c r="J34" s="24">
        <f>IFERROR(K34/H34,"")</f>
        <v>0.51975471698113207</v>
      </c>
      <c r="K34" s="22">
        <v>6886.75</v>
      </c>
      <c r="L34" s="21">
        <v>1</v>
      </c>
      <c r="M34" s="21">
        <v>9</v>
      </c>
      <c r="N34" s="21">
        <v>0</v>
      </c>
      <c r="O34" s="21">
        <v>13</v>
      </c>
      <c r="P34" s="21">
        <v>2</v>
      </c>
      <c r="Q34" s="21"/>
      <c r="R34" s="21"/>
      <c r="S34" s="21"/>
      <c r="T34" s="21"/>
      <c r="U34" s="25">
        <v>210</v>
      </c>
      <c r="V34" s="25">
        <f>H34*U34*I34/15</f>
        <v>100170</v>
      </c>
      <c r="W34" s="25">
        <v>241.4</v>
      </c>
      <c r="X34" s="25">
        <f>(H34*J34/15)*W34-1.72</f>
        <v>110829.04333333333</v>
      </c>
      <c r="Y34" s="25">
        <f>IF(B34="FRANCISCO CAMACHO",((F34*42)+(G34*42)),IF(B34="DANILO VIANA",((F34*60)+(G34*60)),IF(B34="ANTONIO MARCUS ALBINO",((F34*60)+(G34*60)),0)))</f>
        <v>0</v>
      </c>
      <c r="Z34" s="307">
        <f>22009.82/50*F34</f>
        <v>11004.91</v>
      </c>
      <c r="AA34" s="25">
        <v>0</v>
      </c>
      <c r="AB34" s="307">
        <f>1281.25/50*F34</f>
        <v>640.625</v>
      </c>
      <c r="AC34" s="25">
        <v>0</v>
      </c>
      <c r="AD34" s="25">
        <f>IF(F34="",G34*4.11,F34*4.11)</f>
        <v>102.75000000000001</v>
      </c>
      <c r="AE34" s="25">
        <f>X34*0.2%</f>
        <v>221.65808666666666</v>
      </c>
      <c r="AF34" s="25">
        <f>V34+Y34+Z34+AA34+AB34+AC34+AD34</f>
        <v>111918.285</v>
      </c>
      <c r="AG34" s="25">
        <f>IFERROR(IFERROR((H34*W34*J34/15)-AE34,""),"")</f>
        <v>110609.10524666667</v>
      </c>
      <c r="AH34" s="26">
        <f>IFERROR(AG34-AF34,0)</f>
        <v>-1309.1797533333302</v>
      </c>
      <c r="AI34" s="25">
        <f>(F34+G34)/$AL$7*$AL$27</f>
        <v>164.89559543230015</v>
      </c>
      <c r="AJ34" s="25">
        <f>(AH34-AI34)*70%</f>
        <v>-1031.8527441359411</v>
      </c>
    </row>
    <row r="35" spans="1:40" hidden="1" x14ac:dyDescent="0.35">
      <c r="A35" s="21"/>
      <c r="B35" s="21"/>
      <c r="C35" s="21"/>
      <c r="D35" s="21"/>
      <c r="E35" s="21"/>
      <c r="F35" s="21"/>
      <c r="G35" s="21"/>
      <c r="H35" s="312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-52.367190133333203</v>
      </c>
      <c r="AI35" s="21"/>
      <c r="AJ35" s="21"/>
      <c r="AM35" s="313">
        <f>AM31+AM33</f>
        <v>-8786.6227187507757</v>
      </c>
      <c r="AN35" s="314" t="s">
        <v>1023</v>
      </c>
    </row>
    <row r="36" spans="1:40" hidden="1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-1.1836093876844589E-2</v>
      </c>
      <c r="AI36" s="21"/>
      <c r="AJ36" s="21"/>
    </row>
    <row r="37" spans="1:40" hidden="1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21"/>
      <c r="AJ37" s="21"/>
    </row>
    <row r="38" spans="1:40" hidden="1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14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45341</v>
      </c>
      <c r="B39" s="21" t="s">
        <v>956</v>
      </c>
      <c r="C39" s="21" t="s">
        <v>957</v>
      </c>
      <c r="D39" s="44">
        <v>1919619</v>
      </c>
      <c r="E39" s="44" t="s">
        <v>652</v>
      </c>
      <c r="F39" s="21">
        <f>50-F34</f>
        <v>25</v>
      </c>
      <c r="G39" s="21"/>
      <c r="H39" s="22">
        <v>13250</v>
      </c>
      <c r="I39" s="33">
        <v>0.54</v>
      </c>
      <c r="J39" s="24">
        <f>IFERROR(K39/H39,"")</f>
        <v>0.51975471698113207</v>
      </c>
      <c r="K39" s="22">
        <v>6886.75</v>
      </c>
      <c r="L39" s="21"/>
      <c r="M39" s="21">
        <v>9</v>
      </c>
      <c r="N39" s="21">
        <v>1</v>
      </c>
      <c r="O39" s="21">
        <v>12</v>
      </c>
      <c r="P39" s="21">
        <v>3</v>
      </c>
      <c r="Q39" s="21"/>
      <c r="R39" s="21"/>
      <c r="S39" s="21"/>
      <c r="T39" s="21"/>
      <c r="U39" s="25">
        <v>200</v>
      </c>
      <c r="V39" s="25">
        <f>H39*U39*I39/15</f>
        <v>95400</v>
      </c>
      <c r="W39" s="25">
        <v>241.4</v>
      </c>
      <c r="X39" s="25">
        <f>(H39*J39/15)*W39-1.72</f>
        <v>110829.04333333333</v>
      </c>
      <c r="Y39" s="25">
        <f>IF(B39="FRANCISCO CAMACHO",((F39*42)+(G39*42)),IF(B39="DANILO VIANA",((F39*60)+(G39*60)),IF(B39="ANTONIO MARCUS ALBINO",((F39*60)+(G39*60)),0)))</f>
        <v>0</v>
      </c>
      <c r="Z39" s="307">
        <f>22009.82/50*F39</f>
        <v>11004.91</v>
      </c>
      <c r="AA39" s="25">
        <v>0</v>
      </c>
      <c r="AB39" s="307">
        <f>1281.25/50*F39</f>
        <v>640.625</v>
      </c>
      <c r="AC39" s="25">
        <v>0</v>
      </c>
      <c r="AD39" s="25">
        <f>IF(F39="",G39*4.11,F39*4.11)</f>
        <v>102.75000000000001</v>
      </c>
      <c r="AE39" s="25">
        <f>X39*0.2%</f>
        <v>221.65808666666666</v>
      </c>
      <c r="AF39" s="25">
        <f>V39+Y39+Z39+AA39+AB39+AC39+AD39</f>
        <v>107148.285</v>
      </c>
      <c r="AG39" s="25">
        <f>IFERROR(IFERROR((H39*W39*J39/15)-AE39,""),"")</f>
        <v>110609.10524666667</v>
      </c>
      <c r="AH39" s="26">
        <f>IFERROR(AG39-AF39,0)</f>
        <v>3460.8202466666698</v>
      </c>
      <c r="AI39" s="25">
        <f>(F39+G39)/$AL$7*$AL$27</f>
        <v>164.89559543230015</v>
      </c>
      <c r="AJ39" s="25">
        <f>(AH39-AI39)*70%</f>
        <v>2307.1472558640585</v>
      </c>
    </row>
    <row r="40" spans="1:40" hidden="1" x14ac:dyDescent="0.35">
      <c r="A40" s="21"/>
      <c r="B40" s="21"/>
      <c r="C40" s="21"/>
      <c r="D40" s="21"/>
      <c r="E40" s="21"/>
      <c r="F40" s="21"/>
      <c r="G40" s="21"/>
      <c r="H40" s="312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138.43280986666679</v>
      </c>
      <c r="AI40" s="21"/>
      <c r="AJ40" s="21"/>
    </row>
    <row r="41" spans="1:40" hidden="1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3.1288746427780775E-2</v>
      </c>
      <c r="AI41" s="21"/>
      <c r="AJ41" s="21"/>
    </row>
    <row r="42" spans="1:40" hidden="1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21"/>
      <c r="AJ42" s="21"/>
    </row>
    <row r="43" spans="1:40" hidden="1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14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45342</v>
      </c>
      <c r="B44" s="21" t="s">
        <v>958</v>
      </c>
      <c r="C44" s="21" t="s">
        <v>959</v>
      </c>
      <c r="D44" s="44">
        <v>1913458</v>
      </c>
      <c r="E44" s="44" t="s">
        <v>652</v>
      </c>
      <c r="F44" s="21">
        <v>22</v>
      </c>
      <c r="G44" s="21"/>
      <c r="H44" s="22">
        <v>12184.62</v>
      </c>
      <c r="I44" s="33">
        <v>0.54</v>
      </c>
      <c r="J44" s="24">
        <f>IFERROR(K44/H44,"")</f>
        <v>0.51343749999999999</v>
      </c>
      <c r="K44" s="22">
        <v>6256.0408312500003</v>
      </c>
      <c r="L44" s="21">
        <v>1</v>
      </c>
      <c r="M44" s="21">
        <v>10</v>
      </c>
      <c r="N44" s="21">
        <v>8</v>
      </c>
      <c r="O44" s="21">
        <v>1</v>
      </c>
      <c r="P44" s="21">
        <v>2</v>
      </c>
      <c r="Q44" s="21"/>
      <c r="R44" s="21"/>
      <c r="S44" s="21"/>
      <c r="T44" s="21"/>
      <c r="U44" s="25">
        <v>230</v>
      </c>
      <c r="V44" s="25">
        <f>H44*U44*I44/15</f>
        <v>100888.65360000002</v>
      </c>
      <c r="W44" s="25">
        <v>229.83</v>
      </c>
      <c r="X44" s="25">
        <f>(H44*J44/15)*W44+1.25</f>
        <v>95856.307616412509</v>
      </c>
      <c r="Y44" s="25">
        <f>IF(B44="FRANCISCO CAMACHO",((F44*42)+(G44*42)),IF(B44="DANILO VIANA",((F44*60)+(G44*60)),IF(B44="ANTONIO MARCUS ALBINO",((F44*60)+(G44*60)),0)))</f>
        <v>0</v>
      </c>
      <c r="Z44" s="307">
        <f>1200/26*F44</f>
        <v>1015.3846153846154</v>
      </c>
      <c r="AA44" s="25">
        <v>0</v>
      </c>
      <c r="AB44" s="307">
        <f>737.5/26*F44</f>
        <v>624.03846153846155</v>
      </c>
      <c r="AC44" s="25">
        <v>0</v>
      </c>
      <c r="AD44" s="25">
        <f>IF(F44="",G44*4.11,F44*4.11)</f>
        <v>90.42</v>
      </c>
      <c r="AE44" s="25">
        <f>X44*0.2%</f>
        <v>191.71261523282502</v>
      </c>
      <c r="AF44" s="25">
        <f>V44+Y44+Z44+AA44+AB44+AC44+AD44</f>
        <v>102618.4966769231</v>
      </c>
      <c r="AG44" s="25">
        <f>IFERROR(IFERROR((H44*W44*J44/15)-AE44,""),"")</f>
        <v>95663.345001179681</v>
      </c>
      <c r="AH44" s="26">
        <f>IFERROR(AG44-AF44,0)</f>
        <v>-6955.1516757434147</v>
      </c>
      <c r="AI44" s="25">
        <f>(F44+G44)/$AL$7*$AL$27</f>
        <v>145.10812398042412</v>
      </c>
      <c r="AJ44" s="25">
        <f>(AH44-AI44)*70%</f>
        <v>-4970.1818598066866</v>
      </c>
    </row>
    <row r="45" spans="1:40" hidden="1" x14ac:dyDescent="0.35">
      <c r="A45" s="21"/>
      <c r="B45" s="21"/>
      <c r="C45" s="21"/>
      <c r="D45" s="21"/>
      <c r="E45" s="21"/>
      <c r="F45" s="21"/>
      <c r="G45" s="21"/>
      <c r="H45" s="312"/>
      <c r="I45" s="21"/>
      <c r="J45" s="21"/>
      <c r="K45" s="300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-316.14325798833704</v>
      </c>
      <c r="AI45" s="21"/>
      <c r="AJ45" s="21"/>
    </row>
    <row r="46" spans="1:40" hidden="1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-7.2704458281880546E-2</v>
      </c>
      <c r="AI46" s="21"/>
      <c r="AJ46" s="21"/>
    </row>
    <row r="47" spans="1:40" hidden="1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  <c r="AI47" s="21"/>
      <c r="AJ47" s="21"/>
    </row>
    <row r="48" spans="1:40" hidden="1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14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x14ac:dyDescent="0.35">
      <c r="A49" s="20">
        <v>45342</v>
      </c>
      <c r="B49" s="21" t="s">
        <v>958</v>
      </c>
      <c r="C49" s="21" t="s">
        <v>959</v>
      </c>
      <c r="D49" s="44">
        <v>1913458</v>
      </c>
      <c r="E49" s="44" t="s">
        <v>652</v>
      </c>
      <c r="F49" s="21">
        <v>4</v>
      </c>
      <c r="G49" s="21"/>
      <c r="H49" s="22">
        <v>2215.38</v>
      </c>
      <c r="I49" s="33">
        <v>0.54</v>
      </c>
      <c r="J49" s="24">
        <f>IFERROR(K49/H49,"")</f>
        <v>0.51343749999999999</v>
      </c>
      <c r="K49" s="22">
        <v>1137.4591687500001</v>
      </c>
      <c r="L49" s="21">
        <v>1</v>
      </c>
      <c r="M49" s="21">
        <v>2</v>
      </c>
      <c r="N49" s="21">
        <v>1</v>
      </c>
      <c r="O49" s="21"/>
      <c r="P49" s="21"/>
      <c r="Q49" s="21"/>
      <c r="R49" s="21"/>
      <c r="S49" s="21"/>
      <c r="T49" s="21"/>
      <c r="U49" s="25">
        <v>210</v>
      </c>
      <c r="V49" s="25">
        <f>H49*U49*I49/15</f>
        <v>16748.272800000002</v>
      </c>
      <c r="W49" s="25">
        <v>229.83</v>
      </c>
      <c r="X49" s="25">
        <f>(H49*J49/15)*W49+0.24</f>
        <v>17428.389383587502</v>
      </c>
      <c r="Y49" s="25">
        <f>IF(B49="FRANCISCO CAMACHO",((F49*42)+(G49*42)),IF(B49="DANILO VIANA",((F49*60)+(G49*60)),IF(B49="ANTONIO MARCUS ALBINO",((F49*60)+(G49*60)),0)))</f>
        <v>0</v>
      </c>
      <c r="Z49" s="307">
        <f>1200/26*F49</f>
        <v>184.61538461538461</v>
      </c>
      <c r="AA49" s="25">
        <v>0</v>
      </c>
      <c r="AB49" s="307">
        <f>737.5/26*F49</f>
        <v>113.46153846153847</v>
      </c>
      <c r="AC49" s="25">
        <v>0</v>
      </c>
      <c r="AD49" s="25">
        <f>IF(F49="",G49*4.11,F49*4.11)</f>
        <v>16.440000000000001</v>
      </c>
      <c r="AE49" s="25">
        <f>X49*0.2%-0.01</f>
        <v>34.84677876717501</v>
      </c>
      <c r="AF49" s="25">
        <f>V49+Y49+Z49+AA49+AB49+AC49+AD49</f>
        <v>17062.789723076923</v>
      </c>
      <c r="AG49" s="25">
        <f>IFERROR(IFERROR((H49*W49*J49/15)-AE49,""),"")</f>
        <v>17393.302604820325</v>
      </c>
      <c r="AH49" s="26">
        <f>IFERROR(AG49-AF49,0)</f>
        <v>330.51288174340152</v>
      </c>
      <c r="AI49" s="25">
        <f>(F49+G49)/$AL$7*$AL$27</f>
        <v>26.383295269168027</v>
      </c>
      <c r="AJ49" s="25">
        <f>(AH49-AI49)*70%</f>
        <v>212.89071053196346</v>
      </c>
    </row>
    <row r="50" spans="1:36" hidden="1" x14ac:dyDescent="0.35">
      <c r="A50" s="21"/>
      <c r="B50" s="21"/>
      <c r="C50" s="21"/>
      <c r="D50" s="21"/>
      <c r="E50" s="21"/>
      <c r="F50" s="21"/>
      <c r="G50" s="21"/>
      <c r="H50" s="312"/>
      <c r="I50" s="21"/>
      <c r="J50" s="21"/>
      <c r="K50" s="300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82.62822043585038</v>
      </c>
      <c r="AI50" s="21"/>
      <c r="AJ50" s="21"/>
    </row>
    <row r="51" spans="1:36" hidden="1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1.9002307339366604E-2</v>
      </c>
      <c r="AI51" s="21"/>
      <c r="AJ51" s="21"/>
    </row>
    <row r="52" spans="1:36" hidden="1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21"/>
      <c r="AJ52" s="21"/>
    </row>
    <row r="53" spans="1:36" hidden="1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14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x14ac:dyDescent="0.35">
      <c r="A54" s="20">
        <v>45343</v>
      </c>
      <c r="B54" s="21" t="s">
        <v>917</v>
      </c>
      <c r="C54" s="21" t="s">
        <v>918</v>
      </c>
      <c r="D54" s="44">
        <v>1919619</v>
      </c>
      <c r="E54" s="44"/>
      <c r="F54" s="21">
        <v>42</v>
      </c>
      <c r="G54" s="21"/>
      <c r="H54" s="22">
        <v>20390</v>
      </c>
      <c r="I54" s="33">
        <v>0.54</v>
      </c>
      <c r="J54" s="24">
        <f>IFERROR(K54/H54,"")</f>
        <v>0.53222167729279057</v>
      </c>
      <c r="K54" s="22">
        <v>10852</v>
      </c>
      <c r="L54" s="21">
        <v>15</v>
      </c>
      <c r="M54" s="21">
        <v>22</v>
      </c>
      <c r="N54" s="21">
        <v>5</v>
      </c>
      <c r="O54" s="21"/>
      <c r="P54" s="21"/>
      <c r="Q54" s="21"/>
      <c r="R54" s="21"/>
      <c r="S54" s="21"/>
      <c r="T54" s="21"/>
      <c r="U54" s="25">
        <v>240</v>
      </c>
      <c r="V54" s="25">
        <f>H54*U54*I54/15</f>
        <v>176169.60000000001</v>
      </c>
      <c r="W54" s="25">
        <v>241.4</v>
      </c>
      <c r="X54" s="25">
        <f>(H54*J54/15)*W54-2.71</f>
        <v>174642.14333333334</v>
      </c>
      <c r="Y54" s="25">
        <f>IF(B54="FRANCISCO CAMACHO",((F54*42)+(G54*42)),IF(B54="DANILO VIANA",((F54*60)+(G54*60)),IF(B54="ANTONIO MARCUS ALBINO",((F54*60)+(G54*60)),0)))</f>
        <v>0</v>
      </c>
      <c r="Z54" s="307">
        <v>1062.4000000000001</v>
      </c>
      <c r="AA54" s="25">
        <v>0</v>
      </c>
      <c r="AB54" s="307">
        <f>1260</f>
        <v>1260</v>
      </c>
      <c r="AC54" s="25">
        <v>0</v>
      </c>
      <c r="AD54" s="25">
        <f>IF(F54="",G54*4.11,F54*4.11)</f>
        <v>172.62</v>
      </c>
      <c r="AE54" s="25">
        <f>X54*0.2%</f>
        <v>349.28428666666667</v>
      </c>
      <c r="AF54" s="25">
        <f>V54+Y54+Z54+AA54+AB54+AC54+AD54</f>
        <v>178664.62</v>
      </c>
      <c r="AG54" s="25">
        <f>IFERROR(IFERROR((H54*W54*J54/15)-AE54,""),"")</f>
        <v>174295.56904666667</v>
      </c>
      <c r="AH54" s="26">
        <f>IFERROR(AG54-AF54,0)</f>
        <v>-4369.0509533333243</v>
      </c>
      <c r="AI54" s="25">
        <f>(F54+G54)/$AL$7*$AL$27</f>
        <v>277.02460032626425</v>
      </c>
      <c r="AJ54" s="25">
        <f>(AH54-AI54)*70%</f>
        <v>-3252.2528875617122</v>
      </c>
    </row>
    <row r="55" spans="1:36" hidden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-104.02502269841249</v>
      </c>
      <c r="AI55" s="21"/>
      <c r="AJ55" s="21"/>
    </row>
    <row r="56" spans="1:36" hidden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-2.5066907766103538E-2</v>
      </c>
      <c r="AI56" s="21"/>
      <c r="AJ56" s="21"/>
    </row>
    <row r="57" spans="1:36" hidden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  <c r="AI57" s="47"/>
      <c r="AJ57" s="47"/>
    </row>
    <row r="58" spans="1:36" hidden="1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14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6" x14ac:dyDescent="0.35">
      <c r="A59" s="20">
        <v>45343</v>
      </c>
      <c r="B59" s="21" t="s">
        <v>960</v>
      </c>
      <c r="C59" s="21" t="s">
        <v>961</v>
      </c>
      <c r="D59" s="44">
        <v>1919619</v>
      </c>
      <c r="E59" s="44"/>
      <c r="F59" s="271">
        <v>37</v>
      </c>
      <c r="G59" s="21"/>
      <c r="H59" s="22">
        <v>20584.330000000002</v>
      </c>
      <c r="I59" s="33">
        <v>0.55000000000000004</v>
      </c>
      <c r="J59" s="24">
        <f>IFERROR(K59/H59,"")</f>
        <v>0.54357408442894828</v>
      </c>
      <c r="K59" s="22">
        <f>18144.5/60*F59</f>
        <v>11189.108333333334</v>
      </c>
      <c r="L59" s="21">
        <v>4</v>
      </c>
      <c r="M59" s="21">
        <v>17</v>
      </c>
      <c r="N59" s="21">
        <v>13</v>
      </c>
      <c r="O59" s="21">
        <v>2</v>
      </c>
      <c r="P59" s="21">
        <v>1</v>
      </c>
      <c r="Q59" s="21"/>
      <c r="R59" s="21"/>
      <c r="S59" s="21"/>
      <c r="T59" s="21"/>
      <c r="U59" s="25">
        <v>240</v>
      </c>
      <c r="V59" s="25">
        <f>H59*U59*I59/15</f>
        <v>181142.10400000002</v>
      </c>
      <c r="W59" s="25">
        <v>241.4</v>
      </c>
      <c r="X59" s="25">
        <f>(H59*J59/15)*W59-2.77</f>
        <v>180067.28011111112</v>
      </c>
      <c r="Y59" s="25">
        <f>IF(B59="FRANCISCO CAMACHO",((F59*42)+(G59*42)),IF(B59="DANILO VIANA",((F59*60)+(G59*60)),IF(B59="ANTONIO MARCUS ALBINO",((F59*60)+(G59*60)),0)))</f>
        <v>0</v>
      </c>
      <c r="Z59" s="307">
        <f>4738/60*F59</f>
        <v>2921.7666666666669</v>
      </c>
      <c r="AA59" s="25">
        <v>0</v>
      </c>
      <c r="AB59" s="307">
        <f>1800/60*F59</f>
        <v>1110</v>
      </c>
      <c r="AC59" s="25">
        <v>0</v>
      </c>
      <c r="AD59" s="25">
        <f>IF(F59="",G59*4.11,F59*4.11)</f>
        <v>152.07000000000002</v>
      </c>
      <c r="AE59" s="25">
        <f>X59*0.2%</f>
        <v>360.13456022222226</v>
      </c>
      <c r="AF59" s="25">
        <f>V59+Y59+Z59+AA59+AB59+AC59+AD59</f>
        <v>185325.94066666669</v>
      </c>
      <c r="AG59" s="25">
        <f>IFERROR(IFERROR((H59*W59*J59/15)-AE59,""),"")</f>
        <v>179709.91555088889</v>
      </c>
      <c r="AH59" s="26">
        <f>IFERROR(AG59-AF59,0)</f>
        <v>-5616.0251157777966</v>
      </c>
      <c r="AI59" s="25">
        <f>(F59+G59)/$AL$7*$AL$27</f>
        <v>244.04548123980422</v>
      </c>
      <c r="AJ59" s="25">
        <f>(AH59-AI59)*70%</f>
        <v>-4102.0494179123198</v>
      </c>
    </row>
    <row r="60" spans="1:36" hidden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-151.78446258858909</v>
      </c>
      <c r="AI60" s="21"/>
      <c r="AJ60" s="21"/>
    </row>
    <row r="61" spans="1:36" hidden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-3.125050222500101E-2</v>
      </c>
      <c r="AI61" s="21"/>
      <c r="AJ61" s="21"/>
    </row>
    <row r="62" spans="1:36" hidden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21"/>
      <c r="AJ62" s="21"/>
    </row>
    <row r="63" spans="1:36" hidden="1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14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45343</v>
      </c>
      <c r="B64" s="21" t="s">
        <v>960</v>
      </c>
      <c r="C64" s="21" t="s">
        <v>961</v>
      </c>
      <c r="D64" s="44">
        <v>1919619</v>
      </c>
      <c r="E64" s="44"/>
      <c r="F64" s="271">
        <f>60-F59</f>
        <v>23</v>
      </c>
      <c r="G64" s="21"/>
      <c r="H64" s="22">
        <v>12795.66</v>
      </c>
      <c r="I64" s="33">
        <v>0.56000000000000005</v>
      </c>
      <c r="J64" s="24">
        <f>IFERROR(K64/H64,"")</f>
        <v>0.54357427961251448</v>
      </c>
      <c r="K64" s="22">
        <f>18144.5/60*F64</f>
        <v>6955.3916666666673</v>
      </c>
      <c r="L64" s="21">
        <v>2</v>
      </c>
      <c r="M64" s="21">
        <v>10</v>
      </c>
      <c r="N64" s="21">
        <v>9</v>
      </c>
      <c r="O64" s="21">
        <v>2</v>
      </c>
      <c r="P64" s="21"/>
      <c r="Q64" s="21"/>
      <c r="R64" s="21"/>
      <c r="S64" s="21"/>
      <c r="T64" s="21"/>
      <c r="U64" s="25">
        <v>240</v>
      </c>
      <c r="V64" s="25">
        <f>H64*U64*I64/15</f>
        <v>114649.11360000001</v>
      </c>
      <c r="W64" s="25">
        <v>241.4</v>
      </c>
      <c r="X64" s="25">
        <f>(H64*J64/15)*W64-1.76</f>
        <v>111933.67655555558</v>
      </c>
      <c r="Y64" s="25">
        <f>IF(B64="FRANCISCO CAMACHO",((F64*42)+(G64*42)),IF(B64="DANILO VIANA",((F64*60)+(G64*60)),IF(B64="ANTONIO MARCUS ALBINO",((F64*60)+(G64*60)),0)))</f>
        <v>0</v>
      </c>
      <c r="Z64" s="307">
        <f>4738/60*F64</f>
        <v>1816.2333333333333</v>
      </c>
      <c r="AA64" s="25">
        <v>0</v>
      </c>
      <c r="AB64" s="307">
        <f>1800/60*F64</f>
        <v>690</v>
      </c>
      <c r="AC64" s="25">
        <v>0</v>
      </c>
      <c r="AD64" s="25">
        <f>IF(F64="",G64*4.11,F64*4.11)</f>
        <v>94.53</v>
      </c>
      <c r="AE64" s="25">
        <f>X64*0.2%</f>
        <v>223.86735311111116</v>
      </c>
      <c r="AF64" s="25">
        <f>V64+Y64+Z64+AA64+AB64+AC64+AD64</f>
        <v>117249.87693333335</v>
      </c>
      <c r="AG64" s="25">
        <f>IFERROR(IFERROR((H64*W64*J64/15)-AE64,""),"")</f>
        <v>111711.56920244444</v>
      </c>
      <c r="AH64" s="26">
        <f>IFERROR(AG64-AF64,0)</f>
        <v>-5538.3077308889042</v>
      </c>
      <c r="AI64" s="25">
        <f>(F64+G64)/$AL$7*$AL$27</f>
        <v>151.70394779771615</v>
      </c>
      <c r="AJ64" s="25">
        <f>(AH64-AI64)*70%</f>
        <v>-3983.0081750806339</v>
      </c>
    </row>
    <row r="65" spans="1:36" hidden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-240.79598829951757</v>
      </c>
      <c r="AI65" s="21"/>
      <c r="AJ65" s="21"/>
    </row>
    <row r="66" spans="1:36" hidden="1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-4.9576850190443091E-2</v>
      </c>
      <c r="AI66" s="21"/>
      <c r="AJ66" s="21"/>
    </row>
    <row r="67" spans="1:36" hidden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21"/>
      <c r="AJ67" s="21"/>
    </row>
    <row r="68" spans="1:36" hidden="1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14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45343</v>
      </c>
      <c r="B69" s="21" t="s">
        <v>962</v>
      </c>
      <c r="C69" s="21" t="s">
        <v>963</v>
      </c>
      <c r="D69" s="44">
        <v>1925629</v>
      </c>
      <c r="E69" s="44"/>
      <c r="F69" s="21">
        <v>40</v>
      </c>
      <c r="G69" s="21"/>
      <c r="H69" s="22">
        <v>18790</v>
      </c>
      <c r="I69" s="33">
        <v>0.54</v>
      </c>
      <c r="J69" s="24">
        <f>IFERROR(K69/H69,"")</f>
        <v>0.55178286322511971</v>
      </c>
      <c r="K69" s="22">
        <v>10368</v>
      </c>
      <c r="L69" s="21">
        <f>35+1</f>
        <v>36</v>
      </c>
      <c r="M69" s="21">
        <v>3</v>
      </c>
      <c r="N69" s="21">
        <v>1</v>
      </c>
      <c r="O69" s="21"/>
      <c r="P69" s="21"/>
      <c r="Q69" s="21"/>
      <c r="R69" s="21"/>
      <c r="S69" s="21"/>
      <c r="T69" s="21"/>
      <c r="U69" s="25">
        <v>235</v>
      </c>
      <c r="V69" s="25">
        <f>H69*U69*I69/15</f>
        <v>158963.4</v>
      </c>
      <c r="W69" s="25">
        <v>244</v>
      </c>
      <c r="X69" s="25">
        <f>(H69*J69/15)*W69+2.3</f>
        <v>168655.1</v>
      </c>
      <c r="Y69" s="25">
        <f>IF(B69="FRANCISCO CAMACHO",((F69*42)+(G69*42)),IF(B69="DANILO VIANA",((F69*60)+(G69*60)),IF(B69="ANTONIO MARCUS ALBINO",((F69*60)+(G69*60)),0)))</f>
        <v>0</v>
      </c>
      <c r="Z69" s="307">
        <v>1404</v>
      </c>
      <c r="AA69" s="25">
        <v>0</v>
      </c>
      <c r="AB69" s="307">
        <f>1175</f>
        <v>1175</v>
      </c>
      <c r="AC69" s="25">
        <v>0</v>
      </c>
      <c r="AD69" s="25">
        <f>IF(F69="",G69*4.11,F69*4.11)</f>
        <v>164.4</v>
      </c>
      <c r="AE69" s="25">
        <f>X69*0.2%</f>
        <v>337.31020000000001</v>
      </c>
      <c r="AF69" s="25">
        <f>V69+Y69+Z69+AA69+AB69+AC69+AD69</f>
        <v>161706.79999999999</v>
      </c>
      <c r="AG69" s="25">
        <f>IFERROR(IFERROR((H69*W69*J69/15)-AE69,""),"")</f>
        <v>168315.48979999998</v>
      </c>
      <c r="AH69" s="26">
        <f>IFERROR(AG69-AF69,0)</f>
        <v>6608.6897999999928</v>
      </c>
      <c r="AI69" s="25">
        <f>(F69+G69)/$AL$7*$AL$27</f>
        <v>263.83295269168025</v>
      </c>
      <c r="AJ69" s="25">
        <f>(AH69-AI69)*70%</f>
        <v>4441.3997931158183</v>
      </c>
    </row>
    <row r="70" spans="1:36" hidden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5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165.21724499999982</v>
      </c>
      <c r="AI70" s="21"/>
      <c r="AJ70" s="21"/>
    </row>
    <row r="71" spans="1:36" hidden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3.9263705365755311E-2</v>
      </c>
      <c r="AI71" s="21"/>
      <c r="AJ71" s="21"/>
    </row>
    <row r="72" spans="1:36" hidden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  <c r="AI72" s="21"/>
      <c r="AJ72" s="21"/>
    </row>
    <row r="73" spans="1:36" hidden="1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14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38">
        <v>45343</v>
      </c>
      <c r="B74" s="39" t="s">
        <v>632</v>
      </c>
      <c r="C74" s="39" t="s">
        <v>964</v>
      </c>
      <c r="D74" s="45">
        <v>1916621</v>
      </c>
      <c r="E74" s="45"/>
      <c r="F74" s="39">
        <v>50</v>
      </c>
      <c r="G74" s="39"/>
      <c r="H74" s="40">
        <v>25440</v>
      </c>
      <c r="I74" s="53">
        <v>0.53</v>
      </c>
      <c r="J74" s="42">
        <f>IFERROR(K74/H74,"")</f>
        <v>0.5483202300696558</v>
      </c>
      <c r="K74" s="40">
        <v>13949.266652972045</v>
      </c>
      <c r="L74" s="39">
        <v>17</v>
      </c>
      <c r="M74" s="39">
        <v>27</v>
      </c>
      <c r="N74" s="39">
        <v>4</v>
      </c>
      <c r="O74" s="39"/>
      <c r="P74" s="39">
        <v>2</v>
      </c>
      <c r="Q74" s="39"/>
      <c r="R74" s="39"/>
      <c r="S74" s="39"/>
      <c r="T74" s="39"/>
      <c r="U74" s="43">
        <v>215</v>
      </c>
      <c r="V74" s="43">
        <f>H74*U74*I74/15</f>
        <v>193259.2</v>
      </c>
      <c r="W74" s="43">
        <v>246.1</v>
      </c>
      <c r="X74" s="43">
        <f>(H74*J74/15)*W74-2.76</f>
        <v>228858.20821976132</v>
      </c>
      <c r="Y74" s="43">
        <f>IF(B74="FRANCISCO CAMACHO",((F74*42)+(G74*42)),IF(B74="DANILO VIANA",((F74*60)+(G74*60)),IF(B74="ANTONIO MARCUS ALBINO",((F74*60)+(G74*60)),0)))</f>
        <v>2100</v>
      </c>
      <c r="Z74" s="307">
        <f>19909.56</f>
        <v>19909.560000000001</v>
      </c>
      <c r="AA74" s="43">
        <v>0</v>
      </c>
      <c r="AB74" s="307">
        <f>1343.75</f>
        <v>1343.75</v>
      </c>
      <c r="AC74" s="43">
        <v>0</v>
      </c>
      <c r="AD74" s="43">
        <f>IF(F74="",G74*4.11,F74*4.11)</f>
        <v>205.50000000000003</v>
      </c>
      <c r="AE74" s="43">
        <f>X74*0.2%</f>
        <v>457.71641643952267</v>
      </c>
      <c r="AF74" s="43">
        <f>V74+Y74+Z74+AA74+AB74+AC74+AD74</f>
        <v>216818.01</v>
      </c>
      <c r="AG74" s="43">
        <f>IFERROR(IFERROR((H74*W74*J74/15)-AE74,""),"")</f>
        <v>228403.25180332179</v>
      </c>
      <c r="AH74" s="273">
        <f>IFERROR(AG74-AF74,0)</f>
        <v>11585.241803321784</v>
      </c>
      <c r="AI74" s="25">
        <f>(F74+G74)/$AL$7*$AL$27</f>
        <v>329.79119086460031</v>
      </c>
      <c r="AJ74" s="25">
        <f>(AH74-AI74)*70%</f>
        <v>7878.8154287200277</v>
      </c>
    </row>
    <row r="75" spans="1:36" hidden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231.70483606643566</v>
      </c>
      <c r="AI75" s="21"/>
      <c r="AJ75" s="21"/>
    </row>
    <row r="76" spans="1:36" hidden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5.0722753340210078E-2</v>
      </c>
      <c r="AI76" s="21"/>
      <c r="AJ76" s="21"/>
    </row>
    <row r="77" spans="1:36" hidden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47"/>
      <c r="AJ77" s="47"/>
    </row>
    <row r="78" spans="1:36" hidden="1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14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>
        <v>45343</v>
      </c>
      <c r="B79" s="21" t="s">
        <v>911</v>
      </c>
      <c r="C79" s="21" t="s">
        <v>341</v>
      </c>
      <c r="D79" s="44">
        <v>1916621</v>
      </c>
      <c r="E79" s="44"/>
      <c r="F79" s="21">
        <v>55</v>
      </c>
      <c r="G79" s="21"/>
      <c r="H79" s="22">
        <v>29720</v>
      </c>
      <c r="I79" s="33">
        <v>0.54</v>
      </c>
      <c r="J79" s="24">
        <f>IFERROR(K79/H79,"")</f>
        <v>0.5483202300696558</v>
      </c>
      <c r="K79" s="22">
        <v>16296.077237670172</v>
      </c>
      <c r="L79" s="21">
        <v>20</v>
      </c>
      <c r="M79" s="21">
        <v>31</v>
      </c>
      <c r="N79" s="21">
        <v>4</v>
      </c>
      <c r="O79" s="21"/>
      <c r="P79" s="21"/>
      <c r="Q79" s="21"/>
      <c r="R79" s="21"/>
      <c r="S79" s="21"/>
      <c r="T79" s="21"/>
      <c r="U79" s="25">
        <v>225</v>
      </c>
      <c r="V79" s="25">
        <f>H79*U79*I79/15</f>
        <v>240732.00000000003</v>
      </c>
      <c r="W79" s="25">
        <v>246.1</v>
      </c>
      <c r="X79" s="25">
        <f>(H79*J79/15)*W79-3.22</f>
        <v>267361.0872127086</v>
      </c>
      <c r="Y79" s="25">
        <f>IF(B79="FRANCISCO CAMACHO",((F79*42)+(G79*42)),IF(B79="DANILO VIANA",((F79*60)+(G79*60)),IF(B79="ANTONIO MARCUS ALBINO",((F79*60)+(G79*60)),0)))</f>
        <v>3300</v>
      </c>
      <c r="Z79" s="307">
        <v>6572.4</v>
      </c>
      <c r="AA79" s="25">
        <v>0</v>
      </c>
      <c r="AB79" s="307">
        <f>1546.88</f>
        <v>1546.88</v>
      </c>
      <c r="AC79" s="25">
        <f>F79*38</f>
        <v>2090</v>
      </c>
      <c r="AD79" s="25">
        <f>IF(F79="",G79*4.11,F79*4.11)</f>
        <v>226.05</v>
      </c>
      <c r="AE79" s="25">
        <f>X79*0.2%</f>
        <v>534.72217442541717</v>
      </c>
      <c r="AF79" s="25">
        <f>V79+Y79+Z79+AA79+AB79+AC79+AD79</f>
        <v>254467.33000000002</v>
      </c>
      <c r="AG79" s="25">
        <f>IFERROR(IFERROR((H79*W79*J79/15)-AE79,""),"")</f>
        <v>266829.5850382832</v>
      </c>
      <c r="AH79" s="26">
        <f>IFERROR(AG79-AF79,0)</f>
        <v>12362.255038283183</v>
      </c>
      <c r="AI79" s="25">
        <f>(F79+G79)/$AL$7*$AL$27</f>
        <v>362.77030995106037</v>
      </c>
      <c r="AJ79" s="25">
        <f>(AH79-AI79)*70%</f>
        <v>8399.6393098324861</v>
      </c>
    </row>
    <row r="80" spans="1:36" hidden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224.76827342333061</v>
      </c>
      <c r="AI80" s="21"/>
      <c r="AJ80" s="21"/>
    </row>
    <row r="81" spans="1:36" hidden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>
        <f>IFERROR(AH79/AG79,"")</f>
        <v>4.6330151270555391E-2</v>
      </c>
      <c r="AI81" s="21"/>
      <c r="AJ81" s="21"/>
    </row>
    <row r="82" spans="1:36" hidden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  <c r="AI82" s="21"/>
      <c r="AJ82" s="21"/>
    </row>
    <row r="83" spans="1:36" hidden="1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14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38">
        <v>45343</v>
      </c>
      <c r="B84" s="39" t="s">
        <v>911</v>
      </c>
      <c r="C84" s="39" t="s">
        <v>332</v>
      </c>
      <c r="D84" s="45">
        <v>1916621</v>
      </c>
      <c r="E84" s="45"/>
      <c r="F84" s="39">
        <v>50</v>
      </c>
      <c r="G84" s="39"/>
      <c r="H84" s="40">
        <v>27958</v>
      </c>
      <c r="I84" s="53">
        <v>0.55000000000000004</v>
      </c>
      <c r="J84" s="42">
        <f>IFERROR(K84/H84,"")</f>
        <v>0.54832023006965591</v>
      </c>
      <c r="K84" s="40">
        <v>15329.936992287439</v>
      </c>
      <c r="L84" s="39">
        <v>18</v>
      </c>
      <c r="M84" s="39">
        <v>28</v>
      </c>
      <c r="N84" s="39">
        <v>3</v>
      </c>
      <c r="O84" s="39">
        <v>1</v>
      </c>
      <c r="P84" s="39"/>
      <c r="Q84" s="39"/>
      <c r="R84" s="39"/>
      <c r="S84" s="39"/>
      <c r="T84" s="39"/>
      <c r="U84" s="43">
        <v>225</v>
      </c>
      <c r="V84" s="43">
        <f>H84*U84*I84/15</f>
        <v>230653.50000000003</v>
      </c>
      <c r="W84" s="43">
        <v>246.1</v>
      </c>
      <c r="X84" s="43">
        <f>(H84*J84/15)*W84-3.03</f>
        <v>251510.13625346258</v>
      </c>
      <c r="Y84" s="43">
        <f>IF(B84="FRANCISCO CAMACHO",((F84*42)+(G84*42)),IF(B84="DANILO VIANA",((F84*60)+(G84*60)),IF(B84="ANTONIO MARCUS ALBINO",((F84*60)+(G84*60)),0)))</f>
        <v>3000</v>
      </c>
      <c r="Z84" s="307">
        <f>10196.8</f>
        <v>10196.799999999999</v>
      </c>
      <c r="AA84" s="43">
        <v>0</v>
      </c>
      <c r="AB84" s="307">
        <f>1406.25</f>
        <v>1406.25</v>
      </c>
      <c r="AC84" s="43">
        <f>F84*38</f>
        <v>1900</v>
      </c>
      <c r="AD84" s="43">
        <f>IF(F84="",G84*4.11,F84*4.11)</f>
        <v>205.50000000000003</v>
      </c>
      <c r="AE84" s="43">
        <f>X84*0.2%</f>
        <v>503.02027250692515</v>
      </c>
      <c r="AF84" s="43">
        <f>V84+Y84+Z84+AA84+AB84+AC84+AD84</f>
        <v>247362.05000000002</v>
      </c>
      <c r="AG84" s="43">
        <f>IFERROR(IFERROR((H84*W84*J84/15)-AE84,""),"")</f>
        <v>251010.14598095565</v>
      </c>
      <c r="AH84" s="273">
        <f>IFERROR(AG84-AF84,0)</f>
        <v>3648.0959809556371</v>
      </c>
      <c r="AI84" s="25">
        <f>(F84+G84)/$AL$7*$AL$27</f>
        <v>329.79119086460031</v>
      </c>
      <c r="AJ84" s="25">
        <f>(AH84-AI84)*70%</f>
        <v>2322.8133530637256</v>
      </c>
    </row>
    <row r="85" spans="1:36" hidden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72.961919619112734</v>
      </c>
      <c r="AI85" s="21"/>
      <c r="AJ85" s="21"/>
    </row>
    <row r="86" spans="1:36" hidden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>
        <f>IFERROR(AH84/AG84,"")</f>
        <v>1.4533659453082113E-2</v>
      </c>
      <c r="AI86" s="21"/>
      <c r="AJ86" s="21"/>
    </row>
    <row r="87" spans="1:36" hidden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  <c r="AI87" s="21"/>
      <c r="AJ87" s="21"/>
    </row>
    <row r="88" spans="1:36" hidden="1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14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>
        <v>45344</v>
      </c>
      <c r="B89" s="21" t="s">
        <v>965</v>
      </c>
      <c r="C89" s="21" t="s">
        <v>966</v>
      </c>
      <c r="D89" s="44">
        <v>1916621</v>
      </c>
      <c r="E89" s="44"/>
      <c r="F89" s="21">
        <v>50</v>
      </c>
      <c r="G89" s="21"/>
      <c r="H89" s="22">
        <v>23980</v>
      </c>
      <c r="I89" s="33">
        <v>0.53</v>
      </c>
      <c r="J89" s="24">
        <f>IFERROR(K89/H89,"")</f>
        <v>0.5483202300696558</v>
      </c>
      <c r="K89" s="22">
        <v>13148.719117070346</v>
      </c>
      <c r="L89" s="21">
        <v>16</v>
      </c>
      <c r="M89" s="21">
        <v>28</v>
      </c>
      <c r="N89" s="21">
        <v>5</v>
      </c>
      <c r="O89" s="21">
        <v>1</v>
      </c>
      <c r="P89" s="21"/>
      <c r="Q89" s="21"/>
      <c r="R89" s="21"/>
      <c r="S89" s="21"/>
      <c r="T89" s="21"/>
      <c r="U89" s="25">
        <v>240</v>
      </c>
      <c r="V89" s="25">
        <f>H89*U89*I89/15</f>
        <v>203350.39999999999</v>
      </c>
      <c r="W89" s="25">
        <v>246.1</v>
      </c>
      <c r="X89" s="25">
        <f>(H89*J89/15)*W89-2.6</f>
        <v>215724.0516474008</v>
      </c>
      <c r="Y89" s="25">
        <f>IF(B89="FRANCISCO CAMACHO",((F89*42)+(G89*42)),IF(B89="DANILO VIANA",((F89*60)+(G89*60)),IF(B89="ANTONIO MARCUS ALBINO",((F89*60)+(G89*60)),0)))</f>
        <v>0</v>
      </c>
      <c r="Z89" s="307">
        <v>3436.09</v>
      </c>
      <c r="AA89" s="25">
        <v>0</v>
      </c>
      <c r="AB89" s="307">
        <v>1500</v>
      </c>
      <c r="AC89" s="25">
        <v>0</v>
      </c>
      <c r="AD89" s="25">
        <f>IF(F89="",G89*4.11,F89*4.11)</f>
        <v>205.50000000000003</v>
      </c>
      <c r="AE89" s="25">
        <f>X89*0.2%</f>
        <v>431.44810329480163</v>
      </c>
      <c r="AF89" s="25">
        <f>V89+Y89+Z89+AA89+AB89+AC89+AD89</f>
        <v>208491.99</v>
      </c>
      <c r="AG89" s="25">
        <f>IFERROR(IFERROR((H89*W89*J89/15)-AE89,""),"")</f>
        <v>215295.20354410604</v>
      </c>
      <c r="AH89" s="26">
        <f>IFERROR(AG89-AF89,0)</f>
        <v>6803.2135441060527</v>
      </c>
      <c r="AI89" s="25">
        <f>(F89+G89)/$AL$7*$AL$27</f>
        <v>329.79119086460031</v>
      </c>
      <c r="AJ89" s="25">
        <f>(AH89-AI89)*70%</f>
        <v>4531.3956472690161</v>
      </c>
    </row>
    <row r="90" spans="1:36" hidden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136.06427088212106</v>
      </c>
      <c r="AI90" s="21"/>
      <c r="AJ90" s="21"/>
    </row>
    <row r="91" spans="1:36" hidden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>
        <f>IFERROR(AH89/AG89,"")</f>
        <v>3.1599466370426245E-2</v>
      </c>
      <c r="AI91" s="21"/>
      <c r="AJ91" s="21"/>
    </row>
    <row r="92" spans="1:36" hidden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hidden="1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14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>
        <v>45345</v>
      </c>
      <c r="B94" s="21" t="s">
        <v>632</v>
      </c>
      <c r="C94" s="21" t="s">
        <v>611</v>
      </c>
      <c r="D94" s="44">
        <v>1914565</v>
      </c>
      <c r="E94" s="44"/>
      <c r="F94" s="21">
        <v>150</v>
      </c>
      <c r="G94" s="21"/>
      <c r="H94" s="22">
        <v>84049</v>
      </c>
      <c r="I94" s="33">
        <v>0.55000000000000004</v>
      </c>
      <c r="J94" s="24">
        <f>IFERROR(K94/H94,"")</f>
        <v>0.55466454092255713</v>
      </c>
      <c r="K94" s="22">
        <v>46619</v>
      </c>
      <c r="L94" s="21">
        <v>8</v>
      </c>
      <c r="M94" s="21">
        <f>1+73</f>
        <v>74</v>
      </c>
      <c r="N94" s="21">
        <v>54</v>
      </c>
      <c r="O94" s="21">
        <v>13</v>
      </c>
      <c r="P94" s="21">
        <v>1</v>
      </c>
      <c r="Q94" s="21"/>
      <c r="R94" s="21"/>
      <c r="S94" s="21"/>
      <c r="T94" s="21"/>
      <c r="U94" s="25">
        <v>220</v>
      </c>
      <c r="V94" s="25">
        <f>H94*U94*I94/15</f>
        <v>677995.26666666672</v>
      </c>
      <c r="W94" s="25">
        <v>243.49</v>
      </c>
      <c r="X94" s="25">
        <f>(H94*J94/15)*W94+7.77</f>
        <v>756758.45733333356</v>
      </c>
      <c r="Y94" s="25">
        <f>IF(B94="FRANCISCO CAMACHO",((F94*42)+(G94*42)),IF(B94="DANILO VIANA",((F94*60)+(G94*60)),IF(B94="ANTONIO MARCUS ALBINO",((F94*60)+(G94*60)),0)))</f>
        <v>6300</v>
      </c>
      <c r="Z94" s="307">
        <f>39512.2 + 19888.88</f>
        <v>59401.08</v>
      </c>
      <c r="AA94" s="25">
        <v>0</v>
      </c>
      <c r="AB94" s="307">
        <f>4125</f>
        <v>4125</v>
      </c>
      <c r="AC94" s="25">
        <v>0</v>
      </c>
      <c r="AD94" s="25">
        <f>IF(F94="",G94*4.11,F94*4.11)</f>
        <v>616.5</v>
      </c>
      <c r="AE94" s="25">
        <f>X94*0.2%</f>
        <v>1513.5169146666672</v>
      </c>
      <c r="AF94" s="25">
        <f>V94+Y94+Z94+AA94+AB94+AC94+AD94</f>
        <v>748437.84666666668</v>
      </c>
      <c r="AG94" s="25">
        <f>IFERROR(IFERROR((H94*W94*J94/15)-AE94,""),"")</f>
        <v>755237.17041866691</v>
      </c>
      <c r="AH94" s="26">
        <f>IFERROR(AG94-AF94,0)</f>
        <v>6799.3237520002294</v>
      </c>
      <c r="AI94" s="25">
        <f>(F94+G94)/$AL$7*$AL$27</f>
        <v>989.37357259380087</v>
      </c>
      <c r="AJ94" s="25">
        <f>(AH94-AI94)*70%</f>
        <v>4066.9651255845001</v>
      </c>
    </row>
    <row r="95" spans="1:36" hidden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45.328825013334864</v>
      </c>
      <c r="AI95" s="21"/>
      <c r="AJ95" s="21"/>
    </row>
    <row r="96" spans="1:36" hidden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9.0028987162152178E-3</v>
      </c>
      <c r="AI96" s="21"/>
      <c r="AJ96" s="21"/>
    </row>
    <row r="97" spans="1:36" hidden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47"/>
      <c r="AJ97" s="47"/>
    </row>
    <row r="98" spans="1:36" hidden="1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14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>
        <v>45345</v>
      </c>
      <c r="B99" s="21" t="s">
        <v>632</v>
      </c>
      <c r="C99" s="21" t="s">
        <v>919</v>
      </c>
      <c r="D99" s="44">
        <v>1914565</v>
      </c>
      <c r="E99" s="44"/>
      <c r="F99" s="21">
        <v>50</v>
      </c>
      <c r="G99" s="21"/>
      <c r="H99" s="22">
        <v>29076</v>
      </c>
      <c r="I99" s="33">
        <v>0.55000000000000004</v>
      </c>
      <c r="J99" s="24">
        <f>IFERROR(K99/H99,"")</f>
        <v>0.54572499656073736</v>
      </c>
      <c r="K99" s="22">
        <v>15867.5</v>
      </c>
      <c r="L99" s="21">
        <v>6</v>
      </c>
      <c r="M99" s="21">
        <v>40</v>
      </c>
      <c r="N99" s="21">
        <v>3</v>
      </c>
      <c r="O99" s="21"/>
      <c r="P99" s="21">
        <v>1</v>
      </c>
      <c r="Q99" s="21"/>
      <c r="R99" s="21"/>
      <c r="S99" s="21"/>
      <c r="T99" s="21"/>
      <c r="U99" s="25">
        <v>215</v>
      </c>
      <c r="V99" s="25">
        <f>H99*U99*I99/15</f>
        <v>229215.80000000002</v>
      </c>
      <c r="W99" s="25">
        <v>243.49</v>
      </c>
      <c r="X99" s="25">
        <f>(H99*J99/15)*W99+2.65</f>
        <v>257574.48833333331</v>
      </c>
      <c r="Y99" s="25">
        <f>IF(B99="FRANCISCO CAMACHO",((F99*42)+(G99*42)),IF(B99="DANILO VIANA",((F99*60)+(G99*60)),IF(B99="ANTONIO MARCUS ALBINO",((F99*60)+(G99*60)),0)))</f>
        <v>2100</v>
      </c>
      <c r="Z99" s="307">
        <f>27798.96</f>
        <v>27798.959999999999</v>
      </c>
      <c r="AA99" s="25">
        <v>0</v>
      </c>
      <c r="AB99" s="307">
        <v>1343.75</v>
      </c>
      <c r="AC99" s="25">
        <v>0</v>
      </c>
      <c r="AD99" s="25">
        <f>IF(F99="",G99*4.11,F99*4.11)</f>
        <v>205.50000000000003</v>
      </c>
      <c r="AE99" s="25">
        <f>X99*0.2%</f>
        <v>515.14897666666661</v>
      </c>
      <c r="AF99" s="25">
        <f>V99+Y99+Z99+AA99+AB99+AC99+AD99</f>
        <v>260664.01</v>
      </c>
      <c r="AG99" s="25">
        <f>IFERROR(IFERROR((H99*W99*J99/15)-AE99,""),"")</f>
        <v>257056.68935666667</v>
      </c>
      <c r="AH99" s="26">
        <f>IFERROR(AG99-AF99,0)</f>
        <v>-3607.3206433333398</v>
      </c>
      <c r="AI99" s="25">
        <f>(F99+G99)/$AL$7*$AL$27</f>
        <v>329.79119086460031</v>
      </c>
      <c r="AJ99" s="25">
        <f>(AH99-AI99)*70%</f>
        <v>-2755.978283938558</v>
      </c>
    </row>
    <row r="100" spans="1:36" hidden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-72.146412866666793</v>
      </c>
      <c r="AI100" s="21"/>
      <c r="AJ100" s="21"/>
    </row>
    <row r="101" spans="1:36" hidden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>
        <f>IFERROR(AH99/AG99,"")</f>
        <v>-1.4033171641482456E-2</v>
      </c>
      <c r="AI101" s="21"/>
      <c r="AJ101" s="21"/>
    </row>
    <row r="102" spans="1:36" hidden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  <c r="AI102" s="21"/>
      <c r="AJ102" s="21"/>
    </row>
    <row r="103" spans="1:36" hidden="1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14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>
        <v>45345</v>
      </c>
      <c r="B104" s="21" t="s">
        <v>632</v>
      </c>
      <c r="C104" s="21" t="s">
        <v>611</v>
      </c>
      <c r="D104" s="44">
        <v>1914564</v>
      </c>
      <c r="E104" s="44"/>
      <c r="F104" s="21">
        <v>100</v>
      </c>
      <c r="G104" s="21"/>
      <c r="H104" s="22">
        <v>56326</v>
      </c>
      <c r="I104" s="33">
        <v>0.54</v>
      </c>
      <c r="J104" s="24">
        <f>IFERROR(K104/H104,"")</f>
        <v>0.53705796204880873</v>
      </c>
      <c r="K104" s="22">
        <v>30250.326770361204</v>
      </c>
      <c r="L104" s="21">
        <v>1</v>
      </c>
      <c r="M104" s="21">
        <v>32</v>
      </c>
      <c r="N104" s="21">
        <v>55</v>
      </c>
      <c r="O104" s="21">
        <v>12</v>
      </c>
      <c r="P104" s="21"/>
      <c r="Q104" s="21"/>
      <c r="R104" s="21"/>
      <c r="S104" s="21"/>
      <c r="T104" s="21"/>
      <c r="U104" s="25">
        <v>220</v>
      </c>
      <c r="V104" s="25">
        <f>H104*U104*I104/15</f>
        <v>446101.92000000004</v>
      </c>
      <c r="W104" s="25">
        <v>243.05</v>
      </c>
      <c r="X104" s="25">
        <f>(H104*J104/15)*W104+2.41</f>
        <v>490158.53810241935</v>
      </c>
      <c r="Y104" s="25">
        <f>IF(B104="FRANCISCO CAMACHO",((F104*42)+(G104*42)),IF(B104="DANILO VIANA",((F104*60)+(G104*60)),IF(B104="ANTONIO MARCUS ALBINO",((F104*60)+(G104*60)),0)))</f>
        <v>4200</v>
      </c>
      <c r="Z104" s="307">
        <v>41739.42</v>
      </c>
      <c r="AA104" s="25">
        <v>0</v>
      </c>
      <c r="AB104" s="307">
        <v>2750</v>
      </c>
      <c r="AC104" s="25">
        <v>0</v>
      </c>
      <c r="AD104" s="25">
        <f>IF(F104="",G104*4.11,F104*4.11)</f>
        <v>411.00000000000006</v>
      </c>
      <c r="AE104" s="25">
        <f>X104*0.2%</f>
        <v>980.31707620483871</v>
      </c>
      <c r="AF104" s="25">
        <f>V104+Y104+Z104+AA104+AB104+AC104+AD104</f>
        <v>495202.34</v>
      </c>
      <c r="AG104" s="25">
        <f>IFERROR(IFERROR((H104*W104*J104/15)-AE104,""),"")</f>
        <v>489175.81102621451</v>
      </c>
      <c r="AH104" s="26">
        <f>IFERROR(AG104-AF104,0)</f>
        <v>-6026.5289737855201</v>
      </c>
      <c r="AI104" s="25">
        <f>(F104+G104)/$AL$7*$AL$27</f>
        <v>659.58238172920062</v>
      </c>
      <c r="AJ104" s="25">
        <f>(AH104-AI104)*70%</f>
        <v>-4680.2779488603037</v>
      </c>
    </row>
    <row r="105" spans="1:36" hidden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-60.265289737855198</v>
      </c>
      <c r="AI105" s="21"/>
      <c r="AJ105" s="21"/>
    </row>
    <row r="106" spans="1:36" hidden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>
        <f>IFERROR(AH104/AG104,"")</f>
        <v>-1.2319760785274322E-2</v>
      </c>
      <c r="AI106" s="21"/>
      <c r="AJ106" s="21"/>
    </row>
    <row r="107" spans="1:36" hidden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  <c r="AI107" s="21"/>
      <c r="AJ107" s="21"/>
    </row>
    <row r="108" spans="1:36" hidden="1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14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>
        <v>45346</v>
      </c>
      <c r="B109" s="21" t="s">
        <v>911</v>
      </c>
      <c r="C109" s="21" t="s">
        <v>565</v>
      </c>
      <c r="D109" s="44">
        <v>1914565</v>
      </c>
      <c r="E109" s="44"/>
      <c r="F109" s="21">
        <v>150</v>
      </c>
      <c r="G109" s="21"/>
      <c r="H109" s="22">
        <f>128870/250*F109</f>
        <v>77322</v>
      </c>
      <c r="I109" s="33">
        <v>0.55000000000000004</v>
      </c>
      <c r="J109" s="24">
        <f>IFERROR(K109/H109,"")</f>
        <v>0.55821111714647831</v>
      </c>
      <c r="K109" s="22">
        <v>43162</v>
      </c>
      <c r="L109" s="21">
        <v>28</v>
      </c>
      <c r="M109" s="21">
        <v>81</v>
      </c>
      <c r="N109" s="21">
        <v>32</v>
      </c>
      <c r="O109" s="21">
        <v>9</v>
      </c>
      <c r="P109" s="21"/>
      <c r="Q109" s="21"/>
      <c r="R109" s="21"/>
      <c r="S109" s="21"/>
      <c r="T109" s="21"/>
      <c r="U109" s="25">
        <v>225</v>
      </c>
      <c r="V109" s="25">
        <f>H109*U109*I109/15</f>
        <v>637906.5</v>
      </c>
      <c r="W109" s="25">
        <v>243.49</v>
      </c>
      <c r="X109" s="25">
        <f>(H109*J109/15)*W109+7.2</f>
        <v>700641.5586666665</v>
      </c>
      <c r="Y109" s="25">
        <f>IF(B109="FRANCISCO CAMACHO",((F109*42)+(G109*42)),IF(B109="DANILO VIANA",((F109*60)+(G109*60)),IF(B109="ANTONIO MARCUS ALBINO",((F109*60)+(G109*60)),0)))</f>
        <v>9000</v>
      </c>
      <c r="Z109" s="307">
        <f>(8929.6+17579.4+8975.2+8826.75)/250*F109</f>
        <v>26586.57</v>
      </c>
      <c r="AA109" s="25">
        <v>0</v>
      </c>
      <c r="AB109" s="307">
        <f>7031.25/250*F109</f>
        <v>4218.75</v>
      </c>
      <c r="AC109" s="25">
        <f>38*F109</f>
        <v>5700</v>
      </c>
      <c r="AD109" s="25">
        <f>IF(F109="",G109*4.11,F109*4.11)</f>
        <v>616.5</v>
      </c>
      <c r="AE109" s="25">
        <f>X109*0.2%</f>
        <v>1401.2831173333329</v>
      </c>
      <c r="AF109" s="25">
        <f>V109+Y109+Z109+AA109+AB109+AC109+AD109</f>
        <v>684028.32</v>
      </c>
      <c r="AG109" s="25">
        <f>IFERROR(IFERROR((H109*W109*J109/15)-AE109,""),"")</f>
        <v>699233.07554933324</v>
      </c>
      <c r="AH109" s="26">
        <f>IFERROR(AG109-AF109,0)</f>
        <v>15204.755549333291</v>
      </c>
      <c r="AI109" s="25">
        <f>(F109+G109)/$AL$7*$AL$27</f>
        <v>989.37357259380087</v>
      </c>
      <c r="AJ109" s="25">
        <f>(AH109-AI109)*70%</f>
        <v>9950.7673837176426</v>
      </c>
    </row>
    <row r="110" spans="1:36" hidden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101.36503699555527</v>
      </c>
      <c r="AI110" s="21"/>
      <c r="AJ110" s="21"/>
    </row>
    <row r="111" spans="1:36" hidden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5"/>
      <c r="Y111" s="21"/>
      <c r="Z111" s="21"/>
      <c r="AA111" s="21"/>
      <c r="AB111" s="21"/>
      <c r="AC111" s="21"/>
      <c r="AD111" s="21"/>
      <c r="AE111" s="21"/>
      <c r="AF111" s="21"/>
      <c r="AG111" s="21"/>
      <c r="AH111" s="27">
        <f>IFERROR(AH109/AG109,"")</f>
        <v>2.1744903210403902E-2</v>
      </c>
      <c r="AI111" s="21"/>
      <c r="AJ111" s="21"/>
    </row>
    <row r="112" spans="1:36" hidden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  <c r="AI112" s="47"/>
      <c r="AJ112" s="47"/>
    </row>
    <row r="113" spans="1:36" hidden="1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14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>
        <v>45346</v>
      </c>
      <c r="B114" s="21" t="s">
        <v>911</v>
      </c>
      <c r="C114" s="21" t="s">
        <v>565</v>
      </c>
      <c r="D114" s="44">
        <v>1914564</v>
      </c>
      <c r="E114" s="44"/>
      <c r="F114" s="21">
        <v>100</v>
      </c>
      <c r="G114" s="21"/>
      <c r="H114" s="22">
        <f>128870/250*F114</f>
        <v>51548</v>
      </c>
      <c r="I114" s="33">
        <v>0.55000000000000004</v>
      </c>
      <c r="J114" s="24">
        <f>IFERROR(K114/H114,"")</f>
        <v>0.53705796204880885</v>
      </c>
      <c r="K114" s="22">
        <v>27684.263827691997</v>
      </c>
      <c r="L114" s="21">
        <v>17</v>
      </c>
      <c r="M114" s="21">
        <v>50</v>
      </c>
      <c r="N114" s="21">
        <f>27+1</f>
        <v>28</v>
      </c>
      <c r="O114" s="21">
        <v>5</v>
      </c>
      <c r="P114" s="21"/>
      <c r="Q114" s="21"/>
      <c r="R114" s="21"/>
      <c r="S114" s="21"/>
      <c r="T114" s="21"/>
      <c r="U114" s="25">
        <v>225</v>
      </c>
      <c r="V114" s="25">
        <f>H114*U114*I114/15</f>
        <v>425271.00000000006</v>
      </c>
      <c r="W114" s="25">
        <v>243.05</v>
      </c>
      <c r="X114" s="25">
        <f>(H114*J114/15)*W114+2.21</f>
        <v>448579.56488803605</v>
      </c>
      <c r="Y114" s="25">
        <f>IF(B114="FRANCISCO CAMACHO",((F114*42)+(G114*42)),IF(B114="DANILO VIANA",((F114*60)+(G114*60)),IF(B114="ANTONIO MARCUS ALBINO",((F114*60)+(G114*60)),0)))</f>
        <v>6000</v>
      </c>
      <c r="Z114" s="307">
        <f>(8929.6+17579.4+8975.2+8826.75)/250*F114</f>
        <v>17724.38</v>
      </c>
      <c r="AA114" s="25">
        <v>0</v>
      </c>
      <c r="AB114" s="307">
        <f>7031.25/250*F114</f>
        <v>2812.5</v>
      </c>
      <c r="AC114" s="25">
        <f>38*F114</f>
        <v>3800</v>
      </c>
      <c r="AD114" s="25">
        <f>IF(F114="",G114*4.11,F114*4.11)</f>
        <v>411.00000000000006</v>
      </c>
      <c r="AE114" s="25">
        <f>X114*0.2%</f>
        <v>897.15912977607218</v>
      </c>
      <c r="AF114" s="25">
        <f>V114+Y114+Z114+AA114+AB114+AC114+AD114</f>
        <v>456018.88000000006</v>
      </c>
      <c r="AG114" s="25">
        <f>IFERROR(IFERROR((H114*W114*J114/15)-AE114,""),"")</f>
        <v>447680.19575825997</v>
      </c>
      <c r="AH114" s="26">
        <f>IFERROR(AG114-AF114,0)</f>
        <v>-8338.6842417400912</v>
      </c>
      <c r="AI114" s="25">
        <f>(F114+G114)/$AL$7*$AL$27</f>
        <v>659.58238172920062</v>
      </c>
      <c r="AJ114" s="25">
        <f>(AH114-AI114)*70%</f>
        <v>-6298.7866364285037</v>
      </c>
    </row>
    <row r="115" spans="1:36" hidden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-83.386842417400914</v>
      </c>
      <c r="AI115" s="21"/>
      <c r="AJ115" s="21"/>
    </row>
    <row r="116" spans="1:36" hidden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>
        <f>IFERROR(AH114/AG114,"")</f>
        <v>-1.8626430922673302E-2</v>
      </c>
      <c r="AI116" s="21"/>
      <c r="AJ116" s="21"/>
    </row>
    <row r="117" spans="1:36" hidden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21"/>
      <c r="AJ117" s="21"/>
    </row>
    <row r="118" spans="1:36" hidden="1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14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hidden="1" x14ac:dyDescent="0.35">
      <c r="A119" s="20"/>
      <c r="B119" s="21"/>
      <c r="C119" s="21"/>
      <c r="D119" s="44"/>
      <c r="E119" s="44"/>
      <c r="F119" s="21"/>
      <c r="G119" s="21"/>
      <c r="H119" s="22"/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>
        <v>0</v>
      </c>
      <c r="X119" s="25">
        <v>0</v>
      </c>
      <c r="Y119" s="25">
        <f>IF(B119="FRANCISCO CAMACHO",((F119*42)+(G119*42)),IF(B119="DANILO VIANA",((F119*60)+(G119*60)),IF(B119="ANTONIO MARCUS ALBINO",((F119*60)+(G119*60)),0)))</f>
        <v>0</v>
      </c>
      <c r="Z119" s="25"/>
      <c r="AA119" s="25">
        <v>0</v>
      </c>
      <c r="AB119" s="25">
        <v>0</v>
      </c>
      <c r="AC119" s="25">
        <f>38*F119</f>
        <v>0</v>
      </c>
      <c r="AD119" s="25">
        <f>IF(F119="",G119*4.11,F119*4.11)</f>
        <v>0</v>
      </c>
      <c r="AE119" s="25">
        <f>X119*0.2%</f>
        <v>0</v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25">
        <f>(F119+G119)/$AL$7*$AL$27</f>
        <v>0</v>
      </c>
      <c r="AJ119" s="25">
        <f>(AH119-AI119)*70%</f>
        <v>0</v>
      </c>
    </row>
    <row r="120" spans="1:36" hidden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  <c r="AI120" s="21"/>
      <c r="AJ120" s="21"/>
    </row>
    <row r="121" spans="1:36" hidden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  <c r="AI121" s="21"/>
      <c r="AJ121" s="21"/>
    </row>
    <row r="122" spans="1:36" hidden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  <c r="AI122" s="21"/>
      <c r="AJ122" s="21"/>
    </row>
    <row r="123" spans="1:36" hidden="1" x14ac:dyDescent="0.35">
      <c r="A123" s="14" t="s">
        <v>1</v>
      </c>
      <c r="B123" s="14" t="s">
        <v>2</v>
      </c>
      <c r="C123" s="14" t="s">
        <v>110</v>
      </c>
      <c r="D123" s="14" t="s">
        <v>66</v>
      </c>
      <c r="E123" s="14" t="s">
        <v>638</v>
      </c>
      <c r="F123" s="14" t="s">
        <v>137</v>
      </c>
      <c r="G123" s="14" t="s">
        <v>138</v>
      </c>
      <c r="H123" s="14" t="s">
        <v>4</v>
      </c>
      <c r="I123" s="14" t="s">
        <v>5</v>
      </c>
      <c r="J123" s="14" t="s">
        <v>6</v>
      </c>
      <c r="K123" s="14" t="s">
        <v>7</v>
      </c>
      <c r="L123" s="14" t="s">
        <v>279</v>
      </c>
      <c r="M123" s="14" t="s">
        <v>280</v>
      </c>
      <c r="N123" s="14" t="s">
        <v>281</v>
      </c>
      <c r="O123" s="14" t="s">
        <v>282</v>
      </c>
      <c r="P123" s="14" t="s">
        <v>283</v>
      </c>
      <c r="Q123" s="14" t="s">
        <v>284</v>
      </c>
      <c r="R123" s="14" t="s">
        <v>904</v>
      </c>
      <c r="S123" s="14" t="s">
        <v>285</v>
      </c>
      <c r="T123" s="14" t="s">
        <v>289</v>
      </c>
      <c r="U123" s="14" t="s">
        <v>8</v>
      </c>
      <c r="V123" s="14" t="s">
        <v>9</v>
      </c>
      <c r="W123" s="14" t="s">
        <v>10</v>
      </c>
      <c r="X123" s="14" t="s">
        <v>100</v>
      </c>
      <c r="Y123" s="14" t="s">
        <v>106</v>
      </c>
      <c r="Z123" s="14" t="s">
        <v>12</v>
      </c>
      <c r="AA123" s="14" t="s">
        <v>258</v>
      </c>
      <c r="AB123" s="14" t="s">
        <v>13</v>
      </c>
      <c r="AC123" s="14" t="s">
        <v>74</v>
      </c>
      <c r="AD123" s="14" t="s">
        <v>21</v>
      </c>
      <c r="AE123" s="14" t="s">
        <v>14</v>
      </c>
      <c r="AF123" s="14" t="s">
        <v>15</v>
      </c>
      <c r="AG123" s="14" t="s">
        <v>16</v>
      </c>
      <c r="AH123" s="15" t="s">
        <v>17</v>
      </c>
      <c r="AI123" s="14" t="s">
        <v>679</v>
      </c>
      <c r="AJ123" s="14" t="s">
        <v>678</v>
      </c>
    </row>
    <row r="124" spans="1:36" hidden="1" x14ac:dyDescent="0.35">
      <c r="A124" s="20"/>
      <c r="B124" s="21"/>
      <c r="C124" s="21"/>
      <c r="D124" s="44"/>
      <c r="E124" s="44"/>
      <c r="F124" s="21"/>
      <c r="G124" s="21"/>
      <c r="H124" s="22"/>
      <c r="I124" s="33">
        <v>0</v>
      </c>
      <c r="J124" s="24" t="str">
        <f>IFERROR(K124/H124,"")</f>
        <v/>
      </c>
      <c r="K124" s="22">
        <v>0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5">
        <v>0</v>
      </c>
      <c r="V124" s="25">
        <f>H124*U124*I124/15</f>
        <v>0</v>
      </c>
      <c r="W124" s="25">
        <v>0</v>
      </c>
      <c r="X124" s="25">
        <v>0</v>
      </c>
      <c r="Y124" s="25">
        <f>IF(B124="FRANCISCO CAMACHO",((F124*42)+(G124*42)),IF(B124="DANILO VIANA",((F124*60)+(G124*60)),IF(B124="ANTONIO MARCUS ALBINO",((F124*60)+(G124*60)),0)))</f>
        <v>0</v>
      </c>
      <c r="Z124" s="25"/>
      <c r="AA124" s="25">
        <v>0</v>
      </c>
      <c r="AB124" s="25">
        <v>0</v>
      </c>
      <c r="AC124" s="25">
        <v>0</v>
      </c>
      <c r="AD124" s="25">
        <f>IF(F124="",G124*4.11,F124*4.11)</f>
        <v>0</v>
      </c>
      <c r="AE124" s="25">
        <v>0</v>
      </c>
      <c r="AF124" s="25">
        <f>V124+Y124+Z124+AA124+AB124+AC124+AD124</f>
        <v>0</v>
      </c>
      <c r="AG124" s="25" t="str">
        <f>IFERROR(IFERROR((H124*W124*J124/15)-AE124,""),"")</f>
        <v/>
      </c>
      <c r="AH124" s="26">
        <f>IFERROR(AG124-AF124,0)</f>
        <v>0</v>
      </c>
      <c r="AI124" s="25">
        <f>(F124+G124)/$AL$7*$AL$27</f>
        <v>0</v>
      </c>
      <c r="AJ124" s="25">
        <f>(AH124-AI124)*70%</f>
        <v>0</v>
      </c>
    </row>
    <row r="125" spans="1:36" hidden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3"/>
      <c r="AA125" s="21"/>
      <c r="AB125" s="21"/>
      <c r="AC125" s="21"/>
      <c r="AD125" s="21"/>
      <c r="AE125" s="21"/>
      <c r="AF125" s="21"/>
      <c r="AG125" s="21"/>
      <c r="AH125" s="26">
        <f>IFERROR(AH124/F124,0)+IFERROR(AH124/G124,0)</f>
        <v>0</v>
      </c>
      <c r="AI125" s="21"/>
      <c r="AJ125" s="21"/>
    </row>
    <row r="126" spans="1:36" hidden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7" t="str">
        <f>IFERROR(AH124/AG124,"")</f>
        <v/>
      </c>
      <c r="AI126" s="21"/>
      <c r="AJ126" s="21"/>
    </row>
    <row r="127" spans="1:36" hidden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47"/>
      <c r="AI127" s="47"/>
      <c r="AJ127" s="47"/>
    </row>
    <row r="128" spans="1:36" ht="16" hidden="1" thickBot="1" x14ac:dyDescent="0.4">
      <c r="A128" s="377" t="s">
        <v>803</v>
      </c>
      <c r="B128" s="378"/>
      <c r="C128" s="378"/>
      <c r="D128" s="378"/>
      <c r="E128" s="378"/>
      <c r="F128" s="163">
        <f>SUM(F4:F124)</f>
        <v>1226</v>
      </c>
      <c r="G128" s="163">
        <f>SUM(G4:G124)</f>
        <v>0</v>
      </c>
      <c r="H128" s="274">
        <f>SUM(H4:H124)</f>
        <v>646440.99</v>
      </c>
      <c r="I128" s="30"/>
      <c r="J128" s="30"/>
      <c r="K128" s="274">
        <f>SUM(K4:K124)</f>
        <v>351319.09059805318</v>
      </c>
      <c r="L128" s="46"/>
      <c r="M128" s="46"/>
      <c r="N128" s="46"/>
      <c r="O128" s="46"/>
      <c r="P128" s="46"/>
      <c r="Q128" s="46"/>
      <c r="R128" s="46"/>
      <c r="S128" s="46"/>
      <c r="T128" s="46"/>
      <c r="U128" s="30"/>
      <c r="V128" s="275">
        <f>SUM(V4:V124)</f>
        <v>5232362.8839999996</v>
      </c>
      <c r="W128" s="31"/>
      <c r="X128" s="275">
        <f t="shared" ref="X128:AG128" si="0">SUM(X4:X124)</f>
        <v>5658450.7139904555</v>
      </c>
      <c r="Y128" s="275">
        <f t="shared" si="0"/>
        <v>50280</v>
      </c>
      <c r="Z128" s="275">
        <f t="shared" si="0"/>
        <v>300674.90000000002</v>
      </c>
      <c r="AA128" s="275">
        <f t="shared" si="0"/>
        <v>0</v>
      </c>
      <c r="AB128" s="275">
        <f t="shared" si="0"/>
        <v>34310.01</v>
      </c>
      <c r="AC128" s="275">
        <f t="shared" si="0"/>
        <v>21204</v>
      </c>
      <c r="AD128" s="275">
        <f t="shared" si="0"/>
        <v>5038.8600000000006</v>
      </c>
      <c r="AE128" s="275">
        <f t="shared" si="0"/>
        <v>11316.891427980911</v>
      </c>
      <c r="AF128" s="275">
        <f t="shared" si="0"/>
        <v>5643870.6540000001</v>
      </c>
      <c r="AG128" s="275">
        <f t="shared" si="0"/>
        <v>5647134.0725624738</v>
      </c>
      <c r="AH128" s="276">
        <f>AH4+AH9+AH19+AH24+AH29+AH34+AH44+AH49+AH54+AH59+AH69+AH74+AH79+AH84+AH89+AH94+AH99+AH104+AH109+AH114+AH119+AH124</f>
        <v>10576.581089310072</v>
      </c>
      <c r="AI128" s="276">
        <f>SUM(AI4:AI124)</f>
        <v>8086.4799999999977</v>
      </c>
      <c r="AJ128" s="275">
        <f>SUM(AJ4:AJ124)</f>
        <v>-3376.1430062678201</v>
      </c>
    </row>
    <row r="129" spans="41:41" hidden="1" x14ac:dyDescent="0.35"/>
    <row r="130" spans="41:41" hidden="1" x14ac:dyDescent="0.35"/>
    <row r="131" spans="41:41" hidden="1" x14ac:dyDescent="0.35"/>
    <row r="132" spans="41:41" hidden="1" x14ac:dyDescent="0.35"/>
    <row r="133" spans="41:41" hidden="1" x14ac:dyDescent="0.35"/>
    <row r="134" spans="41:41" hidden="1" x14ac:dyDescent="0.35"/>
    <row r="135" spans="41:41" hidden="1" x14ac:dyDescent="0.35"/>
    <row r="136" spans="41:41" hidden="1" x14ac:dyDescent="0.35"/>
    <row r="137" spans="41:41" hidden="1" x14ac:dyDescent="0.35"/>
    <row r="138" spans="41:41" hidden="1" x14ac:dyDescent="0.35"/>
    <row r="139" spans="41:41" hidden="1" x14ac:dyDescent="0.35"/>
    <row r="140" spans="41:41" hidden="1" x14ac:dyDescent="0.35"/>
    <row r="141" spans="41:41" hidden="1" x14ac:dyDescent="0.35">
      <c r="AO141" s="21"/>
    </row>
  </sheetData>
  <autoFilter ref="A3:AJ141">
    <filterColumn colId="1">
      <filters>
        <filter val="ANTONIO MARCUS ALBINO"/>
        <filter val="CICERO DAMAZIO DOMINGOS"/>
        <filter val="FRANCISCO CAMACHO"/>
        <filter val="FRANK DANIEL POLEGATTO"/>
        <filter val="HENRIQUE BONILHA SILVA"/>
        <filter val="L.MARCANTE E CIA LTDA"/>
        <filter val="VALDEMIR ANTONIO MASCHIO"/>
        <filter val="VITOR RICARDO BOMBONATO"/>
      </filters>
    </filterColumn>
  </autoFilter>
  <mergeCells count="1">
    <mergeCell ref="A128:E128"/>
  </mergeCells>
  <pageMargins left="0.511811024" right="0.511811024" top="0.78740157499999996" bottom="0.78740157499999996" header="0.31496062000000002" footer="0.31496062000000002"/>
  <legacy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3:AO125"/>
  <sheetViews>
    <sheetView topLeftCell="A3" zoomScale="85" zoomScaleNormal="85" workbookViewId="0">
      <pane xSplit="7" topLeftCell="AH1" activePane="topRight" state="frozen"/>
      <selection activeCell="Z79" sqref="Z79"/>
      <selection pane="topRight" activeCell="A3" sqref="A3:AJ39"/>
    </sheetView>
  </sheetViews>
  <sheetFormatPr defaultRowHeight="14.5" x14ac:dyDescent="0.35"/>
  <cols>
    <col min="1" max="1" width="13.26953125" customWidth="1"/>
    <col min="2" max="2" width="37.26953125" bestFit="1" customWidth="1"/>
    <col min="3" max="3" width="29.54296875" bestFit="1" customWidth="1"/>
    <col min="4" max="4" width="15.1796875" customWidth="1"/>
    <col min="5" max="5" width="11.26953125" customWidth="1"/>
    <col min="6" max="6" width="13.453125" customWidth="1"/>
    <col min="8" max="8" width="11.54296875" style="310" bestFit="1" customWidth="1"/>
    <col min="10" max="10" width="10.26953125" bestFit="1" customWidth="1"/>
    <col min="11" max="11" width="12.453125" bestFit="1" customWidth="1"/>
    <col min="17" max="17" width="11.1796875" bestFit="1" customWidth="1"/>
    <col min="21" max="21" width="15" bestFit="1" customWidth="1"/>
    <col min="22" max="22" width="18.1796875" bestFit="1" customWidth="1"/>
    <col min="23" max="23" width="13.26953125" bestFit="1" customWidth="1"/>
    <col min="24" max="24" width="14.26953125" bestFit="1" customWidth="1"/>
    <col min="25" max="25" width="15" bestFit="1" customWidth="1"/>
    <col min="26" max="29" width="12.54296875" customWidth="1"/>
    <col min="30" max="30" width="13.81640625" bestFit="1" customWidth="1"/>
    <col min="31" max="31" width="12.54296875" customWidth="1"/>
    <col min="32" max="32" width="18.1796875" bestFit="1" customWidth="1"/>
    <col min="33" max="33" width="15.7265625" customWidth="1"/>
    <col min="34" max="34" width="18.1796875" bestFit="1" customWidth="1"/>
    <col min="35" max="35" width="19.7265625" customWidth="1"/>
    <col min="36" max="36" width="18.81640625" customWidth="1"/>
    <col min="38" max="38" width="19" customWidth="1"/>
    <col min="39" max="39" width="20.1796875" customWidth="1"/>
    <col min="40" max="40" width="41" customWidth="1"/>
    <col min="41" max="41" width="10.7265625" customWidth="1"/>
  </cols>
  <sheetData>
    <row r="3" spans="1:4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308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277">
        <f>AF113</f>
        <v>3884976.6991666672</v>
      </c>
      <c r="AM3" s="164">
        <f>AH113-AI113</f>
        <v>-52683.764649681856</v>
      </c>
    </row>
    <row r="4" spans="1:41" x14ac:dyDescent="0.35">
      <c r="A4" s="20">
        <v>45347</v>
      </c>
      <c r="B4" s="21" t="s">
        <v>911</v>
      </c>
      <c r="C4" s="21" t="s">
        <v>906</v>
      </c>
      <c r="D4" s="44">
        <v>1914564</v>
      </c>
      <c r="E4" s="44" t="s">
        <v>652</v>
      </c>
      <c r="F4" s="21">
        <v>100</v>
      </c>
      <c r="G4" s="21"/>
      <c r="H4" s="261">
        <v>50540</v>
      </c>
      <c r="I4" s="33">
        <v>0.54</v>
      </c>
      <c r="J4" s="24">
        <f>IFERROR(K4/H4,"")</f>
        <v>0.53705796204880885</v>
      </c>
      <c r="K4" s="22">
        <v>27142.909401946799</v>
      </c>
      <c r="L4" s="21">
        <v>16</v>
      </c>
      <c r="M4" s="21">
        <v>57</v>
      </c>
      <c r="N4" s="21">
        <v>26</v>
      </c>
      <c r="O4" s="21">
        <v>1</v>
      </c>
      <c r="P4" s="21"/>
      <c r="Q4" s="21"/>
      <c r="R4" s="21"/>
      <c r="S4" s="21"/>
      <c r="T4" s="21"/>
      <c r="U4" s="25">
        <v>225</v>
      </c>
      <c r="V4" s="25">
        <f>H4*U4*I4/15</f>
        <v>409374</v>
      </c>
      <c r="W4" s="25">
        <v>243.05</v>
      </c>
      <c r="X4" s="25">
        <f>(H4*J4/15)*W4+2.16</f>
        <v>439807.7686762113</v>
      </c>
      <c r="Y4" s="25">
        <f>IF(B4="FRANCISCO CAMACHO",((F4*42)+(G4*42)),IF(B4="DANILO VIANA",((F4*60)+(G4*60)),IF(B4="ANTONIO MARCUS ALBINO",((F4*60)+(G4*60)),0)))</f>
        <v>6000</v>
      </c>
      <c r="Z4" s="307">
        <f>9001.4 + 9040.2</f>
        <v>18041.599999999999</v>
      </c>
      <c r="AA4" s="25">
        <v>0</v>
      </c>
      <c r="AB4" s="307">
        <f>2812.5</f>
        <v>2812.5</v>
      </c>
      <c r="AC4" s="25">
        <f>F4*38</f>
        <v>3800</v>
      </c>
      <c r="AD4" s="25">
        <f>IF(F4="",G4*4.11,F4*4.11)</f>
        <v>411.00000000000006</v>
      </c>
      <c r="AE4" s="25">
        <f>X4*0.2%</f>
        <v>879.61553735242262</v>
      </c>
      <c r="AF4" s="25">
        <f>V4+Y4+Z4+AA4+AB4+AC4+AD4</f>
        <v>440439.1</v>
      </c>
      <c r="AG4" s="25">
        <f>IFERROR(IFERROR((H4*W4*J4/15)-AE4,""),"")</f>
        <v>438925.99313885887</v>
      </c>
      <c r="AH4" s="26">
        <f>IFERROR(AG4-AF4,0)</f>
        <v>-1513.1068611411029</v>
      </c>
      <c r="AI4" s="25">
        <f>(F4+G4)/$AL$7*$AL$24</f>
        <v>1278.1484098939929</v>
      </c>
      <c r="AJ4" s="25">
        <f>(AH4-AI4)*70%</f>
        <v>-1953.8786897245668</v>
      </c>
      <c r="AL4" s="166" t="s">
        <v>749</v>
      </c>
      <c r="AM4" s="167">
        <f>AM3/AL3</f>
        <v>-1.3560895915021213E-2</v>
      </c>
    </row>
    <row r="5" spans="1:41" hidden="1" x14ac:dyDescent="0.35">
      <c r="A5" s="21"/>
      <c r="B5" s="21"/>
      <c r="C5" s="21"/>
      <c r="D5" s="21"/>
      <c r="E5" s="21"/>
      <c r="F5" s="21"/>
      <c r="G5" s="21"/>
      <c r="H5" s="26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5"/>
      <c r="AF5" s="21"/>
      <c r="AG5" s="21"/>
      <c r="AH5" s="26">
        <f>IFERROR(AH4/F4,0)+IFERROR(AH4/G4,0)</f>
        <v>-15.131068611411029</v>
      </c>
      <c r="AI5" s="21"/>
      <c r="AJ5" s="21"/>
      <c r="AM5" s="63"/>
    </row>
    <row r="6" spans="1:41" hidden="1" x14ac:dyDescent="0.35">
      <c r="A6" s="21"/>
      <c r="B6" s="21"/>
      <c r="C6" s="21"/>
      <c r="D6" s="21"/>
      <c r="E6" s="21"/>
      <c r="F6" s="21"/>
      <c r="G6" s="21"/>
      <c r="H6" s="26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-3.4472938144322102E-3</v>
      </c>
      <c r="AI6" s="21"/>
      <c r="AJ6" s="21"/>
      <c r="AM6" s="63"/>
    </row>
    <row r="7" spans="1:41" hidden="1" x14ac:dyDescent="0.35">
      <c r="A7" s="21"/>
      <c r="B7" s="21"/>
      <c r="C7" s="21"/>
      <c r="D7" s="21"/>
      <c r="E7" s="21"/>
      <c r="F7" s="21"/>
      <c r="G7" s="21"/>
      <c r="H7" s="26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21"/>
      <c r="AJ7" s="21"/>
      <c r="AL7" s="290">
        <f>F113+G113</f>
        <v>849</v>
      </c>
      <c r="AM7" s="118" t="s">
        <v>22</v>
      </c>
    </row>
    <row r="8" spans="1:41" hidden="1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308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L8" s="11">
        <f>AH113</f>
        <v>-41832.284649681853</v>
      </c>
      <c r="AM8" s="11">
        <f>AL8*30%</f>
        <v>-12549.685394904556</v>
      </c>
      <c r="AN8" s="2"/>
    </row>
    <row r="9" spans="1:41" x14ac:dyDescent="0.35">
      <c r="A9" s="20">
        <v>45348</v>
      </c>
      <c r="B9" s="21" t="s">
        <v>911</v>
      </c>
      <c r="C9" s="21" t="s">
        <v>967</v>
      </c>
      <c r="D9" s="44">
        <v>1913561</v>
      </c>
      <c r="E9" s="44" t="s">
        <v>652</v>
      </c>
      <c r="F9" s="21">
        <v>200</v>
      </c>
      <c r="G9" s="21"/>
      <c r="H9" s="261">
        <v>105906</v>
      </c>
      <c r="I9" s="33">
        <v>0.55000000000000004</v>
      </c>
      <c r="J9" s="24">
        <f>IFERROR(K9/H9,"")</f>
        <v>0.53733027401658073</v>
      </c>
      <c r="K9" s="22">
        <v>56906.5</v>
      </c>
      <c r="L9" s="21">
        <f>18+1</f>
        <v>19</v>
      </c>
      <c r="M9" s="21">
        <f>122+1</f>
        <v>123</v>
      </c>
      <c r="N9" s="21">
        <v>46</v>
      </c>
      <c r="O9" s="21">
        <v>11</v>
      </c>
      <c r="P9" s="21">
        <v>1</v>
      </c>
      <c r="Q9" s="21"/>
      <c r="R9" s="21"/>
      <c r="S9" s="21"/>
      <c r="T9" s="21"/>
      <c r="U9" s="25">
        <v>225</v>
      </c>
      <c r="V9" s="25">
        <f>H9*U9*I9/15</f>
        <v>873724.50000000012</v>
      </c>
      <c r="W9" s="25">
        <f>(885456.98/56906.5)*15</f>
        <v>233.39784910335374</v>
      </c>
      <c r="X9" s="25">
        <f>(H9*J9/15)*W9</f>
        <v>885456.98</v>
      </c>
      <c r="Y9" s="25">
        <f>IF(B9="FRANCISCO CAMACHO",((F9*42)+(G9*42)),IF(B9="DANILO VIANA",((F9*60)+(G9*60)),IF(B9="ANTONIO MARCUS ALBINO",((F9*60)+(G9*60)),0)))</f>
        <v>12000</v>
      </c>
      <c r="Z9" s="307">
        <f>(15264.4 + 15018.8)</f>
        <v>30283.199999999997</v>
      </c>
      <c r="AA9" s="25">
        <v>0</v>
      </c>
      <c r="AB9" s="307">
        <v>5625</v>
      </c>
      <c r="AC9" s="25">
        <f>F9*38</f>
        <v>7600</v>
      </c>
      <c r="AD9" s="25">
        <f>IF(F9="",G9*4.11,F9*4.11)</f>
        <v>822.00000000000011</v>
      </c>
      <c r="AE9" s="25">
        <f>X9*0.2%</f>
        <v>1770.9139600000001</v>
      </c>
      <c r="AF9" s="25">
        <f>V9+Y9+Z9+AA9+AB9+AC9+AD9</f>
        <v>930054.70000000007</v>
      </c>
      <c r="AG9" s="25">
        <f>IFERROR(IFERROR((H9*W9*J9/15)-AE9,""),"")</f>
        <v>883686.06603999995</v>
      </c>
      <c r="AH9" s="26">
        <f>IFERROR(AG9-AF9,0)</f>
        <v>-46368.633960000123</v>
      </c>
      <c r="AI9" s="25">
        <f>(F9+G9)/$AL$7*$AL$24</f>
        <v>2556.2968197879859</v>
      </c>
      <c r="AJ9" s="25">
        <f>(AH9-AI9)*70%</f>
        <v>-34247.451545851676</v>
      </c>
      <c r="AL9" s="11"/>
      <c r="AM9" s="11"/>
    </row>
    <row r="10" spans="1:41" hidden="1" x14ac:dyDescent="0.35">
      <c r="A10" s="21"/>
      <c r="B10" s="21"/>
      <c r="C10" s="21"/>
      <c r="D10" s="21"/>
      <c r="E10" s="21"/>
      <c r="F10" s="21"/>
      <c r="G10" s="21"/>
      <c r="H10" s="26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5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-231.84316980000062</v>
      </c>
      <c r="AI10" s="21"/>
      <c r="AJ10" s="21"/>
    </row>
    <row r="11" spans="1:41" hidden="1" x14ac:dyDescent="0.35">
      <c r="A11" s="21"/>
      <c r="B11" s="21"/>
      <c r="C11" s="21"/>
      <c r="D11" s="21"/>
      <c r="E11" s="21"/>
      <c r="F11" s="21"/>
      <c r="G11" s="21"/>
      <c r="H11" s="26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-5.2471840104697604E-2</v>
      </c>
      <c r="AI11" s="21"/>
      <c r="AJ11" s="21"/>
      <c r="AL11" s="180" t="s">
        <v>187</v>
      </c>
      <c r="AM11" s="184" t="s">
        <v>680</v>
      </c>
      <c r="AN11" s="191"/>
      <c r="AO11" s="180" t="s">
        <v>1</v>
      </c>
    </row>
    <row r="12" spans="1:41" hidden="1" x14ac:dyDescent="0.35">
      <c r="A12" s="21"/>
      <c r="B12" s="21"/>
      <c r="C12" s="21"/>
      <c r="D12" s="21"/>
      <c r="E12" s="21"/>
      <c r="F12" s="21"/>
      <c r="G12" s="21"/>
      <c r="H12" s="26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  <c r="AI12" s="21"/>
      <c r="AJ12" s="21"/>
      <c r="AL12" s="187">
        <v>236</v>
      </c>
      <c r="AM12" s="218" t="s">
        <v>998</v>
      </c>
      <c r="AN12" s="344"/>
      <c r="AO12" s="343">
        <v>45348</v>
      </c>
    </row>
    <row r="13" spans="1:41" ht="14.5" hidden="1" customHeight="1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308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  <c r="AL13" s="384">
        <v>3754.24</v>
      </c>
      <c r="AM13" s="385" t="s">
        <v>1000</v>
      </c>
      <c r="AN13" s="386"/>
      <c r="AO13" s="387">
        <v>45348</v>
      </c>
    </row>
    <row r="14" spans="1:41" x14ac:dyDescent="0.35">
      <c r="A14" s="20">
        <v>45348</v>
      </c>
      <c r="B14" s="21" t="s">
        <v>632</v>
      </c>
      <c r="C14" s="21" t="s">
        <v>611</v>
      </c>
      <c r="D14" s="44">
        <v>1913576</v>
      </c>
      <c r="E14" s="44" t="s">
        <v>652</v>
      </c>
      <c r="F14" s="21">
        <v>100</v>
      </c>
      <c r="G14" s="21"/>
      <c r="H14" s="261">
        <v>54544</v>
      </c>
      <c r="I14" s="33">
        <v>0.54</v>
      </c>
      <c r="J14" s="24">
        <f>IFERROR(K14/H14,"")</f>
        <v>0.54479869463185682</v>
      </c>
      <c r="K14" s="22">
        <v>29715.5</v>
      </c>
      <c r="L14" s="21">
        <v>7</v>
      </c>
      <c r="M14" s="21">
        <v>57</v>
      </c>
      <c r="N14" s="21">
        <v>29</v>
      </c>
      <c r="O14" s="21">
        <v>7</v>
      </c>
      <c r="P14" s="21"/>
      <c r="Q14" s="21"/>
      <c r="R14" s="21"/>
      <c r="S14" s="21"/>
      <c r="T14" s="21"/>
      <c r="U14" s="25">
        <v>220</v>
      </c>
      <c r="V14" s="25">
        <f>H14*U14*I14/15</f>
        <v>431988.48000000004</v>
      </c>
      <c r="W14" s="25">
        <f>(1359634.26/85648)*15</f>
        <v>238.12014174294788</v>
      </c>
      <c r="X14" s="25">
        <f>(H14*J14/15)*W14</f>
        <v>471723.93813083787</v>
      </c>
      <c r="Y14" s="25">
        <f>IF(B14="FRANCISCO CAMACHO",((F14*42)+(G14*42)),IF(B14="DANILO VIANA",((F14*60)+(G14*60)),IF(B14="ANTONIO MARCUS ALBINO",((F14*60)+(G14*60)),0)))</f>
        <v>4200</v>
      </c>
      <c r="Z14" s="307">
        <v>40294.04</v>
      </c>
      <c r="AA14" s="25">
        <v>0</v>
      </c>
      <c r="AB14" s="307">
        <v>2750</v>
      </c>
      <c r="AC14" s="25">
        <v>0</v>
      </c>
      <c r="AD14" s="25">
        <f>IF(F14="",G14*4.11,F14*4.11)</f>
        <v>411.00000000000006</v>
      </c>
      <c r="AE14" s="25">
        <f>X14*0.2%+0.01</f>
        <v>943.45787626167578</v>
      </c>
      <c r="AF14" s="25">
        <f>V14+Y14+Z14+AA14+AB14+AC14+AD14</f>
        <v>479643.52</v>
      </c>
      <c r="AG14" s="25">
        <f>IFERROR(IFERROR((H14*W14*J14/15)-AE14,""),"")</f>
        <v>470780.48025457613</v>
      </c>
      <c r="AH14" s="26">
        <f>IFERROR(AG14-AF14,0)</f>
        <v>-8863.0397454238846</v>
      </c>
      <c r="AI14" s="25">
        <f>(F14+G14)/$AL$7*$AL$24</f>
        <v>1278.1484098939929</v>
      </c>
      <c r="AJ14" s="25">
        <f>(AH14-AI14)*70%</f>
        <v>-7098.8317087225141</v>
      </c>
      <c r="AL14" s="384"/>
      <c r="AM14" s="385"/>
      <c r="AN14" s="386"/>
      <c r="AO14" s="388"/>
    </row>
    <row r="15" spans="1:41" hidden="1" x14ac:dyDescent="0.35">
      <c r="A15" s="21"/>
      <c r="B15" s="21"/>
      <c r="C15" s="21"/>
      <c r="D15" s="21"/>
      <c r="E15" s="21"/>
      <c r="F15" s="21"/>
      <c r="G15" s="21"/>
      <c r="H15" s="26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-88.630397454238846</v>
      </c>
      <c r="AI15" s="21"/>
      <c r="AJ15" s="21"/>
      <c r="AL15" s="384">
        <v>527.19000000000005</v>
      </c>
      <c r="AM15" s="385" t="s">
        <v>1001</v>
      </c>
      <c r="AN15" s="386"/>
      <c r="AO15" s="387">
        <v>45348</v>
      </c>
    </row>
    <row r="16" spans="1:41" hidden="1" x14ac:dyDescent="0.35">
      <c r="A16" s="21"/>
      <c r="B16" s="21"/>
      <c r="C16" s="21"/>
      <c r="D16" s="21"/>
      <c r="E16" s="21"/>
      <c r="F16" s="21"/>
      <c r="G16" s="21"/>
      <c r="H16" s="26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-1.8826268541616606E-2</v>
      </c>
      <c r="AI16" s="21"/>
      <c r="AJ16" s="21"/>
      <c r="AL16" s="384"/>
      <c r="AM16" s="385"/>
      <c r="AN16" s="386"/>
      <c r="AO16" s="388"/>
    </row>
    <row r="17" spans="1:41" hidden="1" x14ac:dyDescent="0.35">
      <c r="A17" s="21"/>
      <c r="B17" s="21"/>
      <c r="C17" s="21"/>
      <c r="D17" s="21"/>
      <c r="E17" s="21"/>
      <c r="F17" s="21"/>
      <c r="G17" s="21"/>
      <c r="H17" s="26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  <c r="AI17" s="21"/>
      <c r="AJ17" s="21"/>
      <c r="AL17" s="178">
        <v>510</v>
      </c>
      <c r="AM17" s="185" t="s">
        <v>1002</v>
      </c>
      <c r="AN17" s="174"/>
      <c r="AO17" s="302">
        <v>45350</v>
      </c>
    </row>
    <row r="18" spans="1:41" ht="15" hidden="1" customHeight="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308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178">
        <v>1160.25</v>
      </c>
      <c r="AM18" s="185" t="s">
        <v>1003</v>
      </c>
      <c r="AN18" s="174"/>
      <c r="AO18" s="302">
        <v>45350</v>
      </c>
    </row>
    <row r="19" spans="1:41" x14ac:dyDescent="0.35">
      <c r="A19" s="20">
        <v>45349</v>
      </c>
      <c r="B19" s="21" t="s">
        <v>911</v>
      </c>
      <c r="C19" s="21" t="s">
        <v>968</v>
      </c>
      <c r="D19" s="44">
        <v>1913576</v>
      </c>
      <c r="E19" s="44" t="s">
        <v>652</v>
      </c>
      <c r="F19" s="21">
        <v>50</v>
      </c>
      <c r="G19" s="21"/>
      <c r="H19" s="261">
        <v>25600</v>
      </c>
      <c r="I19" s="33">
        <v>0.53</v>
      </c>
      <c r="J19" s="24">
        <f>IFERROR(K19/H19,"")</f>
        <v>0.52542968749999996</v>
      </c>
      <c r="K19" s="22">
        <v>13451</v>
      </c>
      <c r="L19" s="21">
        <v>9</v>
      </c>
      <c r="M19" s="21">
        <v>28</v>
      </c>
      <c r="N19" s="21">
        <v>10</v>
      </c>
      <c r="O19" s="21">
        <v>3</v>
      </c>
      <c r="P19" s="21"/>
      <c r="Q19" s="21"/>
      <c r="R19" s="21"/>
      <c r="S19" s="21"/>
      <c r="T19" s="21"/>
      <c r="U19" s="25">
        <v>220</v>
      </c>
      <c r="V19" s="25">
        <f>H19*U19*I19/15</f>
        <v>198997.33333333334</v>
      </c>
      <c r="W19" s="25">
        <f>(1359634.26/85648)*15</f>
        <v>238.12014174294788</v>
      </c>
      <c r="X19" s="25">
        <f>(H19*J19/15)*W19</f>
        <v>213530.26843895947</v>
      </c>
      <c r="Y19" s="25">
        <f>IF(B19="FRANCISCO CAMACHO",((F19*42)+(G19*42)),IF(B19="DANILO VIANA",((F19*60)+(G19*60)),IF(B19="ANTONIO MARCUS ALBINO",((F19*60)+(G19*60)),0)))</f>
        <v>3000</v>
      </c>
      <c r="Z19" s="307">
        <v>14557</v>
      </c>
      <c r="AA19" s="25">
        <v>0</v>
      </c>
      <c r="AB19" s="307">
        <v>1375</v>
      </c>
      <c r="AC19" s="25">
        <f>F19*38</f>
        <v>1900</v>
      </c>
      <c r="AD19" s="25">
        <f>IF(F19="",G19*4.11,F19*4.11)</f>
        <v>205.50000000000003</v>
      </c>
      <c r="AE19" s="25">
        <f>X19*0.2%</f>
        <v>427.06053687791893</v>
      </c>
      <c r="AF19" s="25">
        <f>V19+Y19+Z19+AA19+AB19+AC19+AD19</f>
        <v>220034.83333333334</v>
      </c>
      <c r="AG19" s="25">
        <f>IFERROR(IFERROR((H19*W19*J19/15)-AE19,""),"")</f>
        <v>213103.20790208154</v>
      </c>
      <c r="AH19" s="26">
        <f>IFERROR(AG19-AF19,0)</f>
        <v>-6931.6254312517995</v>
      </c>
      <c r="AI19" s="25">
        <f>(F19+G19)/$AL$7*$AL$24</f>
        <v>639.07420494699647</v>
      </c>
      <c r="AJ19" s="25">
        <f>(AH19-AI19)*70%</f>
        <v>-5299.4897453391568</v>
      </c>
      <c r="AL19" s="178">
        <v>400</v>
      </c>
      <c r="AM19" s="185" t="s">
        <v>1004</v>
      </c>
      <c r="AN19" s="174"/>
      <c r="AO19" s="302">
        <v>45351</v>
      </c>
    </row>
    <row r="20" spans="1:41" hidden="1" x14ac:dyDescent="0.35">
      <c r="A20" s="21"/>
      <c r="B20" s="21"/>
      <c r="C20" s="21"/>
      <c r="D20" s="21"/>
      <c r="E20" s="21"/>
      <c r="F20" s="21"/>
      <c r="G20" s="21"/>
      <c r="H20" s="26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-138.632508625036</v>
      </c>
      <c r="AI20" s="21"/>
      <c r="AJ20" s="21"/>
      <c r="AL20" s="178">
        <v>800</v>
      </c>
      <c r="AM20" s="185" t="s">
        <v>1005</v>
      </c>
      <c r="AN20" s="174"/>
      <c r="AO20" s="302">
        <v>45351</v>
      </c>
    </row>
    <row r="21" spans="1:41" hidden="1" x14ac:dyDescent="0.35">
      <c r="A21" s="21"/>
      <c r="B21" s="21"/>
      <c r="C21" s="21"/>
      <c r="D21" s="21"/>
      <c r="E21" s="21"/>
      <c r="F21" s="21"/>
      <c r="G21" s="21"/>
      <c r="H21" s="26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-3.2527081593425856E-2</v>
      </c>
      <c r="AI21" s="21"/>
      <c r="AJ21" s="21"/>
      <c r="AL21" s="280">
        <v>3463.8</v>
      </c>
      <c r="AM21" s="345" t="s">
        <v>1006</v>
      </c>
      <c r="AN21" s="174"/>
      <c r="AO21" s="302">
        <v>45352</v>
      </c>
    </row>
    <row r="22" spans="1:41" hidden="1" x14ac:dyDescent="0.35">
      <c r="A22" s="21"/>
      <c r="B22" s="21"/>
      <c r="C22" s="21"/>
      <c r="D22" s="21"/>
      <c r="E22" s="21"/>
      <c r="F22" s="21"/>
      <c r="G22" s="21"/>
      <c r="H22" s="26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I22" s="47"/>
      <c r="AJ22" s="47"/>
      <c r="AL22" s="178"/>
      <c r="AM22" s="185"/>
      <c r="AN22" s="174"/>
      <c r="AO22" s="302"/>
    </row>
    <row r="23" spans="1:41" hidden="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308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204"/>
      <c r="AM23" s="296"/>
      <c r="AN23" s="176"/>
      <c r="AO23" s="297"/>
    </row>
    <row r="24" spans="1:41" x14ac:dyDescent="0.35">
      <c r="A24" s="20">
        <v>45349</v>
      </c>
      <c r="B24" s="21" t="s">
        <v>911</v>
      </c>
      <c r="C24" s="21" t="s">
        <v>465</v>
      </c>
      <c r="D24" s="44">
        <v>1913576</v>
      </c>
      <c r="E24" s="44" t="s">
        <v>652</v>
      </c>
      <c r="F24" s="21">
        <v>50</v>
      </c>
      <c r="G24" s="21"/>
      <c r="H24" s="261">
        <v>28360</v>
      </c>
      <c r="I24" s="33">
        <v>0.53</v>
      </c>
      <c r="J24" s="24">
        <f>IFERROR(K24/H24,"")</f>
        <v>0.536459802538787</v>
      </c>
      <c r="K24" s="22">
        <v>15214</v>
      </c>
      <c r="L24" s="21"/>
      <c r="M24" s="21">
        <v>5</v>
      </c>
      <c r="N24" s="21">
        <v>23</v>
      </c>
      <c r="O24" s="21">
        <v>21</v>
      </c>
      <c r="P24" s="21">
        <v>1</v>
      </c>
      <c r="Q24" s="21"/>
      <c r="R24" s="21"/>
      <c r="S24" s="21"/>
      <c r="T24" s="21"/>
      <c r="U24" s="25">
        <v>203</v>
      </c>
      <c r="V24" s="25">
        <f>H24*U24*I24/15</f>
        <v>203416.82666666669</v>
      </c>
      <c r="W24" s="25">
        <f>(1359634.26/85648)*15</f>
        <v>238.12014174294788</v>
      </c>
      <c r="X24" s="25">
        <f>(H24*J24/15)*W24</f>
        <v>241517.32243181393</v>
      </c>
      <c r="Y24" s="25">
        <f>IF(B24="FRANCISCO CAMACHO",((F24*42)+(G24*42)),IF(B24="DANILO VIANA",((F24*60)+(G24*60)),IF(B24="ANTONIO MARCUS ALBINO",((F24*60)+(G24*60)),0)))</f>
        <v>3000</v>
      </c>
      <c r="Z24" s="307">
        <v>16014.8</v>
      </c>
      <c r="AA24" s="25">
        <v>0</v>
      </c>
      <c r="AB24" s="307">
        <v>1268.75</v>
      </c>
      <c r="AC24" s="25">
        <f>F24*38</f>
        <v>1900</v>
      </c>
      <c r="AD24" s="25">
        <f>IF(F24="",G24*4.11,F24*4.11)</f>
        <v>205.50000000000003</v>
      </c>
      <c r="AE24" s="25">
        <f>X24*0.2%</f>
        <v>483.03464486362788</v>
      </c>
      <c r="AF24" s="25">
        <f>V24+Y24+Z24+AA24+AB24+AC24+AD24</f>
        <v>225805.87666666668</v>
      </c>
      <c r="AG24" s="25">
        <f>IFERROR(IFERROR((H24*W24*J24/15)-AE24,""),"")</f>
        <v>241034.2877869503</v>
      </c>
      <c r="AH24" s="26">
        <f>IFERROR(AG24-AF24,0)</f>
        <v>15228.411120283621</v>
      </c>
      <c r="AI24" s="25">
        <f>(F24+G24)/$AL$7*$AL$24</f>
        <v>639.07420494699647</v>
      </c>
      <c r="AJ24" s="25">
        <f>(AH24-AI24)*70%</f>
        <v>10212.535840735636</v>
      </c>
      <c r="AL24" s="214">
        <f>SUM(AL12:AL23)</f>
        <v>10851.48</v>
      </c>
      <c r="AM24" s="189" t="s">
        <v>673</v>
      </c>
      <c r="AN24" s="191"/>
      <c r="AO24" s="238"/>
    </row>
    <row r="25" spans="1:41" hidden="1" x14ac:dyDescent="0.35">
      <c r="A25" s="21"/>
      <c r="B25" s="21"/>
      <c r="C25" s="21"/>
      <c r="D25" s="21"/>
      <c r="E25" s="21"/>
      <c r="F25" s="21"/>
      <c r="G25" s="21"/>
      <c r="H25" s="26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304.56822240567243</v>
      </c>
      <c r="AI25" s="21"/>
      <c r="AJ25" s="21"/>
      <c r="AL25" s="57"/>
      <c r="AM25" s="6"/>
    </row>
    <row r="26" spans="1:41" hidden="1" x14ac:dyDescent="0.35">
      <c r="A26" s="21"/>
      <c r="B26" s="21"/>
      <c r="C26" s="21"/>
      <c r="D26" s="21"/>
      <c r="E26" s="21"/>
      <c r="F26" s="21"/>
      <c r="G26" s="21"/>
      <c r="H26" s="26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6.3179439158232875E-2</v>
      </c>
      <c r="AI26" s="21"/>
      <c r="AJ26" s="21"/>
    </row>
    <row r="27" spans="1:41" hidden="1" x14ac:dyDescent="0.35">
      <c r="A27" s="21"/>
      <c r="B27" s="21"/>
      <c r="C27" s="21"/>
      <c r="D27" s="21"/>
      <c r="E27" s="21"/>
      <c r="F27" s="21"/>
      <c r="G27" s="21"/>
      <c r="H27" s="26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I27" s="21"/>
      <c r="AJ27" s="21"/>
      <c r="AL27" s="57"/>
      <c r="AM27" s="118" t="s">
        <v>22</v>
      </c>
      <c r="AN27" s="12"/>
    </row>
    <row r="28" spans="1:41" hidden="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308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49">
        <f>AL8-AL24</f>
        <v>-52683.764649681849</v>
      </c>
      <c r="AM28" s="265">
        <f>AL28*30%</f>
        <v>-15805.129394904554</v>
      </c>
      <c r="AN28" s="12"/>
    </row>
    <row r="29" spans="1:41" x14ac:dyDescent="0.35">
      <c r="A29" s="20">
        <v>45349</v>
      </c>
      <c r="B29" s="21" t="s">
        <v>911</v>
      </c>
      <c r="C29" s="21" t="s">
        <v>969</v>
      </c>
      <c r="D29" s="44">
        <v>1913576</v>
      </c>
      <c r="E29" s="44" t="s">
        <v>652</v>
      </c>
      <c r="F29" s="21">
        <v>95</v>
      </c>
      <c r="G29" s="21"/>
      <c r="H29" s="261">
        <v>48950</v>
      </c>
      <c r="I29" s="33">
        <v>0.53</v>
      </c>
      <c r="J29" s="24">
        <f>IFERROR(K29/H29,"")</f>
        <v>0.55704800817160371</v>
      </c>
      <c r="K29" s="22">
        <v>27267.5</v>
      </c>
      <c r="L29" s="21">
        <v>10</v>
      </c>
      <c r="M29" s="21">
        <f>26+1</f>
        <v>27</v>
      </c>
      <c r="N29" s="21">
        <v>31</v>
      </c>
      <c r="O29" s="21">
        <v>19</v>
      </c>
      <c r="P29" s="21">
        <v>8</v>
      </c>
      <c r="Q29" s="21"/>
      <c r="R29" s="21"/>
      <c r="S29" s="21"/>
      <c r="T29" s="21"/>
      <c r="U29" s="25">
        <v>220</v>
      </c>
      <c r="V29" s="25">
        <f>H29*U29*I29/15</f>
        <v>380504.66666666669</v>
      </c>
      <c r="W29" s="25">
        <f>(1359634.26/85648)*15</f>
        <v>238.12014174294788</v>
      </c>
      <c r="X29" s="25">
        <f>(H29*J29/15)*W29</f>
        <v>432862.73099838878</v>
      </c>
      <c r="Y29" s="25">
        <f>IF(B29="FRANCISCO CAMACHO",((F29*42)+(G29*42)),IF(B29="DANILO VIANA",((F29*60)+(G29*60)),IF(B29="ANTONIO MARCUS ALBINO",((F29*60)+(G29*60)),0)))</f>
        <v>5700</v>
      </c>
      <c r="Z29" s="307">
        <v>20051.599999999999</v>
      </c>
      <c r="AA29" s="25">
        <v>0</v>
      </c>
      <c r="AB29" s="307">
        <v>2612.5</v>
      </c>
      <c r="AC29" s="25">
        <f>F29*38</f>
        <v>3610</v>
      </c>
      <c r="AD29" s="25">
        <f>IF(F29="",G29*4.11,F29*4.11)</f>
        <v>390.45000000000005</v>
      </c>
      <c r="AE29" s="25">
        <f>X29*0.2%</f>
        <v>865.72546199677754</v>
      </c>
      <c r="AF29" s="25">
        <f>V29+Y29+Z29+AA29+AB29+AC29+AD29</f>
        <v>412869.21666666667</v>
      </c>
      <c r="AG29" s="25">
        <f>IFERROR(IFERROR((H29*W29*J29/15)-AE29,""),"")</f>
        <v>431997.00553639198</v>
      </c>
      <c r="AH29" s="26">
        <f>IFERROR(AG29-AF29,0)</f>
        <v>19127.788869725307</v>
      </c>
      <c r="AI29" s="25">
        <f>(F29+G29)/$AL$7*$AL$24</f>
        <v>1214.2409893992933</v>
      </c>
      <c r="AJ29" s="25">
        <f>(AH29-AI29)*70%</f>
        <v>12539.483516228211</v>
      </c>
      <c r="AL29" s="57"/>
      <c r="AM29" s="249"/>
      <c r="AN29" s="246"/>
    </row>
    <row r="30" spans="1:41" hidden="1" x14ac:dyDescent="0.35">
      <c r="A30" s="21"/>
      <c r="B30" s="21"/>
      <c r="C30" s="21"/>
      <c r="D30" s="21"/>
      <c r="E30" s="21"/>
      <c r="F30" s="21"/>
      <c r="G30" s="21"/>
      <c r="H30" s="26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201.34514599710849</v>
      </c>
      <c r="AI30" s="21"/>
      <c r="AJ30" s="21"/>
      <c r="AL30" s="57"/>
      <c r="AM30" s="248">
        <f>'24.02.24'!AM35</f>
        <v>-8786.6227187507757</v>
      </c>
      <c r="AN30" s="1" t="s">
        <v>1028</v>
      </c>
    </row>
    <row r="31" spans="1:41" hidden="1" x14ac:dyDescent="0.35">
      <c r="A31" s="21"/>
      <c r="B31" s="21"/>
      <c r="C31" s="21"/>
      <c r="D31" s="21"/>
      <c r="E31" s="21"/>
      <c r="F31" s="21"/>
      <c r="G31" s="21"/>
      <c r="H31" s="26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4.4277595966146013E-2</v>
      </c>
      <c r="AI31" s="21"/>
      <c r="AJ31" s="21"/>
    </row>
    <row r="32" spans="1:41" hidden="1" x14ac:dyDescent="0.35">
      <c r="A32" s="21"/>
      <c r="B32" s="21"/>
      <c r="C32" s="21"/>
      <c r="D32" s="21"/>
      <c r="E32" s="21"/>
      <c r="F32" s="21"/>
      <c r="G32" s="21"/>
      <c r="H32" s="26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21"/>
      <c r="AJ32" s="21"/>
      <c r="AM32" s="313">
        <f>AM28+AM30</f>
        <v>-24591.75211365533</v>
      </c>
      <c r="AN32" s="314" t="s">
        <v>1023</v>
      </c>
    </row>
    <row r="33" spans="1:40" hidden="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308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</row>
    <row r="34" spans="1:40" x14ac:dyDescent="0.35">
      <c r="A34" s="38">
        <v>45349</v>
      </c>
      <c r="B34" s="39" t="s">
        <v>632</v>
      </c>
      <c r="C34" s="39" t="s">
        <v>838</v>
      </c>
      <c r="D34" s="45">
        <v>1926452</v>
      </c>
      <c r="E34" s="45" t="s">
        <v>652</v>
      </c>
      <c r="F34" s="39">
        <v>100</v>
      </c>
      <c r="G34" s="39"/>
      <c r="H34" s="311">
        <v>53442</v>
      </c>
      <c r="I34" s="53">
        <v>0.54</v>
      </c>
      <c r="J34" s="42">
        <f>IFERROR(K34/H34,"")</f>
        <v>0.52818008308072306</v>
      </c>
      <c r="K34" s="40">
        <v>28227</v>
      </c>
      <c r="L34" s="39">
        <v>20</v>
      </c>
      <c r="M34" s="39">
        <v>57</v>
      </c>
      <c r="N34" s="39">
        <v>21</v>
      </c>
      <c r="O34" s="39">
        <v>2</v>
      </c>
      <c r="P34" s="39"/>
      <c r="Q34" s="39"/>
      <c r="R34" s="39"/>
      <c r="S34" s="39"/>
      <c r="T34" s="39"/>
      <c r="U34" s="43">
        <v>215</v>
      </c>
      <c r="V34" s="43">
        <f>H34*U34*I34/15</f>
        <v>413641.08</v>
      </c>
      <c r="W34" s="43">
        <f>(924392.95/57959.5)*15</f>
        <v>239.23419370422448</v>
      </c>
      <c r="X34" s="43">
        <f>(H34*J34/15)*W34</f>
        <v>450190.90571260964</v>
      </c>
      <c r="Y34" s="43">
        <f>IF(B34="FRANCISCO CAMACHO",((F34*42)+(G34*42)),IF(B34="DANILO VIANA",((F34*60)+(G34*60)),IF(B34="ANTONIO MARCUS ALBINO",((F34*60)+(G34*60)),0)))</f>
        <v>4200</v>
      </c>
      <c r="Z34" s="307">
        <v>44804.04</v>
      </c>
      <c r="AA34" s="43">
        <v>0</v>
      </c>
      <c r="AB34" s="307">
        <v>2687.5</v>
      </c>
      <c r="AC34" s="43">
        <v>0</v>
      </c>
      <c r="AD34" s="43">
        <f>IF(F34="",G34*4.11,F34*4.11)</f>
        <v>411.00000000000006</v>
      </c>
      <c r="AE34" s="43">
        <f>X34*0.2%-0.01</f>
        <v>900.37181142521933</v>
      </c>
      <c r="AF34" s="43">
        <f>V34+Y34+Z34+AA34+AB34+AC34+AD34</f>
        <v>465743.62</v>
      </c>
      <c r="AG34" s="43">
        <f>IFERROR(IFERROR((H34*W34*J34/15)-AE34,""),"")</f>
        <v>449290.53390118439</v>
      </c>
      <c r="AH34" s="273">
        <f>IFERROR(AG34-AF34,0)</f>
        <v>-16453.086098815606</v>
      </c>
      <c r="AI34" s="25">
        <f>(F34+G34)/$AL$7*$AL$24</f>
        <v>1278.1484098939929</v>
      </c>
      <c r="AJ34" s="25">
        <f>(AH34-AI34)*70%</f>
        <v>-12411.864156096719</v>
      </c>
      <c r="AL34" s="178"/>
      <c r="AM34" s="6"/>
      <c r="AN34" s="174"/>
    </row>
    <row r="35" spans="1:40" hidden="1" x14ac:dyDescent="0.35">
      <c r="A35" s="21"/>
      <c r="B35" s="21"/>
      <c r="C35" s="21"/>
      <c r="D35" s="21"/>
      <c r="E35" s="21"/>
      <c r="F35" s="21"/>
      <c r="G35" s="21"/>
      <c r="H35" s="26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-164.53086098815606</v>
      </c>
      <c r="AI35" s="21"/>
      <c r="AJ35" s="21"/>
    </row>
    <row r="36" spans="1:40" hidden="1" x14ac:dyDescent="0.35">
      <c r="A36" s="21"/>
      <c r="B36" s="21"/>
      <c r="C36" s="21"/>
      <c r="D36" s="21"/>
      <c r="E36" s="21"/>
      <c r="F36" s="21"/>
      <c r="G36" s="21"/>
      <c r="H36" s="26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-3.6620148561674899E-2</v>
      </c>
      <c r="AI36" s="21"/>
      <c r="AJ36" s="21"/>
    </row>
    <row r="37" spans="1:40" hidden="1" x14ac:dyDescent="0.35">
      <c r="A37" s="21"/>
      <c r="B37" s="21"/>
      <c r="C37" s="21"/>
      <c r="D37" s="21"/>
      <c r="E37" s="21"/>
      <c r="F37" s="21"/>
      <c r="G37" s="21"/>
      <c r="H37" s="26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21"/>
      <c r="AJ37" s="21"/>
    </row>
    <row r="38" spans="1:40" hidden="1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308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>
        <v>45351</v>
      </c>
      <c r="B39" s="21" t="s">
        <v>970</v>
      </c>
      <c r="C39" s="21" t="s">
        <v>752</v>
      </c>
      <c r="D39" s="44">
        <v>1926452</v>
      </c>
      <c r="E39" s="44" t="s">
        <v>652</v>
      </c>
      <c r="F39" s="21">
        <v>91</v>
      </c>
      <c r="G39" s="21"/>
      <c r="H39" s="261">
        <v>47556.25</v>
      </c>
      <c r="I39" s="33">
        <v>0.55000000000000004</v>
      </c>
      <c r="J39" s="24">
        <f>IFERROR(K39/H39,"")</f>
        <v>0.54705611775528984</v>
      </c>
      <c r="K39" s="22">
        <f>29732.5/104*F39</f>
        <v>26015.9375</v>
      </c>
      <c r="L39" s="21">
        <v>3</v>
      </c>
      <c r="M39" s="21">
        <v>19</v>
      </c>
      <c r="N39" s="21">
        <v>44</v>
      </c>
      <c r="O39" s="21">
        <v>24</v>
      </c>
      <c r="P39" s="21">
        <f>1</f>
        <v>1</v>
      </c>
      <c r="Q39" s="21"/>
      <c r="R39" s="21"/>
      <c r="S39" s="21"/>
      <c r="T39" s="21"/>
      <c r="U39" s="25">
        <v>235</v>
      </c>
      <c r="V39" s="25">
        <f>H39*U39*I39/15</f>
        <v>409776.35416666674</v>
      </c>
      <c r="W39" s="25">
        <f>(924392.95/57959.5)*15</f>
        <v>239.23419370422448</v>
      </c>
      <c r="X39" s="25">
        <f>(H39*J39/15)*W39</f>
        <v>414926.78875146655</v>
      </c>
      <c r="Y39" s="25">
        <f>IF(B39="FRANCISCO CAMACHO",((F39*42)+(G39*42)),IF(B39="DANILO VIANA",((F39*60)+(G39*60)),IF(B39="ANTONIO MARCUS ALBINO",((F39*60)+(G39*60)),0)))</f>
        <v>0</v>
      </c>
      <c r="Z39" s="307">
        <f>3008/104*F39</f>
        <v>2632</v>
      </c>
      <c r="AA39" s="25">
        <v>0</v>
      </c>
      <c r="AB39" s="307">
        <f>3046.88/104*F39</f>
        <v>2666.02</v>
      </c>
      <c r="AC39" s="25">
        <v>0</v>
      </c>
      <c r="AD39" s="25">
        <f>IF(F39="",G39*4.11,F39*4.11)</f>
        <v>374.01000000000005</v>
      </c>
      <c r="AE39" s="25">
        <f>X39*0.2%</f>
        <v>829.85357750293315</v>
      </c>
      <c r="AF39" s="25">
        <f>V39+Y39+Z39+AA39+AB39+AC39+AD39</f>
        <v>415448.38416666677</v>
      </c>
      <c r="AG39" s="25">
        <f>IFERROR(IFERROR((H39*W39*J39/15)-AE39,""),"")</f>
        <v>414096.9351739636</v>
      </c>
      <c r="AH39" s="26">
        <f>IFERROR(AG39-AF39,0)</f>
        <v>-1351.4489927031682</v>
      </c>
      <c r="AI39" s="25">
        <f>(F39+G39)/$AL$7*$AL$24</f>
        <v>1163.1150530035336</v>
      </c>
      <c r="AJ39" s="25">
        <f>(AH39-AI39)*70%</f>
        <v>-1760.1948319946914</v>
      </c>
    </row>
    <row r="40" spans="1:40" hidden="1" x14ac:dyDescent="0.35">
      <c r="A40" s="21"/>
      <c r="B40" s="21"/>
      <c r="C40" s="21"/>
      <c r="D40" s="21"/>
      <c r="E40" s="21"/>
      <c r="F40" s="21"/>
      <c r="G40" s="21"/>
      <c r="H40" s="26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-14.851087831902946</v>
      </c>
      <c r="AI40" s="21"/>
      <c r="AJ40" s="21"/>
    </row>
    <row r="41" spans="1:40" hidden="1" x14ac:dyDescent="0.35">
      <c r="A41" s="21"/>
      <c r="B41" s="21"/>
      <c r="C41" s="21"/>
      <c r="D41" s="21"/>
      <c r="E41" s="21"/>
      <c r="F41" s="21"/>
      <c r="G41" s="21"/>
      <c r="H41" s="26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-3.2636053974546314E-3</v>
      </c>
      <c r="AI41" s="21"/>
      <c r="AJ41" s="21"/>
    </row>
    <row r="42" spans="1:40" x14ac:dyDescent="0.35">
      <c r="A42" s="21"/>
      <c r="B42" s="21"/>
      <c r="C42" s="21"/>
      <c r="D42" s="21"/>
      <c r="E42" s="21"/>
      <c r="F42" s="21"/>
      <c r="G42" s="21"/>
      <c r="H42" s="26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21"/>
      <c r="AJ42" s="21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308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45351</v>
      </c>
      <c r="B44" s="21" t="s">
        <v>970</v>
      </c>
      <c r="C44" s="21" t="s">
        <v>752</v>
      </c>
      <c r="D44" s="44">
        <v>1926452</v>
      </c>
      <c r="E44" s="44" t="s">
        <v>652</v>
      </c>
      <c r="F44" s="21">
        <v>13</v>
      </c>
      <c r="G44" s="21"/>
      <c r="H44" s="261">
        <v>6793.75</v>
      </c>
      <c r="I44" s="33">
        <v>0.55000000000000004</v>
      </c>
      <c r="J44" s="24">
        <f>IFERROR(K44/H44,"")</f>
        <v>0.54705611775528984</v>
      </c>
      <c r="K44" s="22">
        <f>29732.5/104*F44</f>
        <v>3716.5625</v>
      </c>
      <c r="L44" s="21"/>
      <c r="M44" s="21">
        <v>3</v>
      </c>
      <c r="N44" s="21">
        <v>6</v>
      </c>
      <c r="O44" s="21">
        <v>4</v>
      </c>
      <c r="P44" s="21"/>
      <c r="Q44" s="21"/>
      <c r="R44" s="21"/>
      <c r="S44" s="21"/>
      <c r="T44" s="21"/>
      <c r="U44" s="25">
        <v>230</v>
      </c>
      <c r="V44" s="25">
        <f>H44*U44*I44/15</f>
        <v>57293.958333333343</v>
      </c>
      <c r="W44" s="25">
        <f>(924392.95/57959.5)*15</f>
        <v>239.23419370422448</v>
      </c>
      <c r="X44" s="25">
        <f>(H44*J44/15)*W44</f>
        <v>59275.255535923796</v>
      </c>
      <c r="Y44" s="25">
        <f>IF(B44="FRANCISCO CAMACHO",((F44*42)+(G44*42)),IF(B44="DANILO VIANA",((F44*60)+(G44*60)),IF(B44="ANTONIO MARCUS ALBINO",((F44*60)+(G44*60)),0)))</f>
        <v>0</v>
      </c>
      <c r="Z44" s="307">
        <f>3008/104*F44</f>
        <v>376</v>
      </c>
      <c r="AA44" s="25">
        <v>0</v>
      </c>
      <c r="AB44" s="307">
        <f>3046.88/104*F44</f>
        <v>380.86</v>
      </c>
      <c r="AC44" s="25">
        <v>0</v>
      </c>
      <c r="AD44" s="25">
        <f>IF(F44="",G44*4.11,F44*4.11)</f>
        <v>53.430000000000007</v>
      </c>
      <c r="AE44" s="25">
        <f>X44*0.2%</f>
        <v>118.55051107184759</v>
      </c>
      <c r="AF44" s="25">
        <f>V44+Y44+Z44+AA44+AB44+AC44+AD44</f>
        <v>58104.248333333344</v>
      </c>
      <c r="AG44" s="25">
        <f>IFERROR(IFERROR((H44*W44*J44/15)-AE44,""),"")</f>
        <v>59156.705024851944</v>
      </c>
      <c r="AH44" s="26">
        <f>IFERROR(AG44-AF44,0)</f>
        <v>1052.4566915186006</v>
      </c>
      <c r="AI44" s="25">
        <f>(F44+G44)/$AL$7*$AL$24</f>
        <v>166.15929328621908</v>
      </c>
      <c r="AJ44" s="25">
        <f>(AH44-AI44)*70%</f>
        <v>620.40817876266703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6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80.958207039892358</v>
      </c>
      <c r="AI45" s="21"/>
      <c r="AJ45" s="21"/>
    </row>
    <row r="46" spans="1:40" x14ac:dyDescent="0.35">
      <c r="A46" s="21"/>
      <c r="B46" s="21"/>
      <c r="C46" s="21"/>
      <c r="D46" s="21"/>
      <c r="E46" s="21"/>
      <c r="F46" s="21"/>
      <c r="G46" s="21"/>
      <c r="H46" s="26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1.7790995814869332E-2</v>
      </c>
      <c r="AI46" s="21"/>
      <c r="AJ46" s="21"/>
    </row>
    <row r="47" spans="1:40" x14ac:dyDescent="0.35">
      <c r="A47" s="21"/>
      <c r="B47" s="21"/>
      <c r="C47" s="21"/>
      <c r="D47" s="21"/>
      <c r="E47" s="21"/>
      <c r="F47" s="21"/>
      <c r="G47" s="21"/>
      <c r="H47" s="26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  <c r="AI47" s="47"/>
      <c r="AJ47" s="47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308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x14ac:dyDescent="0.35">
      <c r="A49" s="20">
        <v>45352</v>
      </c>
      <c r="B49" s="21" t="s">
        <v>975</v>
      </c>
      <c r="C49" s="21" t="s">
        <v>919</v>
      </c>
      <c r="D49" s="44">
        <v>1923523</v>
      </c>
      <c r="E49" s="44" t="s">
        <v>652</v>
      </c>
      <c r="F49" s="21">
        <v>50</v>
      </c>
      <c r="G49" s="21"/>
      <c r="H49" s="328">
        <v>27730</v>
      </c>
      <c r="I49" s="33">
        <v>0.53</v>
      </c>
      <c r="J49" s="24">
        <f>IFERROR(K49/H49,"")</f>
        <v>0.53549342714312165</v>
      </c>
      <c r="K49" s="22">
        <v>14849.232734678762</v>
      </c>
      <c r="L49" s="316">
        <v>7</v>
      </c>
      <c r="M49" s="316">
        <v>27</v>
      </c>
      <c r="N49" s="316">
        <v>15</v>
      </c>
      <c r="O49" s="316">
        <v>1</v>
      </c>
      <c r="P49" s="21"/>
      <c r="Q49" s="21"/>
      <c r="R49" s="21"/>
      <c r="S49" s="21"/>
      <c r="T49" s="21"/>
      <c r="U49" s="25">
        <v>210</v>
      </c>
      <c r="V49" s="25">
        <f>H49*U49*I49/15</f>
        <v>205756.6</v>
      </c>
      <c r="W49" s="25">
        <f>(470481.66/28922)*15</f>
        <v>244.0088825115829</v>
      </c>
      <c r="X49" s="25">
        <f>(H49*J49/15)*W49</f>
        <v>241556.31238289207</v>
      </c>
      <c r="Y49" s="25">
        <f>F49*42</f>
        <v>2100</v>
      </c>
      <c r="Z49" s="307">
        <f>27458.6</f>
        <v>27458.6</v>
      </c>
      <c r="AA49" s="25">
        <v>0</v>
      </c>
      <c r="AB49" s="307">
        <f>1312.5</f>
        <v>1312.5</v>
      </c>
      <c r="AC49" s="25">
        <v>0</v>
      </c>
      <c r="AD49" s="25">
        <f>IF(F49="",G49*4.11,F49*4.11)</f>
        <v>205.50000000000003</v>
      </c>
      <c r="AE49" s="25">
        <f>X49*0.2%</f>
        <v>483.11262476578412</v>
      </c>
      <c r="AF49" s="25">
        <f>V49+Y49+Z49+AA49+AB49+AC49+AD49</f>
        <v>236833.2</v>
      </c>
      <c r="AG49" s="25">
        <f>IFERROR(IFERROR((H49*W49*J49/15)-AE49,""),"")</f>
        <v>241073.19975812631</v>
      </c>
      <c r="AH49" s="26">
        <f>IFERROR(AG49-AF49,0)</f>
        <v>4239.9997581263015</v>
      </c>
      <c r="AI49" s="25">
        <f>(F49+G49)/$AL$7*$AL$24</f>
        <v>639.07420494699647</v>
      </c>
      <c r="AJ49" s="25">
        <f>(AH49-AI49)*70%</f>
        <v>2520.6478872255134</v>
      </c>
    </row>
    <row r="50" spans="1:36" x14ac:dyDescent="0.35">
      <c r="A50" s="21"/>
      <c r="B50" s="21"/>
      <c r="C50" s="21"/>
      <c r="D50" s="21"/>
      <c r="E50" s="21"/>
      <c r="F50" s="21"/>
      <c r="G50" s="21"/>
      <c r="H50" s="26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84.799995162526031</v>
      </c>
      <c r="AI50" s="21"/>
      <c r="AJ50" s="21"/>
    </row>
    <row r="51" spans="1:36" x14ac:dyDescent="0.35">
      <c r="A51" s="21"/>
      <c r="B51" s="21"/>
      <c r="C51" s="21"/>
      <c r="D51" s="21"/>
      <c r="E51" s="21"/>
      <c r="F51" s="21"/>
      <c r="G51" s="21"/>
      <c r="H51" s="26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1.758801792310543E-2</v>
      </c>
      <c r="AI51" s="21"/>
      <c r="AJ51" s="21"/>
    </row>
    <row r="52" spans="1:36" x14ac:dyDescent="0.35">
      <c r="A52" s="21"/>
      <c r="B52" s="21"/>
      <c r="C52" s="21"/>
      <c r="D52" s="21"/>
      <c r="E52" s="21"/>
      <c r="F52" s="21"/>
      <c r="G52" s="21"/>
      <c r="H52" s="26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21"/>
      <c r="AJ52" s="21"/>
    </row>
    <row r="53" spans="1:36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308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x14ac:dyDescent="0.35">
      <c r="A54" s="20"/>
      <c r="B54" s="21"/>
      <c r="C54" s="21"/>
      <c r="D54" s="44"/>
      <c r="E54" s="44"/>
      <c r="F54" s="21"/>
      <c r="G54" s="21"/>
      <c r="H54" s="261"/>
      <c r="I54" s="33">
        <v>0</v>
      </c>
      <c r="J54" s="24" t="str">
        <f>IFERROR(K54/H54,"")</f>
        <v/>
      </c>
      <c r="K54" s="22">
        <v>0</v>
      </c>
      <c r="L54" s="21"/>
      <c r="M54" s="21"/>
      <c r="N54" s="21"/>
      <c r="O54" s="21"/>
      <c r="P54" s="21"/>
      <c r="Q54" s="21"/>
      <c r="R54" s="21"/>
      <c r="S54" s="21"/>
      <c r="T54" s="21"/>
      <c r="U54" s="25"/>
      <c r="V54" s="25">
        <f>H54*U54*I54/15</f>
        <v>0</v>
      </c>
      <c r="W54" s="25">
        <v>0</v>
      </c>
      <c r="X54" s="25">
        <v>0</v>
      </c>
      <c r="Y54" s="25">
        <f>IF(B54="FRANCISCO CAMACHO",((F54*42)+(G54*42)),IF(B54="DANILO VIANA",((F54*60)+(G54*60)),IF(B54="ANTONIO MARCUS ALBINO",((F54*60)+(G54*60)),0)))</f>
        <v>0</v>
      </c>
      <c r="Z54" s="25"/>
      <c r="AA54" s="25">
        <v>0</v>
      </c>
      <c r="AB54" s="25">
        <v>0</v>
      </c>
      <c r="AC54" s="25">
        <v>0</v>
      </c>
      <c r="AD54" s="25">
        <f>IF(F54="",G54*4.11,F54*4.11)</f>
        <v>0</v>
      </c>
      <c r="AE54" s="25">
        <v>0</v>
      </c>
      <c r="AF54" s="25">
        <f>V54+Y54+Z54+AA54+AB54+AC54+AD54</f>
        <v>0</v>
      </c>
      <c r="AG54" s="25" t="str">
        <f>IFERROR(IFERROR((H54*W54*J54/15)-AE54,""),"")</f>
        <v/>
      </c>
      <c r="AH54" s="26">
        <f>IFERROR(AG54-AF54,0)</f>
        <v>0</v>
      </c>
      <c r="AI54" s="25">
        <f>(F54+G54)/$AL$7*$AL$24</f>
        <v>0</v>
      </c>
      <c r="AJ54" s="25">
        <f>(AH54-AI54)*70%</f>
        <v>0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6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0</v>
      </c>
      <c r="AI55" s="21"/>
      <c r="AJ55" s="21"/>
    </row>
    <row r="56" spans="1:36" x14ac:dyDescent="0.35">
      <c r="A56" s="21"/>
      <c r="B56" s="21"/>
      <c r="C56" s="21"/>
      <c r="D56" s="21"/>
      <c r="E56" s="21"/>
      <c r="F56" s="21"/>
      <c r="G56" s="21"/>
      <c r="H56" s="26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 t="str">
        <f>IFERROR(AH54/AG54,"")</f>
        <v/>
      </c>
      <c r="AI56" s="21"/>
      <c r="AJ56" s="21"/>
    </row>
    <row r="57" spans="1:36" x14ac:dyDescent="0.35">
      <c r="A57" s="21"/>
      <c r="B57" s="21"/>
      <c r="C57" s="21"/>
      <c r="D57" s="21"/>
      <c r="E57" s="21"/>
      <c r="F57" s="21"/>
      <c r="G57" s="21"/>
      <c r="H57" s="26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  <c r="AI57" s="21"/>
      <c r="AJ57" s="21"/>
    </row>
    <row r="58" spans="1:36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308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6" x14ac:dyDescent="0.35">
      <c r="A59" s="20"/>
      <c r="B59" s="21"/>
      <c r="C59" s="21"/>
      <c r="D59" s="44"/>
      <c r="E59" s="44"/>
      <c r="F59" s="21"/>
      <c r="G59" s="21"/>
      <c r="H59" s="261"/>
      <c r="I59" s="33">
        <v>0</v>
      </c>
      <c r="J59" s="24" t="str">
        <f>IFERROR(K59/H59,"")</f>
        <v/>
      </c>
      <c r="K59" s="22">
        <v>0</v>
      </c>
      <c r="L59" s="21"/>
      <c r="M59" s="21"/>
      <c r="N59" s="21"/>
      <c r="O59" s="21"/>
      <c r="P59" s="21"/>
      <c r="Q59" s="21"/>
      <c r="R59" s="21"/>
      <c r="S59" s="21"/>
      <c r="T59" s="21"/>
      <c r="U59" s="25">
        <v>0</v>
      </c>
      <c r="V59" s="25">
        <f>H59*U59*I59/15</f>
        <v>0</v>
      </c>
      <c r="W59" s="25">
        <v>0</v>
      </c>
      <c r="X59" s="25">
        <v>0</v>
      </c>
      <c r="Y59" s="25">
        <f>IF(B59="FRANCISCO CAMACHO",((F59*42)+(G59*42)),IF(B59="DANILO VIANA",((F59*60)+(G59*60)),IF(B59="ANTONIO MARCUS ALBINO",((F59*60)+(G59*60)),0)))</f>
        <v>0</v>
      </c>
      <c r="Z59" s="25"/>
      <c r="AA59" s="25">
        <v>0</v>
      </c>
      <c r="AB59" s="25">
        <v>0</v>
      </c>
      <c r="AC59" s="25">
        <v>0</v>
      </c>
      <c r="AD59" s="25">
        <f>IF(F59="",G59*4.11,F59*4.11)</f>
        <v>0</v>
      </c>
      <c r="AE59" s="25">
        <v>0</v>
      </c>
      <c r="AF59" s="25">
        <f>V59+Y59+Z59+AA59+AB59+AC59+AD59</f>
        <v>0</v>
      </c>
      <c r="AG59" s="25" t="str">
        <f>IFERROR(IFERROR((H59*W59*J59/15)-AE59,""),"")</f>
        <v/>
      </c>
      <c r="AH59" s="26">
        <f>IFERROR(AG59-AF59,0)</f>
        <v>0</v>
      </c>
      <c r="AI59" s="25">
        <f>(F59+G59)/$AL$7*$AL$24</f>
        <v>0</v>
      </c>
      <c r="AJ59" s="25">
        <f>(AH59-AI59)*70%</f>
        <v>0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6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0</v>
      </c>
      <c r="AI60" s="21"/>
      <c r="AJ60" s="21"/>
    </row>
    <row r="61" spans="1:36" x14ac:dyDescent="0.35">
      <c r="A61" s="21"/>
      <c r="B61" s="21"/>
      <c r="C61" s="21"/>
      <c r="D61" s="21"/>
      <c r="E61" s="21"/>
      <c r="F61" s="21"/>
      <c r="G61" s="21"/>
      <c r="H61" s="26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 t="str">
        <f>IFERROR(AH59/AG59,"")</f>
        <v/>
      </c>
      <c r="AI61" s="21"/>
      <c r="AJ61" s="21"/>
    </row>
    <row r="62" spans="1:36" x14ac:dyDescent="0.35">
      <c r="A62" s="21"/>
      <c r="B62" s="21"/>
      <c r="C62" s="21"/>
      <c r="D62" s="21"/>
      <c r="E62" s="21"/>
      <c r="F62" s="21"/>
      <c r="G62" s="21"/>
      <c r="H62" s="26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308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/>
      <c r="B64" s="21"/>
      <c r="C64" s="21"/>
      <c r="D64" s="44"/>
      <c r="E64" s="44"/>
      <c r="F64" s="21"/>
      <c r="G64" s="21"/>
      <c r="H64" s="261"/>
      <c r="I64" s="33">
        <v>0</v>
      </c>
      <c r="J64" s="24" t="str">
        <f>IFERROR(K64/H64,"")</f>
        <v/>
      </c>
      <c r="K64" s="22">
        <v>0</v>
      </c>
      <c r="L64" s="21"/>
      <c r="M64" s="21"/>
      <c r="N64" s="21"/>
      <c r="O64" s="21"/>
      <c r="P64" s="21"/>
      <c r="Q64" s="21"/>
      <c r="R64" s="21"/>
      <c r="S64" s="21"/>
      <c r="T64" s="21"/>
      <c r="U64" s="25">
        <v>0</v>
      </c>
      <c r="V64" s="25">
        <f>H64*U64*I64/15</f>
        <v>0</v>
      </c>
      <c r="W64" s="25">
        <v>0</v>
      </c>
      <c r="X64" s="25">
        <v>0</v>
      </c>
      <c r="Y64" s="25">
        <f>IF(B64="FRANCISCO CAMACHO",((F64*42)+(G64*42)),IF(B64="DANILO VIANA",((F64*60)+(G64*60)),IF(B64="ANTONIO MARCUS ALBINO",((F64*60)+(G64*60)),0)))</f>
        <v>0</v>
      </c>
      <c r="Z64" s="25"/>
      <c r="AA64" s="25">
        <v>0</v>
      </c>
      <c r="AB64" s="25">
        <v>0</v>
      </c>
      <c r="AC64" s="25">
        <v>0</v>
      </c>
      <c r="AD64" s="25">
        <f>IF(F64="",G64*4.11,F64*4.11)</f>
        <v>0</v>
      </c>
      <c r="AE64" s="25">
        <v>0</v>
      </c>
      <c r="AF64" s="25">
        <f>V64+Y64+Z64+AA64+AB64+AC64+AD64</f>
        <v>0</v>
      </c>
      <c r="AG64" s="25" t="str">
        <f>IFERROR(IFERROR((H64*W64*J64/15)-AE64,""),"")</f>
        <v/>
      </c>
      <c r="AH64" s="26">
        <f>IFERROR(AG64-AF64,0)</f>
        <v>0</v>
      </c>
      <c r="AI64" s="25">
        <f>(F64+G64)/$AL$7*$AL$24</f>
        <v>0</v>
      </c>
      <c r="AJ64" s="25">
        <f>(AH64-AI64)*70%</f>
        <v>0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6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0</v>
      </c>
      <c r="AI65" s="21"/>
      <c r="AJ65" s="21"/>
    </row>
    <row r="66" spans="1:36" x14ac:dyDescent="0.35">
      <c r="A66" s="21"/>
      <c r="B66" s="21"/>
      <c r="C66" s="21"/>
      <c r="D66" s="21"/>
      <c r="E66" s="21"/>
      <c r="F66" s="21"/>
      <c r="G66" s="21"/>
      <c r="H66" s="26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 t="str">
        <f>IFERROR(AH64/AG64,"")</f>
        <v/>
      </c>
      <c r="AI66" s="21"/>
      <c r="AJ66" s="21"/>
    </row>
    <row r="67" spans="1:36" x14ac:dyDescent="0.35">
      <c r="A67" s="21"/>
      <c r="B67" s="21"/>
      <c r="C67" s="21"/>
      <c r="D67" s="21"/>
      <c r="E67" s="21"/>
      <c r="F67" s="21"/>
      <c r="G67" s="21"/>
      <c r="H67" s="26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21"/>
      <c r="AJ67" s="21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308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/>
      <c r="B69" s="21"/>
      <c r="C69" s="21"/>
      <c r="D69" s="44"/>
      <c r="E69" s="44"/>
      <c r="F69" s="21"/>
      <c r="G69" s="21"/>
      <c r="H69" s="261"/>
      <c r="I69" s="33">
        <v>0</v>
      </c>
      <c r="J69" s="24" t="str">
        <f>IFERROR(K69/H69,"")</f>
        <v/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/>
      <c r="V69" s="25">
        <f>H69*U69*I69/15</f>
        <v>0</v>
      </c>
      <c r="W69" s="25">
        <v>0</v>
      </c>
      <c r="X69" s="25">
        <v>0</v>
      </c>
      <c r="Y69" s="25">
        <f>IF(B69="FRANCISCO CAMACHO",((F69*42)+(G69*42)),IF(B69="DANILO VIANA",((F69*60)+(G69*60)),IF(B69="ANTONIO MARCUS ALBINO",((F69*60)+(G69*60)),0)))</f>
        <v>0</v>
      </c>
      <c r="Z69" s="25"/>
      <c r="AA69" s="25">
        <v>0</v>
      </c>
      <c r="AB69" s="25">
        <v>0</v>
      </c>
      <c r="AC69" s="25">
        <v>0</v>
      </c>
      <c r="AD69" s="25">
        <f>IF(F69="",G69*4.11,F69*4.11)</f>
        <v>0</v>
      </c>
      <c r="AE69" s="25">
        <v>0</v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25">
        <f>(F69+G69)/$AL$7*$AL$24</f>
        <v>0</v>
      </c>
      <c r="AJ69" s="25">
        <f>(AH69-AI69)*70%</f>
        <v>0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6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  <c r="AI70" s="21"/>
      <c r="AJ70" s="21"/>
    </row>
    <row r="71" spans="1:36" x14ac:dyDescent="0.35">
      <c r="A71" s="21"/>
      <c r="B71" s="21"/>
      <c r="C71" s="21"/>
      <c r="D71" s="21"/>
      <c r="E71" s="21"/>
      <c r="F71" s="21"/>
      <c r="G71" s="21"/>
      <c r="H71" s="26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  <c r="AI71" s="21"/>
      <c r="AJ71" s="21"/>
    </row>
    <row r="72" spans="1:36" x14ac:dyDescent="0.35">
      <c r="A72" s="21"/>
      <c r="B72" s="21"/>
      <c r="C72" s="21"/>
      <c r="D72" s="21"/>
      <c r="E72" s="21"/>
      <c r="F72" s="21"/>
      <c r="G72" s="21"/>
      <c r="H72" s="26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  <c r="AI72" s="21"/>
      <c r="AJ72" s="21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308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/>
      <c r="B74" s="21"/>
      <c r="C74" s="21"/>
      <c r="D74" s="44"/>
      <c r="E74" s="44"/>
      <c r="F74" s="21"/>
      <c r="G74" s="21"/>
      <c r="H74" s="261"/>
      <c r="I74" s="33">
        <v>0</v>
      </c>
      <c r="J74" s="24" t="str">
        <f>IFERROR(K74/H74,"")</f>
        <v/>
      </c>
      <c r="K74" s="22"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>
        <v>0</v>
      </c>
      <c r="Y74" s="25">
        <f>IF(B74="FRANCISCO CAMACHO",((F74*42)+(G74*42)),IF(B74="DANILO VIANA",((F74*60)+(G74*60)),IF(B74="ANTONIO MARCUS ALBINO",((F74*60)+(G74*60)),0)))</f>
        <v>0</v>
      </c>
      <c r="Z74" s="25"/>
      <c r="AA74" s="25">
        <v>0</v>
      </c>
      <c r="AB74" s="25">
        <v>0</v>
      </c>
      <c r="AC74" s="25">
        <v>0</v>
      </c>
      <c r="AD74" s="25">
        <f>IF(F74="",G74*4.11,F74*4.11)</f>
        <v>0</v>
      </c>
      <c r="AE74" s="25">
        <v>0</v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25">
        <f>(F74+G74)/$AL$7*$AL$24</f>
        <v>0</v>
      </c>
      <c r="AJ74" s="25">
        <f>(AH74-AI74)*70%</f>
        <v>0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6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  <c r="AI75" s="21"/>
      <c r="AJ75" s="21"/>
    </row>
    <row r="76" spans="1:36" x14ac:dyDescent="0.35">
      <c r="A76" s="21"/>
      <c r="B76" s="21"/>
      <c r="C76" s="21"/>
      <c r="D76" s="21"/>
      <c r="E76" s="21"/>
      <c r="F76" s="21"/>
      <c r="G76" s="21"/>
      <c r="H76" s="26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  <c r="AI76" s="21"/>
      <c r="AJ76" s="21"/>
    </row>
    <row r="77" spans="1:36" x14ac:dyDescent="0.35">
      <c r="A77" s="21"/>
      <c r="B77" s="21"/>
      <c r="C77" s="21"/>
      <c r="D77" s="21"/>
      <c r="E77" s="21"/>
      <c r="F77" s="21"/>
      <c r="G77" s="21"/>
      <c r="H77" s="26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47"/>
      <c r="AJ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308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261"/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>
        <v>0</v>
      </c>
      <c r="Y79" s="25">
        <f>IF(B79="FRANCISCO CAMACHO",((F79*42)+(G79*42)),IF(B79="DANILO VIANA",((F79*60)+(G79*60)),IF(B79="ANTONIO MARCUS ALBINO",((F79*60)+(G79*60)),0)))</f>
        <v>0</v>
      </c>
      <c r="Z79" s="25"/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>
        <v>0</v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25">
        <f>(F79+G79)/$AL$7*$AL$24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6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  <c r="AI80" s="21"/>
      <c r="AJ80" s="21"/>
    </row>
    <row r="81" spans="1:36" x14ac:dyDescent="0.35">
      <c r="A81" s="21"/>
      <c r="B81" s="21"/>
      <c r="C81" s="21"/>
      <c r="D81" s="21"/>
      <c r="E81" s="21"/>
      <c r="F81" s="21"/>
      <c r="G81" s="21"/>
      <c r="H81" s="26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  <c r="AI81" s="21"/>
      <c r="AJ81" s="21"/>
    </row>
    <row r="82" spans="1:36" x14ac:dyDescent="0.35">
      <c r="A82" s="21"/>
      <c r="B82" s="21"/>
      <c r="C82" s="21"/>
      <c r="D82" s="21"/>
      <c r="E82" s="21"/>
      <c r="F82" s="21"/>
      <c r="G82" s="21"/>
      <c r="H82" s="26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  <c r="AI82" s="47"/>
      <c r="AJ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308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261"/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>
        <v>0</v>
      </c>
      <c r="Y84" s="25">
        <f>IF(B84="FRANCISCO CAMACHO",((F84*42)+(G84*42)),IF(B84="DANILO VIANA",((F84*60)+(G84*60)),IF(B84="ANTONIO MARCUS ALBINO",((F84*60)+(G84*60)),0)))</f>
        <v>0</v>
      </c>
      <c r="Z84" s="25"/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>
        <v>0</v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25">
        <f>(F84+G84)/$AL$7*$AL$24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6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  <c r="AI85" s="21"/>
      <c r="AJ85" s="21"/>
    </row>
    <row r="86" spans="1:36" x14ac:dyDescent="0.35">
      <c r="A86" s="21"/>
      <c r="B86" s="21"/>
      <c r="C86" s="21"/>
      <c r="D86" s="21"/>
      <c r="E86" s="21"/>
      <c r="F86" s="21"/>
      <c r="G86" s="21"/>
      <c r="H86" s="26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  <c r="AI86" s="21"/>
      <c r="AJ86" s="21"/>
    </row>
    <row r="87" spans="1:36" x14ac:dyDescent="0.35">
      <c r="A87" s="21"/>
      <c r="B87" s="21"/>
      <c r="C87" s="21"/>
      <c r="D87" s="21"/>
      <c r="E87" s="21"/>
      <c r="F87" s="21"/>
      <c r="G87" s="21"/>
      <c r="H87" s="26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  <c r="AI87" s="21"/>
      <c r="AJ87" s="21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308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261"/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/>
      <c r="V89" s="25">
        <f>H89*U89*I89/15</f>
        <v>0</v>
      </c>
      <c r="W89" s="25">
        <v>0</v>
      </c>
      <c r="X89" s="25">
        <v>0</v>
      </c>
      <c r="Y89" s="25">
        <f>IF(B89="FRANCISCO CAMACHO",((F89*42)+(G89*42)),IF(B89="DANILO VIANA",((F89*60)+(G89*60)),IF(B89="ANTONIO MARCUS ALBINO",((F89*60)+(G89*60)),0)))</f>
        <v>0</v>
      </c>
      <c r="Z89" s="25"/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>
        <v>0</v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25">
        <f>(F89+G89)/$AL$7*$AL$24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6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  <c r="AI90" s="21"/>
      <c r="AJ90" s="21"/>
    </row>
    <row r="91" spans="1:36" x14ac:dyDescent="0.35">
      <c r="A91" s="21"/>
      <c r="B91" s="21"/>
      <c r="C91" s="21"/>
      <c r="D91" s="21"/>
      <c r="E91" s="21"/>
      <c r="F91" s="21"/>
      <c r="G91" s="21"/>
      <c r="H91" s="26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  <c r="AI91" s="21"/>
      <c r="AJ91" s="21"/>
    </row>
    <row r="92" spans="1:36" x14ac:dyDescent="0.35">
      <c r="A92" s="21"/>
      <c r="B92" s="21"/>
      <c r="C92" s="21"/>
      <c r="D92" s="21"/>
      <c r="E92" s="21"/>
      <c r="F92" s="21"/>
      <c r="G92" s="21"/>
      <c r="H92" s="26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21"/>
      <c r="AJ92" s="21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308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261"/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>
        <v>0</v>
      </c>
      <c r="Y94" s="25">
        <f>IF(B94="FRANCISCO CAMACHO",((F94*42)+(G94*42)),IF(B94="DANILO VIANA",((F94*60)+(G94*60)),IF(B94="ANTONIO MARCUS ALBINO",((F94*60)+(G94*60)),0)))</f>
        <v>0</v>
      </c>
      <c r="Z94" s="25"/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>
        <v>0</v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25">
        <f>(F94+G94)/$AL$7*$AL$24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6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  <c r="AI95" s="21"/>
      <c r="AJ95" s="21"/>
    </row>
    <row r="96" spans="1:36" x14ac:dyDescent="0.35">
      <c r="A96" s="21"/>
      <c r="B96" s="21"/>
      <c r="C96" s="21"/>
      <c r="D96" s="21"/>
      <c r="E96" s="21"/>
      <c r="F96" s="21"/>
      <c r="G96" s="21"/>
      <c r="H96" s="26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  <c r="AI96" s="21"/>
      <c r="AJ96" s="21"/>
    </row>
    <row r="97" spans="1:36" x14ac:dyDescent="0.35">
      <c r="A97" s="21"/>
      <c r="B97" s="21"/>
      <c r="C97" s="21"/>
      <c r="D97" s="21"/>
      <c r="E97" s="21"/>
      <c r="F97" s="21"/>
      <c r="G97" s="21"/>
      <c r="H97" s="26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47"/>
      <c r="AJ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308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261"/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>
        <v>0</v>
      </c>
      <c r="Y99" s="25">
        <f>IF(B99="FRANCISCO CAMACHO",((F99*42)+(G99*42)),IF(B99="DANILO VIANA",((F99*60)+(G99*60)),IF(B99="ANTONIO MARCUS ALBINO",((F99*60)+(G99*60)),0)))</f>
        <v>0</v>
      </c>
      <c r="Z99" s="25"/>
      <c r="AA99" s="25">
        <v>0</v>
      </c>
      <c r="AB99" s="25">
        <v>0</v>
      </c>
      <c r="AC99" s="25">
        <v>0</v>
      </c>
      <c r="AD99" s="25">
        <f>IF(F99="",G99*4.11,F99*4.11)</f>
        <v>0</v>
      </c>
      <c r="AE99" s="25">
        <v>0</v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(F99+G99)/$AL$7*$AL$24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6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  <c r="AI100" s="21"/>
      <c r="AJ100" s="21"/>
    </row>
    <row r="101" spans="1:36" x14ac:dyDescent="0.35">
      <c r="A101" s="21"/>
      <c r="B101" s="21"/>
      <c r="C101" s="21"/>
      <c r="D101" s="21"/>
      <c r="E101" s="21"/>
      <c r="F101" s="21"/>
      <c r="G101" s="21"/>
      <c r="H101" s="26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  <c r="AI101" s="21"/>
      <c r="AJ101" s="21"/>
    </row>
    <row r="102" spans="1:36" x14ac:dyDescent="0.35">
      <c r="A102" s="21"/>
      <c r="B102" s="21"/>
      <c r="C102" s="21"/>
      <c r="D102" s="21"/>
      <c r="E102" s="21"/>
      <c r="F102" s="21"/>
      <c r="G102" s="21"/>
      <c r="H102" s="26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  <c r="AI102" s="21"/>
      <c r="AJ102" s="21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308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261"/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/>
      <c r="V104" s="25">
        <f>H104*U104*I104/15</f>
        <v>0</v>
      </c>
      <c r="W104" s="25">
        <v>0</v>
      </c>
      <c r="X104" s="25">
        <v>0</v>
      </c>
      <c r="Y104" s="25">
        <f>IF(B104="FRANCISCO CAMACHO",((F104*42)+(G104*42)),IF(B104="DANILO VIANA",((F104*60)+(G104*60)),IF(B104="ANTONIO MARCUS ALBINO",((F104*60)+(G104*60)),0)))</f>
        <v>0</v>
      </c>
      <c r="Z104" s="25"/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>
        <v>0</v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(F104+G104)/$AL$7*$AL$24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6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  <c r="AI105" s="21"/>
      <c r="AJ105" s="21"/>
    </row>
    <row r="106" spans="1:36" x14ac:dyDescent="0.35">
      <c r="A106" s="21"/>
      <c r="B106" s="21"/>
      <c r="C106" s="21"/>
      <c r="D106" s="21"/>
      <c r="E106" s="21"/>
      <c r="F106" s="21"/>
      <c r="G106" s="21"/>
      <c r="H106" s="26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  <c r="AI106" s="21"/>
      <c r="AJ106" s="21"/>
    </row>
    <row r="107" spans="1:36" x14ac:dyDescent="0.35">
      <c r="A107" s="21"/>
      <c r="B107" s="21"/>
      <c r="C107" s="21"/>
      <c r="D107" s="21"/>
      <c r="E107" s="21"/>
      <c r="F107" s="21"/>
      <c r="G107" s="21"/>
      <c r="H107" s="26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  <c r="AI107" s="21"/>
      <c r="AJ107" s="21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308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261"/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>
        <v>0</v>
      </c>
      <c r="Y109" s="25">
        <f>IF(B109="FRANCISCO CAMACHO",((F109*42)+(G109*42)),IF(B109="DANILO VIANA",((F109*60)+(G109*60)),IF(B109="ANTONIO MARCUS ALBINO",((F109*60)+(G109*60)),0)))</f>
        <v>0</v>
      </c>
      <c r="Z109" s="25"/>
      <c r="AA109" s="25">
        <v>0</v>
      </c>
      <c r="AB109" s="25">
        <v>0</v>
      </c>
      <c r="AC109" s="25">
        <v>0</v>
      </c>
      <c r="AD109" s="25">
        <f>IF(F109="",G109*4.11,F109*4.11)</f>
        <v>0</v>
      </c>
      <c r="AE109" s="25">
        <v>0</v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(F109+G109)/$AL$7*$AL$24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6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  <c r="AI110" s="21"/>
      <c r="AJ110" s="21"/>
    </row>
    <row r="111" spans="1:36" x14ac:dyDescent="0.35">
      <c r="A111" s="21"/>
      <c r="B111" s="21"/>
      <c r="C111" s="21"/>
      <c r="D111" s="21"/>
      <c r="E111" s="21"/>
      <c r="F111" s="21"/>
      <c r="G111" s="21"/>
      <c r="H111" s="26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  <c r="AI111" s="21"/>
      <c r="AJ111" s="21"/>
    </row>
    <row r="112" spans="1:36" ht="15" thickBot="1" x14ac:dyDescent="0.4">
      <c r="A112" s="21"/>
      <c r="B112" s="21"/>
      <c r="C112" s="21"/>
      <c r="D112" s="21"/>
      <c r="E112" s="21"/>
      <c r="F112" s="21"/>
      <c r="G112" s="21"/>
      <c r="H112" s="26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  <c r="AI112" s="47"/>
      <c r="AJ112" s="47"/>
    </row>
    <row r="113" spans="1:41" ht="16" thickBot="1" x14ac:dyDescent="0.4">
      <c r="A113" s="377" t="s">
        <v>803</v>
      </c>
      <c r="B113" s="378"/>
      <c r="C113" s="378"/>
      <c r="D113" s="378"/>
      <c r="E113" s="378"/>
      <c r="F113" s="163">
        <f>SUM(F4:F109)</f>
        <v>849</v>
      </c>
      <c r="G113" s="163">
        <f>SUM(G4:G109)</f>
        <v>0</v>
      </c>
      <c r="H113" s="309">
        <f>SUM(H4:H109)</f>
        <v>449422</v>
      </c>
      <c r="I113" s="30"/>
      <c r="J113" s="30"/>
      <c r="K113" s="274">
        <f>SUM(K4:K109)</f>
        <v>242506.14213662557</v>
      </c>
      <c r="L113" s="46"/>
      <c r="M113" s="46"/>
      <c r="N113" s="46"/>
      <c r="O113" s="46"/>
      <c r="P113" s="46"/>
      <c r="Q113" s="46"/>
      <c r="R113" s="46"/>
      <c r="S113" s="46"/>
      <c r="T113" s="46"/>
      <c r="U113" s="30"/>
      <c r="V113" s="275">
        <f>SUM(V4:V109)</f>
        <v>3584473.7991666673</v>
      </c>
      <c r="W113" s="31"/>
      <c r="X113" s="275">
        <f t="shared" ref="X113:AG113" si="0">SUM(X4:X109)</f>
        <v>3850848.2710591042</v>
      </c>
      <c r="Y113" s="275">
        <f t="shared" si="0"/>
        <v>40200</v>
      </c>
      <c r="Z113" s="275">
        <f t="shared" si="0"/>
        <v>214512.88</v>
      </c>
      <c r="AA113" s="275">
        <f t="shared" si="0"/>
        <v>0</v>
      </c>
      <c r="AB113" s="275">
        <f t="shared" si="0"/>
        <v>23490.63</v>
      </c>
      <c r="AC113" s="275">
        <f t="shared" si="0"/>
        <v>18810</v>
      </c>
      <c r="AD113" s="275">
        <f t="shared" si="0"/>
        <v>3489.3900000000008</v>
      </c>
      <c r="AE113" s="275">
        <f t="shared" si="0"/>
        <v>7701.6965421182076</v>
      </c>
      <c r="AF113" s="275">
        <f t="shared" si="0"/>
        <v>3884976.6991666672</v>
      </c>
      <c r="AG113" s="275">
        <f t="shared" si="0"/>
        <v>3843144.414516985</v>
      </c>
      <c r="AH113" s="276">
        <f>AH4+AH9+AH14+AH19+AH24+AH29+AH34+AH39+AH44+AH49+AH54+AH59+AH64+AH69+AH74+AH79+AH84+AH89+AH94+AH99+AH104+AH109</f>
        <v>-41832.284649681853</v>
      </c>
      <c r="AI113" s="275">
        <f>SUM(AI4:AI109)</f>
        <v>10851.480000000001</v>
      </c>
      <c r="AJ113" s="275">
        <f>SUM(AJ4:AJ109)</f>
        <v>-36878.635254777306</v>
      </c>
    </row>
    <row r="125" spans="1:41" x14ac:dyDescent="0.35">
      <c r="AO125" s="21"/>
    </row>
  </sheetData>
  <autoFilter ref="A3:AJ41">
    <filterColumn colId="1">
      <filters>
        <filter val="ANTONIO MARCUS ALBINO"/>
        <filter val="FRANCISCO CAMACHO"/>
        <filter val="MARIO DE FELICIO NETO"/>
      </filters>
    </filterColumn>
  </autoFilter>
  <mergeCells count="7">
    <mergeCell ref="A113:E113"/>
    <mergeCell ref="AL13:AL14"/>
    <mergeCell ref="AM13:AN14"/>
    <mergeCell ref="AO13:AO14"/>
    <mergeCell ref="AM15:AN16"/>
    <mergeCell ref="AL15:AL16"/>
    <mergeCell ref="AO15:AO16"/>
  </mergeCells>
  <pageMargins left="0.511811024" right="0.511811024" top="0.78740157499999996" bottom="0.78740157499999996" header="0.31496062000000002" footer="0.31496062000000002"/>
  <legacy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30"/>
  <sheetViews>
    <sheetView topLeftCell="A46" zoomScale="85" zoomScaleNormal="85" workbookViewId="0">
      <pane xSplit="7" topLeftCell="W1" activePane="topRight" state="frozen"/>
      <selection activeCell="Z82" sqref="Z82"/>
      <selection pane="topRight" activeCell="AB74" sqref="AB74"/>
    </sheetView>
  </sheetViews>
  <sheetFormatPr defaultRowHeight="14.5" x14ac:dyDescent="0.35"/>
  <cols>
    <col min="1" max="1" width="13.26953125" customWidth="1"/>
    <col min="2" max="2" width="36.453125" bestFit="1" customWidth="1"/>
    <col min="3" max="3" width="33.26953125" bestFit="1" customWidth="1"/>
    <col min="4" max="4" width="15.1796875" customWidth="1"/>
    <col min="5" max="5" width="11.26953125" customWidth="1"/>
    <col min="6" max="6" width="13.453125" customWidth="1"/>
    <col min="8" max="8" width="11.54296875" style="355" bestFit="1" customWidth="1"/>
    <col min="10" max="10" width="10.26953125" bestFit="1" customWidth="1"/>
    <col min="11" max="11" width="12.453125" bestFit="1" customWidth="1"/>
    <col min="17" max="17" width="11.1796875" bestFit="1" customWidth="1"/>
    <col min="21" max="21" width="15" bestFit="1" customWidth="1"/>
    <col min="22" max="22" width="18.1796875" bestFit="1" customWidth="1"/>
    <col min="23" max="23" width="13.26953125" bestFit="1" customWidth="1"/>
    <col min="24" max="24" width="18.1796875" bestFit="1" customWidth="1"/>
    <col min="25" max="25" width="15" bestFit="1" customWidth="1"/>
    <col min="26" max="29" width="12.54296875" customWidth="1"/>
    <col min="30" max="30" width="13.81640625" bestFit="1" customWidth="1"/>
    <col min="31" max="31" width="12.54296875" customWidth="1"/>
    <col min="32" max="34" width="18.1796875" bestFit="1" customWidth="1"/>
    <col min="35" max="35" width="19.7265625" customWidth="1"/>
    <col min="36" max="36" width="18.81640625" customWidth="1"/>
    <col min="38" max="38" width="19" customWidth="1"/>
    <col min="39" max="39" width="20.1796875" customWidth="1"/>
    <col min="40" max="40" width="41" customWidth="1"/>
    <col min="41" max="41" width="14.54296875" customWidth="1"/>
  </cols>
  <sheetData>
    <row r="1" spans="1:41" x14ac:dyDescent="0.35">
      <c r="X1" s="25"/>
      <c r="AE1" s="25"/>
    </row>
    <row r="3" spans="1:4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356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277">
        <f>AF118</f>
        <v>4326924.5166666666</v>
      </c>
      <c r="AM3" s="164">
        <f>AH118-AI118</f>
        <v>-11998.877044793604</v>
      </c>
    </row>
    <row r="4" spans="1:41" x14ac:dyDescent="0.35">
      <c r="A4" s="20">
        <v>45354</v>
      </c>
      <c r="B4" s="21" t="s">
        <v>911</v>
      </c>
      <c r="C4" s="21" t="s">
        <v>973</v>
      </c>
      <c r="D4" s="44">
        <v>1923530</v>
      </c>
      <c r="E4" s="44" t="s">
        <v>652</v>
      </c>
      <c r="F4" s="315">
        <v>48</v>
      </c>
      <c r="G4" s="21"/>
      <c r="H4" s="353">
        <v>24840</v>
      </c>
      <c r="I4" s="33">
        <v>0.53</v>
      </c>
      <c r="J4" s="24">
        <f>IFERROR(K4/H4,"")</f>
        <v>0.54834782608695654</v>
      </c>
      <c r="K4" s="22">
        <f>14188.5/50*F4</f>
        <v>13620.96</v>
      </c>
      <c r="L4" s="21"/>
      <c r="M4" s="21"/>
      <c r="N4" s="21"/>
      <c r="O4" s="21"/>
      <c r="P4" s="21"/>
      <c r="Q4" s="21"/>
      <c r="R4" s="21"/>
      <c r="S4" s="21"/>
      <c r="T4" s="21"/>
      <c r="U4" s="25">
        <v>220</v>
      </c>
      <c r="V4" s="25">
        <f>H4*U4*I4/15</f>
        <v>193089.6</v>
      </c>
      <c r="W4" s="25">
        <f>(464583.19/28735)*15</f>
        <v>242.51776057073258</v>
      </c>
      <c r="X4" s="25">
        <f>IFERROR(IFERROR((H4*W4*J4/15),""),"")</f>
        <v>220221.64773490172</v>
      </c>
      <c r="Y4" s="25">
        <f>IF(B4="FRANCISCO CAMACHO",((F4*42)+(G4*42)),IF(B4="DANILO VIANA",((F4*60)+(G4*60)),IF(B4="ANTONIO MARCUS ALBINO",((F4*60)+(G4*60)),0)))</f>
        <v>2880</v>
      </c>
      <c r="Z4" s="307">
        <f>13878.6/50*F4</f>
        <v>13323.456</v>
      </c>
      <c r="AA4" s="25">
        <v>0</v>
      </c>
      <c r="AB4" s="307">
        <f>1370/50*F4</f>
        <v>1315.1999999999998</v>
      </c>
      <c r="AC4" s="25">
        <f>F4*38</f>
        <v>1824</v>
      </c>
      <c r="AD4" s="25">
        <f>IF(F4="",G4*4.11,F4*4.11)</f>
        <v>197.28000000000003</v>
      </c>
      <c r="AE4" s="25">
        <f>IFERROR(IFERROR((X4*0.2%),""),"")</f>
        <v>440.44329546980345</v>
      </c>
      <c r="AF4" s="25">
        <f>V4+Y4+Z4+AA4+AB4+AC4+AD4</f>
        <v>212629.53600000002</v>
      </c>
      <c r="AG4" s="25">
        <f>IFERROR(IFERROR((H4*W4*J4/15)-AE4,""),"")</f>
        <v>219781.20443943192</v>
      </c>
      <c r="AH4" s="26">
        <f>IFERROR(AG4-AF4,0)</f>
        <v>7151.6684394319018</v>
      </c>
      <c r="AI4" s="25">
        <f>(F4+G4)/$AL$7*$AL$30</f>
        <v>874.12967265047519</v>
      </c>
      <c r="AJ4" s="25">
        <f>(AH4-AI4)*70%</f>
        <v>4394.2771367469986</v>
      </c>
      <c r="AL4" s="166" t="s">
        <v>749</v>
      </c>
      <c r="AM4" s="167">
        <f>AM3/AL3</f>
        <v>-2.7730728831935297E-3</v>
      </c>
    </row>
    <row r="5" spans="1:41" x14ac:dyDescent="0.35">
      <c r="A5" s="21"/>
      <c r="B5" s="21"/>
      <c r="C5" s="21"/>
      <c r="D5" s="21"/>
      <c r="E5" s="21"/>
      <c r="F5" s="21"/>
      <c r="G5" s="21"/>
      <c r="H5" s="353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5"/>
      <c r="AF5" s="21"/>
      <c r="AG5" s="21"/>
      <c r="AH5" s="26">
        <f>IFERROR(AH4/F4,0)+IFERROR(AH4/G4,0)</f>
        <v>148.99309248816462</v>
      </c>
      <c r="AI5" s="21"/>
      <c r="AJ5" s="21"/>
      <c r="AM5" s="63"/>
    </row>
    <row r="6" spans="1:41" x14ac:dyDescent="0.35">
      <c r="A6" s="21"/>
      <c r="B6" s="21"/>
      <c r="C6" s="21"/>
      <c r="D6" s="21"/>
      <c r="E6" s="21"/>
      <c r="F6" s="21"/>
      <c r="G6" s="21"/>
      <c r="H6" s="353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3.2539945613969841E-2</v>
      </c>
      <c r="AI6" s="21"/>
      <c r="AJ6" s="21"/>
      <c r="AM6" s="63"/>
    </row>
    <row r="7" spans="1:41" x14ac:dyDescent="0.35">
      <c r="A7" s="21"/>
      <c r="B7" s="21"/>
      <c r="C7" s="21"/>
      <c r="D7" s="21"/>
      <c r="E7" s="21"/>
      <c r="F7" s="21"/>
      <c r="G7" s="21"/>
      <c r="H7" s="353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21"/>
      <c r="AJ7" s="21"/>
      <c r="AL7" s="290">
        <f>F118+G118</f>
        <v>947</v>
      </c>
      <c r="AM7" s="118" t="s">
        <v>22</v>
      </c>
    </row>
    <row r="8" spans="1:41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356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L8" s="48">
        <f>AH118</f>
        <v>5246.9729552063945</v>
      </c>
      <c r="AM8" s="48">
        <f>AL8*30%</f>
        <v>1574.0918865619183</v>
      </c>
      <c r="AN8" s="2"/>
    </row>
    <row r="9" spans="1:41" x14ac:dyDescent="0.35">
      <c r="A9" s="20">
        <v>45354</v>
      </c>
      <c r="B9" s="21" t="s">
        <v>911</v>
      </c>
      <c r="C9" s="21" t="s">
        <v>973</v>
      </c>
      <c r="D9" s="44">
        <v>1923530</v>
      </c>
      <c r="E9" s="44" t="s">
        <v>652</v>
      </c>
      <c r="F9" s="315">
        <v>2</v>
      </c>
      <c r="G9" s="21"/>
      <c r="H9" s="353">
        <v>1088</v>
      </c>
      <c r="I9" s="33">
        <v>0.53</v>
      </c>
      <c r="J9" s="24">
        <f>IFERROR(K9/H9,"")</f>
        <v>0.52163602941176468</v>
      </c>
      <c r="K9" s="22">
        <f>14188.5/50*F9</f>
        <v>567.54</v>
      </c>
      <c r="L9" s="21"/>
      <c r="M9" s="21"/>
      <c r="N9" s="21"/>
      <c r="O9" s="21"/>
      <c r="P9" s="21"/>
      <c r="Q9" s="21"/>
      <c r="R9" s="21"/>
      <c r="S9" s="21"/>
      <c r="T9" s="21"/>
      <c r="U9" s="25">
        <v>200</v>
      </c>
      <c r="V9" s="25">
        <f>H9*U9*I9/15</f>
        <v>7688.5333333333338</v>
      </c>
      <c r="W9" s="25">
        <f>(464583.19/28735)*15</f>
        <v>242.51776057073258</v>
      </c>
      <c r="X9" s="25">
        <f>IFERROR(IFERROR((H9*W9*J9/15),""),"")</f>
        <v>9175.901988954236</v>
      </c>
      <c r="Y9" s="25">
        <f>IF(B9="FRANCISCO CAMACHO",((F9*42)+(G9*42)),IF(B9="DANILO VIANA",((F9*60)+(G9*60)),IF(B9="ANTONIO MARCUS ALBINO",((F9*60)+(G9*60)),0)))</f>
        <v>120</v>
      </c>
      <c r="Z9" s="307">
        <f>13878.6/50*F9</f>
        <v>555.14400000000001</v>
      </c>
      <c r="AA9" s="25">
        <v>0</v>
      </c>
      <c r="AB9" s="307">
        <f>1370/50*F9</f>
        <v>54.8</v>
      </c>
      <c r="AC9" s="25">
        <f>F9*38</f>
        <v>76</v>
      </c>
      <c r="AD9" s="25">
        <f>IF(F9="",G9*4.11,F9*4.11)</f>
        <v>8.2200000000000006</v>
      </c>
      <c r="AE9" s="25">
        <f>IFERROR(IFERROR((X9*0.2%),""),"")</f>
        <v>18.351803977908471</v>
      </c>
      <c r="AF9" s="25">
        <f>V9+Y9+Z9+AA9+AB9+AC9+AD9</f>
        <v>8502.6973333333317</v>
      </c>
      <c r="AG9" s="25">
        <f>IFERROR(IFERROR((H9*W9*J9/15)-AE9,""),"")</f>
        <v>9157.5501849763277</v>
      </c>
      <c r="AH9" s="26">
        <f>IFERROR(AG9-AF9,0)</f>
        <v>654.85285164299603</v>
      </c>
      <c r="AI9" s="25">
        <f>(F9+G9)/$AL$7*$AL$30</f>
        <v>36.422069693769792</v>
      </c>
      <c r="AJ9" s="25">
        <f>(AH9-AI9)*70%</f>
        <v>432.90154736445834</v>
      </c>
      <c r="AL9" s="11"/>
      <c r="AM9" s="11"/>
    </row>
    <row r="10" spans="1:41" x14ac:dyDescent="0.35">
      <c r="A10" s="21"/>
      <c r="B10" s="21"/>
      <c r="C10" s="21"/>
      <c r="D10" s="21"/>
      <c r="E10" s="21"/>
      <c r="F10" s="21"/>
      <c r="G10" s="21"/>
      <c r="H10" s="353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5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327.42642582149801</v>
      </c>
      <c r="AI10" s="21"/>
      <c r="AJ10" s="21"/>
    </row>
    <row r="11" spans="1:41" x14ac:dyDescent="0.35">
      <c r="A11" s="21"/>
      <c r="B11" s="21"/>
      <c r="C11" s="21"/>
      <c r="D11" s="21"/>
      <c r="E11" s="21"/>
      <c r="F11" s="21"/>
      <c r="G11" s="21"/>
      <c r="H11" s="353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7.1509611022097699E-2</v>
      </c>
      <c r="AI11" s="21"/>
      <c r="AJ11" s="21"/>
      <c r="AL11" s="180" t="s">
        <v>187</v>
      </c>
      <c r="AM11" s="184" t="s">
        <v>680</v>
      </c>
      <c r="AN11" s="191"/>
      <c r="AO11" s="180" t="s">
        <v>1</v>
      </c>
    </row>
    <row r="12" spans="1:41" x14ac:dyDescent="0.35">
      <c r="A12" s="21"/>
      <c r="B12" s="21"/>
      <c r="C12" s="21"/>
      <c r="D12" s="21"/>
      <c r="E12" s="21"/>
      <c r="F12" s="21"/>
      <c r="G12" s="21"/>
      <c r="H12" s="353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  <c r="AI12" s="21"/>
      <c r="AJ12" s="21"/>
      <c r="AL12" s="347">
        <v>236</v>
      </c>
      <c r="AM12" s="217" t="s">
        <v>952</v>
      </c>
      <c r="AN12" s="172"/>
      <c r="AO12" s="348">
        <v>45355</v>
      </c>
    </row>
    <row r="13" spans="1:41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356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  <c r="AL13" s="208">
        <v>1500</v>
      </c>
      <c r="AM13" s="6" t="s">
        <v>1007</v>
      </c>
      <c r="AN13" s="6"/>
      <c r="AO13" s="346">
        <v>45356</v>
      </c>
    </row>
    <row r="14" spans="1:41" x14ac:dyDescent="0.35">
      <c r="A14" s="20">
        <v>45353</v>
      </c>
      <c r="B14" s="21" t="s">
        <v>632</v>
      </c>
      <c r="C14" s="21" t="s">
        <v>974</v>
      </c>
      <c r="D14" s="44">
        <v>1923523</v>
      </c>
      <c r="E14" s="44" t="s">
        <v>652</v>
      </c>
      <c r="F14" s="271">
        <v>49</v>
      </c>
      <c r="G14" s="21"/>
      <c r="H14" s="353">
        <f>52560/100*50</f>
        <v>26280</v>
      </c>
      <c r="I14" s="33">
        <v>0.54</v>
      </c>
      <c r="J14" s="24">
        <f>IFERROR(K14/H14,"")</f>
        <v>0.53549342714312165</v>
      </c>
      <c r="K14" s="22">
        <v>14072.767265321236</v>
      </c>
      <c r="L14" s="316">
        <v>7</v>
      </c>
      <c r="M14" s="316">
        <v>25</v>
      </c>
      <c r="N14" s="316">
        <v>15</v>
      </c>
      <c r="O14" s="316">
        <v>1</v>
      </c>
      <c r="P14" s="316">
        <v>1</v>
      </c>
      <c r="Q14" s="21"/>
      <c r="R14" s="21"/>
      <c r="S14" s="21"/>
      <c r="T14" s="21"/>
      <c r="U14" s="25">
        <v>220</v>
      </c>
      <c r="V14" s="25">
        <f>H14*U14*I14/15</f>
        <v>208137.60000000001</v>
      </c>
      <c r="W14" s="25">
        <f>(470481.66/28922)*15</f>
        <v>244.0088825115829</v>
      </c>
      <c r="X14" s="25">
        <f>IFERROR(IFERROR((H14*W14*J14/15),""),"")</f>
        <v>228925.34761710797</v>
      </c>
      <c r="Y14" s="25">
        <f>IF(B14="FRANCISCO CAMACHO",((F14*42)+(G14*42)),IF(B14="DANILO VIANA",((F14*60)+(G14*60)),IF(B14="ANTONIO MARCUS ALBINO",((F14*60)+(G14*60)),0)))</f>
        <v>2058</v>
      </c>
      <c r="Z14" s="307">
        <f>32861.2/100*50</f>
        <v>16430.599999999999</v>
      </c>
      <c r="AA14" s="25">
        <v>0</v>
      </c>
      <c r="AB14" s="329">
        <f>U14*15%*50</f>
        <v>1650</v>
      </c>
      <c r="AC14" s="25">
        <v>0</v>
      </c>
      <c r="AD14" s="25">
        <f>IF(F14="",G14*4.11,F14*4.11)</f>
        <v>201.39000000000001</v>
      </c>
      <c r="AE14" s="25">
        <f>IFERROR(IFERROR((X14*0.2%),""),"")</f>
        <v>457.85069523421595</v>
      </c>
      <c r="AF14" s="25">
        <f>V14+Y14+Z14+AA14+AB14+AC14+AD14</f>
        <v>228477.59000000003</v>
      </c>
      <c r="AG14" s="25">
        <f>IFERROR(IFERROR((H14*W14*J14/15)-AE14,""),"")</f>
        <v>228467.49692187374</v>
      </c>
      <c r="AH14" s="26">
        <f>IFERROR(AG14-AF14,0)</f>
        <v>-10.093078126286855</v>
      </c>
      <c r="AI14" s="25">
        <f>(F14+G14)/$AL$7*$AL$30</f>
        <v>892.34070749735997</v>
      </c>
      <c r="AJ14" s="25">
        <f>(AH14-AI14)*70%</f>
        <v>-631.70364993655278</v>
      </c>
      <c r="AL14" s="208">
        <v>400</v>
      </c>
      <c r="AM14" s="6" t="s">
        <v>1004</v>
      </c>
      <c r="AO14" s="346">
        <v>45357</v>
      </c>
    </row>
    <row r="15" spans="1:41" x14ac:dyDescent="0.35">
      <c r="A15" s="21"/>
      <c r="B15" s="21"/>
      <c r="C15" s="21"/>
      <c r="D15" s="21"/>
      <c r="E15" s="21"/>
      <c r="F15" s="21"/>
      <c r="G15" s="21"/>
      <c r="H15" s="353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-0.20598118625075215</v>
      </c>
      <c r="AI15" s="21"/>
      <c r="AJ15" s="21"/>
      <c r="AL15" s="208">
        <v>800</v>
      </c>
      <c r="AM15" s="6" t="s">
        <v>1005</v>
      </c>
      <c r="AO15" s="346">
        <v>45357</v>
      </c>
    </row>
    <row r="16" spans="1:41" x14ac:dyDescent="0.35">
      <c r="A16" s="21"/>
      <c r="B16" s="21"/>
      <c r="C16" s="21"/>
      <c r="D16" s="21"/>
      <c r="E16" s="21"/>
      <c r="F16" s="21"/>
      <c r="G16" s="21"/>
      <c r="H16" s="353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-4.417730426546522E-5</v>
      </c>
      <c r="AI16" s="21"/>
      <c r="AJ16" s="21"/>
      <c r="AL16" s="390">
        <v>120</v>
      </c>
      <c r="AM16" s="389" t="s">
        <v>1008</v>
      </c>
      <c r="AN16" s="389"/>
      <c r="AO16" s="391">
        <v>45357</v>
      </c>
    </row>
    <row r="17" spans="1:41" x14ac:dyDescent="0.35">
      <c r="A17" s="21"/>
      <c r="B17" s="21"/>
      <c r="C17" s="21"/>
      <c r="D17" s="21"/>
      <c r="E17" s="21"/>
      <c r="F17" s="21"/>
      <c r="G17" s="21"/>
      <c r="H17" s="353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  <c r="AI17" s="21"/>
      <c r="AJ17" s="21"/>
      <c r="AL17" s="390"/>
      <c r="AM17" s="389"/>
      <c r="AN17" s="389"/>
      <c r="AO17" s="392"/>
    </row>
    <row r="18" spans="1:41" ht="15" customHeight="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356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390">
        <v>1979</v>
      </c>
      <c r="AM18" s="389" t="s">
        <v>1009</v>
      </c>
      <c r="AN18" s="389"/>
      <c r="AO18" s="391">
        <v>45357</v>
      </c>
    </row>
    <row r="19" spans="1:41" x14ac:dyDescent="0.35">
      <c r="A19" s="20">
        <v>45353</v>
      </c>
      <c r="B19" s="21" t="s">
        <v>632</v>
      </c>
      <c r="C19" s="21" t="s">
        <v>974</v>
      </c>
      <c r="D19" s="44">
        <v>1923530</v>
      </c>
      <c r="E19" s="44" t="s">
        <v>652</v>
      </c>
      <c r="F19" s="271">
        <v>50</v>
      </c>
      <c r="G19" s="21"/>
      <c r="H19" s="353">
        <f>52560/100*F19</f>
        <v>26280</v>
      </c>
      <c r="I19" s="33">
        <v>0.54</v>
      </c>
      <c r="J19" s="24">
        <f>IFERROR(K19/H19,"")</f>
        <v>0.55351978691019788</v>
      </c>
      <c r="K19" s="22">
        <f>14546.5/50*F19</f>
        <v>14546.5</v>
      </c>
      <c r="L19" s="21">
        <v>20</v>
      </c>
      <c r="M19" s="21">
        <v>27</v>
      </c>
      <c r="N19" s="21">
        <v>2</v>
      </c>
      <c r="O19" s="21">
        <v>1</v>
      </c>
      <c r="P19" s="21"/>
      <c r="Q19" s="21"/>
      <c r="R19" s="21"/>
      <c r="S19" s="21"/>
      <c r="T19" s="21"/>
      <c r="U19" s="25">
        <v>220</v>
      </c>
      <c r="V19" s="25">
        <f>H19*U19*I19/15</f>
        <v>208137.60000000001</v>
      </c>
      <c r="W19" s="25">
        <f>(464583.19/28735)*15</f>
        <v>242.51776057073258</v>
      </c>
      <c r="X19" s="25">
        <f>IFERROR(IFERROR((H19*W19*J19/15),""),"")</f>
        <v>235185.64027614408</v>
      </c>
      <c r="Y19" s="25">
        <f>IF(B19="FRANCISCO CAMACHO",((F19*42)+(G19*42)),IF(B19="DANILO VIANA",((F19*60)+(G19*60)),IF(B19="ANTONIO MARCUS ALBINO",((F19*60)+(G19*60)),0)))</f>
        <v>2100</v>
      </c>
      <c r="Z19" s="307">
        <f>32861.2/100*F19</f>
        <v>16430.599999999999</v>
      </c>
      <c r="AA19" s="25">
        <v>0</v>
      </c>
      <c r="AB19" s="329">
        <f>U19*15%*F19</f>
        <v>1650</v>
      </c>
      <c r="AC19" s="25">
        <v>0</v>
      </c>
      <c r="AD19" s="25">
        <f>IF(F19="",G19*4.11,F19*4.11)</f>
        <v>205.50000000000003</v>
      </c>
      <c r="AE19" s="25">
        <f>IFERROR(IFERROR((X19*0.2%),""),"")</f>
        <v>470.37128055228817</v>
      </c>
      <c r="AF19" s="25">
        <f>V19+Y19+Z19+AA19+AB19+AC19+AD19</f>
        <v>228523.7</v>
      </c>
      <c r="AG19" s="25">
        <f>IFERROR(IFERROR((H19*W19*J19/15)-AE19,""),"")</f>
        <v>234715.26899559179</v>
      </c>
      <c r="AH19" s="26">
        <f>IFERROR(AG19-AF19,0)</f>
        <v>6191.5689955917769</v>
      </c>
      <c r="AI19" s="25">
        <f>(F19+G19)/$AL$7*$AL$30</f>
        <v>910.55174234424487</v>
      </c>
      <c r="AJ19" s="25">
        <f>(AH19-AI19)*70%</f>
        <v>3696.7120772732719</v>
      </c>
      <c r="AL19" s="390"/>
      <c r="AM19" s="389"/>
      <c r="AN19" s="389"/>
      <c r="AO19" s="392"/>
    </row>
    <row r="20" spans="1:41" x14ac:dyDescent="0.35">
      <c r="A20" s="21"/>
      <c r="B20" s="21"/>
      <c r="C20" s="21"/>
      <c r="D20" s="21"/>
      <c r="E20" s="21"/>
      <c r="F20" s="21"/>
      <c r="G20" s="21"/>
      <c r="H20" s="353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123.83137991183554</v>
      </c>
      <c r="AI20" s="21"/>
      <c r="AJ20" s="21"/>
      <c r="AL20" s="208">
        <v>1412</v>
      </c>
      <c r="AM20" s="6" t="s">
        <v>1010</v>
      </c>
      <c r="AO20" s="346">
        <v>45357</v>
      </c>
    </row>
    <row r="21" spans="1:41" x14ac:dyDescent="0.35">
      <c r="A21" s="21"/>
      <c r="B21" s="21"/>
      <c r="C21" s="21"/>
      <c r="D21" s="21"/>
      <c r="E21" s="21"/>
      <c r="F21" s="21"/>
      <c r="G21" s="21"/>
      <c r="H21" s="353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2.6379063544042639E-2</v>
      </c>
      <c r="AI21" s="21"/>
      <c r="AJ21" s="21"/>
      <c r="AL21" s="208">
        <v>1750</v>
      </c>
      <c r="AM21" s="6" t="s">
        <v>1011</v>
      </c>
      <c r="AO21" s="346">
        <v>45357</v>
      </c>
    </row>
    <row r="22" spans="1:41" x14ac:dyDescent="0.35">
      <c r="A22" s="21"/>
      <c r="B22" s="21"/>
      <c r="C22" s="21"/>
      <c r="D22" s="21"/>
      <c r="E22" s="21"/>
      <c r="F22" s="21"/>
      <c r="G22" s="21"/>
      <c r="H22" s="353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I22" s="47"/>
      <c r="AJ22" s="47"/>
      <c r="AL22" s="208">
        <v>2000</v>
      </c>
      <c r="AM22" s="6" t="s">
        <v>1012</v>
      </c>
      <c r="AO22" s="346">
        <v>45357</v>
      </c>
    </row>
    <row r="23" spans="1:4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356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54" t="s">
        <v>17</v>
      </c>
      <c r="AI23" s="14" t="s">
        <v>679</v>
      </c>
      <c r="AJ23" s="14" t="s">
        <v>678</v>
      </c>
      <c r="AL23" s="208">
        <v>3500</v>
      </c>
      <c r="AM23" t="s">
        <v>1013</v>
      </c>
      <c r="AO23" s="346">
        <v>45357</v>
      </c>
    </row>
    <row r="24" spans="1:41" x14ac:dyDescent="0.35">
      <c r="A24" s="20">
        <v>45356</v>
      </c>
      <c r="B24" s="21" t="s">
        <v>911</v>
      </c>
      <c r="C24" s="21" t="s">
        <v>242</v>
      </c>
      <c r="D24" s="44">
        <v>1923632</v>
      </c>
      <c r="E24" s="44" t="s">
        <v>652</v>
      </c>
      <c r="F24" s="21">
        <v>100</v>
      </c>
      <c r="G24" s="21"/>
      <c r="H24" s="353">
        <v>48660</v>
      </c>
      <c r="I24" s="33">
        <v>0.55000000000000004</v>
      </c>
      <c r="J24" s="24">
        <f>IFERROR(K24/H24,"")</f>
        <v>0.5429510891903</v>
      </c>
      <c r="K24" s="22">
        <v>26420</v>
      </c>
      <c r="L24" s="21">
        <v>11</v>
      </c>
      <c r="M24" s="21">
        <v>50</v>
      </c>
      <c r="N24" s="21">
        <v>30</v>
      </c>
      <c r="O24" s="21">
        <v>9</v>
      </c>
      <c r="P24" s="21"/>
      <c r="Q24" s="21"/>
      <c r="R24" s="21"/>
      <c r="S24" s="21"/>
      <c r="T24" s="21"/>
      <c r="U24" s="25">
        <v>222</v>
      </c>
      <c r="V24" s="25">
        <f>H24*U24*I24/15</f>
        <v>396092.40000000008</v>
      </c>
      <c r="W24" s="25">
        <f>(419675.33/26420)*15</f>
        <v>238.27138342165026</v>
      </c>
      <c r="X24" s="25">
        <f>IFERROR(IFERROR((H24*W24*J24/15),""),"")</f>
        <v>419675.32999999996</v>
      </c>
      <c r="Y24" s="25">
        <f>IF(B24="FRANCISCO CAMACHO",((F24*42)+(G24*42)),IF(B24="DANILO VIANA",((F24*60)+(G24*60)),IF(B24="ANTONIO MARCUS ALBINO",((F24*60)+(G24*60)),0)))</f>
        <v>6000</v>
      </c>
      <c r="Z24" s="307">
        <f>10968.6+10959.7</f>
        <v>21928.300000000003</v>
      </c>
      <c r="AA24" s="25">
        <v>0</v>
      </c>
      <c r="AB24" s="307">
        <v>2775</v>
      </c>
      <c r="AC24" s="25">
        <f>F24*38</f>
        <v>3800</v>
      </c>
      <c r="AD24" s="25">
        <f>IF(F24="",G24*4.11,F24*4.11)</f>
        <v>411.00000000000006</v>
      </c>
      <c r="AE24" s="25">
        <f>IFERROR(IFERROR((X24*0.2%),""),"")</f>
        <v>839.35065999999995</v>
      </c>
      <c r="AF24" s="25">
        <f>V24+Y24+Z24+AA24+AB24+AC24+AD24</f>
        <v>431006.70000000007</v>
      </c>
      <c r="AG24" s="25">
        <f>IFERROR(IFERROR((H24*W24*J24/15)-AE24,""),"")</f>
        <v>418835.97933999996</v>
      </c>
      <c r="AH24" s="26">
        <f>IFERROR(AG24-AF24,0)</f>
        <v>-12170.720660000108</v>
      </c>
      <c r="AI24" s="25">
        <f>(F24+G24)/$AL$7*$AL$30</f>
        <v>1821.1034846884897</v>
      </c>
      <c r="AJ24" s="25">
        <f>(AH24-AI24)*70%</f>
        <v>-9794.276901282019</v>
      </c>
      <c r="AL24" s="208">
        <v>3312.85</v>
      </c>
      <c r="AM24" s="294" t="s">
        <v>1014</v>
      </c>
      <c r="AO24" s="346">
        <v>45358</v>
      </c>
    </row>
    <row r="25" spans="1:41" x14ac:dyDescent="0.35">
      <c r="A25" s="21"/>
      <c r="B25" s="21"/>
      <c r="C25" s="21"/>
      <c r="D25" s="21"/>
      <c r="E25" s="21"/>
      <c r="F25" s="21"/>
      <c r="G25" s="21"/>
      <c r="H25" s="353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-121.70720660000109</v>
      </c>
      <c r="AI25" s="21"/>
      <c r="AJ25" s="21"/>
      <c r="AL25" s="208">
        <v>236</v>
      </c>
      <c r="AM25" s="6" t="s">
        <v>952</v>
      </c>
      <c r="AO25" s="346">
        <v>45359</v>
      </c>
    </row>
    <row r="26" spans="1:41" x14ac:dyDescent="0.35">
      <c r="A26" s="21"/>
      <c r="B26" s="21"/>
      <c r="C26" s="21"/>
      <c r="D26" s="21"/>
      <c r="E26" s="21"/>
      <c r="F26" s="21"/>
      <c r="G26" s="21"/>
      <c r="H26" s="353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-2.9058441156795269E-2</v>
      </c>
      <c r="AI26" s="21"/>
      <c r="AJ26" s="21"/>
      <c r="AL26" s="219"/>
      <c r="AO26" s="174"/>
    </row>
    <row r="27" spans="1:41" x14ac:dyDescent="0.35">
      <c r="A27" s="21"/>
      <c r="B27" s="21"/>
      <c r="C27" s="21"/>
      <c r="D27" s="21"/>
      <c r="E27" s="21"/>
      <c r="F27" s="21"/>
      <c r="G27" s="21"/>
      <c r="H27" s="353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I27" s="21"/>
      <c r="AJ27" s="21"/>
      <c r="AL27" s="219"/>
      <c r="AO27" s="174"/>
    </row>
    <row r="28" spans="1:4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356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9"/>
      <c r="AO28" s="174"/>
    </row>
    <row r="29" spans="1:41" x14ac:dyDescent="0.35">
      <c r="A29" s="20">
        <v>45356</v>
      </c>
      <c r="B29" s="21" t="s">
        <v>976</v>
      </c>
      <c r="C29" s="21" t="s">
        <v>838</v>
      </c>
      <c r="D29" s="44">
        <v>1925949</v>
      </c>
      <c r="E29" s="44" t="s">
        <v>652</v>
      </c>
      <c r="F29" s="21">
        <v>150</v>
      </c>
      <c r="G29" s="21"/>
      <c r="H29" s="353">
        <v>84392</v>
      </c>
      <c r="I29" s="33">
        <v>0.55000000000000004</v>
      </c>
      <c r="J29" s="24">
        <f>IFERROR(K29/H29,"")</f>
        <v>0.53236088728789455</v>
      </c>
      <c r="K29" s="22">
        <v>44927</v>
      </c>
      <c r="L29" s="21">
        <v>9</v>
      </c>
      <c r="M29" s="21">
        <v>92</v>
      </c>
      <c r="N29" s="21">
        <v>43</v>
      </c>
      <c r="O29" s="21">
        <v>6</v>
      </c>
      <c r="P29" s="21"/>
      <c r="Q29" s="21"/>
      <c r="R29" s="21"/>
      <c r="S29" s="21"/>
      <c r="T29" s="21"/>
      <c r="U29" s="25">
        <v>210</v>
      </c>
      <c r="V29" s="25">
        <f>H29*U29*I29/15</f>
        <v>649818.4</v>
      </c>
      <c r="W29" s="25">
        <f>(1408086.5/88710)*15</f>
        <v>238.09376056814338</v>
      </c>
      <c r="X29" s="25">
        <f>IFERROR(IFERROR((H29*W29*J29/15),""),"")</f>
        <v>713122.55873633176</v>
      </c>
      <c r="Y29" s="25">
        <f>F29*42</f>
        <v>6300</v>
      </c>
      <c r="Z29" s="307">
        <v>69896.11</v>
      </c>
      <c r="AA29" s="25">
        <v>0</v>
      </c>
      <c r="AB29" s="307">
        <v>3937.5</v>
      </c>
      <c r="AC29" s="25">
        <v>0</v>
      </c>
      <c r="AD29" s="25">
        <f>IF(F29="",G29*4.11,F29*4.11)</f>
        <v>616.5</v>
      </c>
      <c r="AE29" s="25">
        <f>IFERROR(IFERROR((X29*0.2%),""),"")</f>
        <v>1426.2451174726637</v>
      </c>
      <c r="AF29" s="25">
        <f>V29+Y29+Z29+AA29+AB29+AC29+AD29</f>
        <v>730568.51</v>
      </c>
      <c r="AG29" s="25">
        <f>IFERROR(IFERROR((H29*W29*J29/15)-AE29,""),"")</f>
        <v>711696.31361885904</v>
      </c>
      <c r="AH29" s="26">
        <f>IFERROR(AG29-AF29,0)</f>
        <v>-18872.196381140966</v>
      </c>
      <c r="AI29" s="25">
        <f>(F29+G29)/$AL$7*$AL$30</f>
        <v>2731.6552270327347</v>
      </c>
      <c r="AJ29" s="25">
        <f>(AH29-AI29)*70%</f>
        <v>-15122.696125721588</v>
      </c>
      <c r="AL29" s="219"/>
      <c r="AO29" s="174"/>
    </row>
    <row r="30" spans="1:41" x14ac:dyDescent="0.35">
      <c r="A30" s="21"/>
      <c r="B30" s="21"/>
      <c r="C30" s="21"/>
      <c r="D30" s="21"/>
      <c r="E30" s="21"/>
      <c r="F30" s="21"/>
      <c r="G30" s="21"/>
      <c r="H30" s="353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-125.81464254093977</v>
      </c>
      <c r="AI30" s="21"/>
      <c r="AJ30" s="21"/>
      <c r="AL30" s="179">
        <f>SUM(AL12:AL29)</f>
        <v>17245.849999999999</v>
      </c>
      <c r="AM30" s="349" t="s">
        <v>673</v>
      </c>
      <c r="AN30" s="176"/>
      <c r="AO30" s="297"/>
    </row>
    <row r="31" spans="1:41" x14ac:dyDescent="0.35">
      <c r="A31" s="21"/>
      <c r="B31" s="21"/>
      <c r="C31" s="21"/>
      <c r="D31" s="21"/>
      <c r="E31" s="21"/>
      <c r="F31" s="21"/>
      <c r="G31" s="21"/>
      <c r="H31" s="353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-2.6517204065845082E-2</v>
      </c>
      <c r="AI31" s="21"/>
      <c r="AJ31" s="21"/>
      <c r="AL31" s="57"/>
      <c r="AM31" s="6"/>
    </row>
    <row r="32" spans="1:41" x14ac:dyDescent="0.35">
      <c r="A32" s="21"/>
      <c r="B32" s="21"/>
      <c r="C32" s="21"/>
      <c r="D32" s="21"/>
      <c r="E32" s="21"/>
      <c r="F32" s="21"/>
      <c r="G32" s="21"/>
      <c r="H32" s="353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21"/>
      <c r="AJ32" s="21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356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7"/>
      <c r="AM33" s="118" t="s">
        <v>22</v>
      </c>
      <c r="AN33" s="12"/>
    </row>
    <row r="34" spans="1:40" x14ac:dyDescent="0.35">
      <c r="A34" s="20">
        <v>45356</v>
      </c>
      <c r="B34" s="21" t="s">
        <v>977</v>
      </c>
      <c r="C34" s="21" t="s">
        <v>919</v>
      </c>
      <c r="D34" s="44">
        <v>1925949</v>
      </c>
      <c r="E34" s="14" t="s">
        <v>652</v>
      </c>
      <c r="F34" s="21">
        <f>26</f>
        <v>26</v>
      </c>
      <c r="G34" s="14"/>
      <c r="H34" s="353">
        <f>13214</f>
        <v>13214</v>
      </c>
      <c r="I34" s="33">
        <v>0.54</v>
      </c>
      <c r="J34" s="24">
        <f>IFERROR(K34/H34,"")</f>
        <v>0.53829877402754656</v>
      </c>
      <c r="K34" s="22">
        <f>13679/50*F34</f>
        <v>7113.08</v>
      </c>
      <c r="L34" s="21">
        <v>2</v>
      </c>
      <c r="M34" s="21">
        <v>15</v>
      </c>
      <c r="N34" s="21">
        <v>8</v>
      </c>
      <c r="O34" s="21">
        <v>1</v>
      </c>
      <c r="P34" s="21"/>
      <c r="Q34" s="14"/>
      <c r="R34" s="14"/>
      <c r="S34" s="14"/>
      <c r="T34" s="14"/>
      <c r="U34" s="25">
        <v>210</v>
      </c>
      <c r="V34" s="25">
        <f>H34*U34*I34/15+0.04</f>
        <v>99897.88</v>
      </c>
      <c r="W34" s="25">
        <f>(1408086.5/88710)*15</f>
        <v>238.09376056814338</v>
      </c>
      <c r="X34" s="25">
        <f>IFERROR(IFERROR((H34*W34*J34/15),""),"")</f>
        <v>112905.33109480329</v>
      </c>
      <c r="Y34" s="25">
        <f>F34*42</f>
        <v>1092</v>
      </c>
      <c r="Z34" s="307">
        <f>28179.76/50*F34</f>
        <v>14653.475199999999</v>
      </c>
      <c r="AA34" s="25">
        <v>0</v>
      </c>
      <c r="AB34" s="307">
        <f>1290/50*F34</f>
        <v>670.80000000000007</v>
      </c>
      <c r="AC34" s="25">
        <v>0</v>
      </c>
      <c r="AD34" s="25">
        <f>IF(F34="",G34*4.11,F34*4.11)</f>
        <v>106.86000000000001</v>
      </c>
      <c r="AE34" s="25">
        <f>IFERROR(IFERROR((X34*0.2%),""),"")</f>
        <v>225.81066218960657</v>
      </c>
      <c r="AF34" s="25">
        <f>V34+Y34+Z34+AA34+AB34+AC34+AD34</f>
        <v>116421.01520000001</v>
      </c>
      <c r="AG34" s="25">
        <f>IFERROR(IFERROR((H34*W34*J34/15)-AE34,""),"")</f>
        <v>112679.52043261369</v>
      </c>
      <c r="AH34" s="26">
        <f>IFERROR(AG34-AF34,0)</f>
        <v>-3741.4947673863207</v>
      </c>
      <c r="AI34" s="25">
        <f>(F34+G34)/$AL$7*$AL$30</f>
        <v>473.48690601900734</v>
      </c>
      <c r="AJ34" s="25">
        <f>(AH34-AI34)*70%</f>
        <v>-2950.4871713837297</v>
      </c>
      <c r="AL34" s="368">
        <f>AL8-AL30</f>
        <v>-11998.877044793604</v>
      </c>
      <c r="AM34" s="248">
        <f>AL34*30%</f>
        <v>-3599.6631134380809</v>
      </c>
      <c r="AN34" s="12"/>
    </row>
    <row r="35" spans="1:40" x14ac:dyDescent="0.35">
      <c r="A35" s="21"/>
      <c r="B35" s="21"/>
      <c r="C35" s="21"/>
      <c r="D35" s="21"/>
      <c r="E35" s="21"/>
      <c r="F35" s="21"/>
      <c r="G35" s="21"/>
      <c r="H35" s="353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-143.90364489947387</v>
      </c>
      <c r="AI35" s="21"/>
      <c r="AJ35" s="21"/>
      <c r="AL35" s="57"/>
      <c r="AM35" s="249"/>
      <c r="AN35" s="246"/>
    </row>
    <row r="36" spans="1:40" x14ac:dyDescent="0.35">
      <c r="A36" s="21"/>
      <c r="B36" s="21"/>
      <c r="C36" s="21"/>
      <c r="D36" s="21"/>
      <c r="E36" s="21"/>
      <c r="F36" s="21"/>
      <c r="G36" s="21"/>
      <c r="H36" s="353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-3.3204745219197716E-2</v>
      </c>
      <c r="AI36" s="21"/>
      <c r="AJ36" s="21"/>
      <c r="AL36" s="57"/>
      <c r="AM36" s="248">
        <f>'02.03.24'!AM32</f>
        <v>-24591.75211365533</v>
      </c>
      <c r="AN36" s="1" t="s">
        <v>1027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353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21"/>
      <c r="AJ37" s="21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356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  <c r="AM38" s="313">
        <f>AM34+AM36</f>
        <v>-28191.41522709341</v>
      </c>
      <c r="AN38" s="314" t="s">
        <v>1023</v>
      </c>
    </row>
    <row r="39" spans="1:40" x14ac:dyDescent="0.35">
      <c r="A39" s="20">
        <v>45356</v>
      </c>
      <c r="B39" s="21" t="s">
        <v>977</v>
      </c>
      <c r="C39" s="21" t="s">
        <v>919</v>
      </c>
      <c r="D39" s="44">
        <v>1925949</v>
      </c>
      <c r="E39" s="14" t="s">
        <v>652</v>
      </c>
      <c r="F39" s="21">
        <v>15</v>
      </c>
      <c r="G39" s="14"/>
      <c r="H39" s="353">
        <v>7272</v>
      </c>
      <c r="I39" s="33">
        <v>0.53</v>
      </c>
      <c r="J39" s="24">
        <f>IFERROR(K39/H39,"")</f>
        <v>0.56431518151815174</v>
      </c>
      <c r="K39" s="22">
        <f>13679/50*F39</f>
        <v>4103.7</v>
      </c>
      <c r="L39" s="21">
        <v>1</v>
      </c>
      <c r="M39" s="21">
        <v>8</v>
      </c>
      <c r="N39" s="21">
        <v>4</v>
      </c>
      <c r="O39" s="21">
        <v>1</v>
      </c>
      <c r="P39" s="21">
        <v>1</v>
      </c>
      <c r="Q39" s="14"/>
      <c r="R39" s="14"/>
      <c r="S39" s="14"/>
      <c r="T39" s="14"/>
      <c r="U39" s="25">
        <v>210</v>
      </c>
      <c r="V39" s="25">
        <f>H39*U39*I39/15</f>
        <v>53958.240000000005</v>
      </c>
      <c r="W39" s="25">
        <f>(1408086.5/88710)*15</f>
        <v>238.09376056814338</v>
      </c>
      <c r="X39" s="25">
        <f>IFERROR(IFERROR((H39*W39*J39/15),""),"")</f>
        <v>65137.69101623266</v>
      </c>
      <c r="Y39" s="25">
        <f>F39*42</f>
        <v>630</v>
      </c>
      <c r="Z39" s="307">
        <f>28179.76/50*F39</f>
        <v>8453.9279999999999</v>
      </c>
      <c r="AA39" s="25">
        <v>0</v>
      </c>
      <c r="AB39" s="307">
        <f>1290/50*F39</f>
        <v>387</v>
      </c>
      <c r="AC39" s="25">
        <v>0</v>
      </c>
      <c r="AD39" s="25">
        <f>IF(F39="",G39*4.11,F39*4.11)</f>
        <v>61.650000000000006</v>
      </c>
      <c r="AE39" s="25">
        <f>IFERROR(IFERROR((X39*0.2%),""),"")</f>
        <v>130.27538203246533</v>
      </c>
      <c r="AF39" s="25">
        <f>V39+Y39+Z39+AA39+AB39+AC39+AD39</f>
        <v>63490.818000000007</v>
      </c>
      <c r="AG39" s="25">
        <f>IFERROR(IFERROR((H39*W39*J39/15)-AE39,""),"")</f>
        <v>65007.415634200195</v>
      </c>
      <c r="AH39" s="26">
        <f>IFERROR(AG39-AF39,0)</f>
        <v>1516.5976342001886</v>
      </c>
      <c r="AI39" s="25">
        <f>(F39+G39)/$AL$7*$AL$30</f>
        <v>273.16552270327344</v>
      </c>
      <c r="AJ39" s="25">
        <f>(AH39-AI39)*70%</f>
        <v>870.40247804784065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353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101.10650894667924</v>
      </c>
      <c r="AI40" s="21"/>
      <c r="AJ40" s="21"/>
    </row>
    <row r="41" spans="1:40" x14ac:dyDescent="0.35">
      <c r="A41" s="21"/>
      <c r="B41" s="21"/>
      <c r="C41" s="21"/>
      <c r="D41" s="21"/>
      <c r="E41" s="21"/>
      <c r="F41" s="21"/>
      <c r="G41" s="21"/>
      <c r="H41" s="353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2.3329609697671345E-2</v>
      </c>
      <c r="AI41" s="21"/>
      <c r="AJ41" s="21"/>
      <c r="AL41" s="57"/>
      <c r="AM41" s="6"/>
    </row>
    <row r="42" spans="1:40" x14ac:dyDescent="0.35">
      <c r="A42" s="21"/>
      <c r="B42" s="21"/>
      <c r="C42" s="21"/>
      <c r="D42" s="21"/>
      <c r="E42" s="21"/>
      <c r="F42" s="21"/>
      <c r="G42" s="21"/>
      <c r="H42" s="353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21"/>
      <c r="AJ42" s="21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356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45356</v>
      </c>
      <c r="B44" s="21" t="s">
        <v>977</v>
      </c>
      <c r="C44" s="21" t="s">
        <v>919</v>
      </c>
      <c r="D44" s="44">
        <v>1925949</v>
      </c>
      <c r="E44" s="14" t="s">
        <v>652</v>
      </c>
      <c r="F44" s="21">
        <v>9</v>
      </c>
      <c r="G44" s="14"/>
      <c r="H44" s="353">
        <v>4709</v>
      </c>
      <c r="I44" s="33">
        <v>0.5</v>
      </c>
      <c r="J44" s="24">
        <f>IFERROR(K44/H44,"")</f>
        <v>0.52287534508388189</v>
      </c>
      <c r="K44" s="22">
        <f>13679/50*F44</f>
        <v>2462.2199999999998</v>
      </c>
      <c r="L44" s="21">
        <v>1</v>
      </c>
      <c r="M44" s="21">
        <v>5</v>
      </c>
      <c r="N44" s="21">
        <v>3</v>
      </c>
      <c r="O44" s="21"/>
      <c r="P44" s="21"/>
      <c r="Q44" s="14"/>
      <c r="R44" s="14"/>
      <c r="S44" s="14"/>
      <c r="T44" s="14"/>
      <c r="U44" s="25">
        <v>190</v>
      </c>
      <c r="V44" s="25">
        <f>H44*U44*I44/15</f>
        <v>29823.666666666668</v>
      </c>
      <c r="W44" s="25">
        <f>(1408086.5/88710)*15</f>
        <v>238.09376056814338</v>
      </c>
      <c r="X44" s="25">
        <f>IFERROR(IFERROR((H44*W44*J44/15),""),"")</f>
        <v>39082.614609739598</v>
      </c>
      <c r="Y44" s="25">
        <f>F44*42</f>
        <v>378</v>
      </c>
      <c r="Z44" s="307">
        <f>28179.76/50*F44</f>
        <v>5072.3567999999996</v>
      </c>
      <c r="AA44" s="25">
        <v>0</v>
      </c>
      <c r="AB44" s="307">
        <f>1290/50*F44</f>
        <v>232.20000000000002</v>
      </c>
      <c r="AC44" s="25">
        <v>0</v>
      </c>
      <c r="AD44" s="25">
        <f>IF(F44="",G44*4.11,F44*4.11)</f>
        <v>36.99</v>
      </c>
      <c r="AE44" s="25">
        <f>IFERROR(IFERROR((X44*0.2%),""),"")</f>
        <v>78.165229219479201</v>
      </c>
      <c r="AF44" s="25">
        <f>V44+Y44+Z44+AA44+AB44+AC44+AD44</f>
        <v>35543.213466666661</v>
      </c>
      <c r="AG44" s="25">
        <f>IFERROR(IFERROR((H44*W44*J44/15)-AE44,""),"")</f>
        <v>39004.44938052012</v>
      </c>
      <c r="AH44" s="26">
        <f>IFERROR(AG44-AF44,0)</f>
        <v>3461.2359138534594</v>
      </c>
      <c r="AI44" s="25">
        <f>(F44+G44)/$AL$7*$AL$30</f>
        <v>163.89931362196407</v>
      </c>
      <c r="AJ44" s="25">
        <f>(AH44-AI44)*70%</f>
        <v>2308.1356201620465</v>
      </c>
      <c r="AM44">
        <f>AM40+(AM42)</f>
        <v>0</v>
      </c>
      <c r="AN44" t="s">
        <v>897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353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384.58176820593991</v>
      </c>
      <c r="AI45" s="21"/>
      <c r="AJ45" s="21"/>
    </row>
    <row r="46" spans="1:40" x14ac:dyDescent="0.35">
      <c r="A46" s="21"/>
      <c r="B46" s="21"/>
      <c r="C46" s="21"/>
      <c r="D46" s="21"/>
      <c r="E46" s="21"/>
      <c r="F46" s="21"/>
      <c r="G46" s="21"/>
      <c r="H46" s="353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8.873951482012446E-2</v>
      </c>
      <c r="AI46" s="21"/>
      <c r="AJ46" s="21"/>
      <c r="AL46" s="178"/>
      <c r="AM46" s="6"/>
      <c r="AN46" s="174"/>
    </row>
    <row r="47" spans="1:40" x14ac:dyDescent="0.35">
      <c r="A47" s="21"/>
      <c r="B47" s="21"/>
      <c r="C47" s="21"/>
      <c r="D47" s="21"/>
      <c r="E47" s="21"/>
      <c r="F47" s="21"/>
      <c r="G47" s="21"/>
      <c r="H47" s="353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  <c r="AI47" s="21"/>
      <c r="AJ47" s="21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356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x14ac:dyDescent="0.35">
      <c r="A49" s="38">
        <v>45357</v>
      </c>
      <c r="B49" s="39" t="s">
        <v>911</v>
      </c>
      <c r="C49" s="39" t="s">
        <v>969</v>
      </c>
      <c r="D49" s="45">
        <v>1925949</v>
      </c>
      <c r="E49" s="45" t="s">
        <v>652</v>
      </c>
      <c r="F49" s="39">
        <f>100-1</f>
        <v>99</v>
      </c>
      <c r="G49" s="39"/>
      <c r="H49" s="357">
        <v>55810</v>
      </c>
      <c r="I49" s="53">
        <v>0.54</v>
      </c>
      <c r="J49" s="42">
        <f>IFERROR(K49/H49,"")</f>
        <v>0.53940154094248338</v>
      </c>
      <c r="K49" s="40">
        <v>30104</v>
      </c>
      <c r="L49" s="39"/>
      <c r="M49" s="39"/>
      <c r="N49" s="39"/>
      <c r="O49" s="39"/>
      <c r="P49" s="39"/>
      <c r="Q49" s="39"/>
      <c r="R49" s="39"/>
      <c r="S49" s="39"/>
      <c r="T49" s="39"/>
      <c r="U49" s="43">
        <v>220</v>
      </c>
      <c r="V49" s="43">
        <f>H49*U49*I49/15</f>
        <v>442015.2</v>
      </c>
      <c r="W49" s="43">
        <f>(1408086.5/88710)*15</f>
        <v>238.09376056814338</v>
      </c>
      <c r="X49" s="43">
        <f>IFERROR(IFERROR((H49*W49*J49/15),""),"")</f>
        <v>477838.30454289255</v>
      </c>
      <c r="Y49" s="43">
        <f>IF(B49="FRANCISCO CAMACHO",((F49*42)+(G49*42)),IF(B49="DANILO VIANA",((F49*60)+(G49*60)),IF(B49="ANTONIO MARCUS ALBINO",((F49*60)+(G49*60)),0)))</f>
        <v>5940</v>
      </c>
      <c r="Z49" s="307">
        <f>(9321.8+9261.7)-4692.29</f>
        <v>13891.21</v>
      </c>
      <c r="AA49" s="43">
        <v>0</v>
      </c>
      <c r="AB49" s="307">
        <v>2750</v>
      </c>
      <c r="AC49" s="43">
        <f>F49*38</f>
        <v>3762</v>
      </c>
      <c r="AD49" s="43">
        <f>IF(F49="",G49*4.11,F49*4.11)</f>
        <v>406.89000000000004</v>
      </c>
      <c r="AE49" s="43">
        <f>X49*0.2%</f>
        <v>955.67660908578512</v>
      </c>
      <c r="AF49" s="43">
        <f>V49+Y49+Z49+AA49+AB49+AC49+AD49</f>
        <v>468765.30000000005</v>
      </c>
      <c r="AG49" s="43">
        <f>IFERROR(IFERROR((H49*W49*J49/15)-AE49,""),"")</f>
        <v>476882.6279338068</v>
      </c>
      <c r="AH49" s="273">
        <f>IFERROR(AG49-AF49,0)</f>
        <v>8117.3279338067514</v>
      </c>
      <c r="AI49" s="25">
        <f>(F49+G49)/$AL$7*$AL$30</f>
        <v>1802.892449841605</v>
      </c>
      <c r="AJ49" s="25">
        <f>(AH49-AI49)*70%</f>
        <v>4420.1048387756018</v>
      </c>
    </row>
    <row r="50" spans="1:36" x14ac:dyDescent="0.35">
      <c r="A50" s="21"/>
      <c r="B50" s="21"/>
      <c r="C50" s="21"/>
      <c r="D50" s="21"/>
      <c r="E50" s="21"/>
      <c r="F50" s="21"/>
      <c r="G50" s="21"/>
      <c r="H50" s="353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81.993211452593442</v>
      </c>
      <c r="AI50" s="21"/>
      <c r="AJ50" s="21"/>
    </row>
    <row r="51" spans="1:36" x14ac:dyDescent="0.35">
      <c r="A51" s="21"/>
      <c r="B51" s="21"/>
      <c r="C51" s="21"/>
      <c r="D51" s="21"/>
      <c r="E51" s="21"/>
      <c r="F51" s="21"/>
      <c r="G51" s="21"/>
      <c r="H51" s="353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1.7021647378888099E-2</v>
      </c>
      <c r="AI51" s="21"/>
      <c r="AJ51" s="21"/>
    </row>
    <row r="52" spans="1:36" x14ac:dyDescent="0.35">
      <c r="A52" s="21"/>
      <c r="B52" s="21"/>
      <c r="C52" s="21"/>
      <c r="D52" s="21"/>
      <c r="E52" s="21"/>
      <c r="F52" s="21"/>
      <c r="G52" s="21"/>
      <c r="H52" s="353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21"/>
      <c r="AJ52" s="21"/>
    </row>
    <row r="53" spans="1:36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356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x14ac:dyDescent="0.35">
      <c r="A54" s="20">
        <v>45359</v>
      </c>
      <c r="B54" s="21" t="s">
        <v>948</v>
      </c>
      <c r="C54" s="21" t="s">
        <v>949</v>
      </c>
      <c r="D54" s="44">
        <v>1926380</v>
      </c>
      <c r="E54" s="44" t="s">
        <v>652</v>
      </c>
      <c r="F54" s="21">
        <f>200-100</f>
        <v>100</v>
      </c>
      <c r="G54" s="21"/>
      <c r="H54" s="353">
        <f>105037/200*F54</f>
        <v>52518.499999999993</v>
      </c>
      <c r="I54" s="33">
        <v>0.53500000000000003</v>
      </c>
      <c r="J54" s="24">
        <f>IFERROR(K54/H54,"")</f>
        <v>0.53402382924340142</v>
      </c>
      <c r="K54" s="22">
        <v>28046.130476119572</v>
      </c>
      <c r="L54" s="327">
        <v>13</v>
      </c>
      <c r="M54" s="327">
        <v>65</v>
      </c>
      <c r="N54" s="327">
        <v>15</v>
      </c>
      <c r="O54" s="327">
        <v>7</v>
      </c>
      <c r="P54" s="327"/>
      <c r="Q54" s="21"/>
      <c r="R54" s="21"/>
      <c r="S54" s="21"/>
      <c r="T54" s="21"/>
      <c r="U54" s="25">
        <v>210</v>
      </c>
      <c r="V54" s="25">
        <f>H54*U54*I54/15</f>
        <v>393363.565</v>
      </c>
      <c r="W54" s="25">
        <f>(1378963.63/86078.5)*15</f>
        <v>240.29757082198222</v>
      </c>
      <c r="X54" s="25">
        <f>IFERROR(IFERROR((H54*W54*J54/15),""),"")</f>
        <v>449294.46829119313</v>
      </c>
      <c r="Y54" s="25">
        <f>IF(B54="FRANCISCO CAMACHO",((F54*42)+(G54*42)),IF(B54="DANILO VIANA",((F54*60)+(G54*60)),IF(B54="ANTONIO MARCUS ALBINO",((F54*60)+(G54*60)),0)))</f>
        <v>0</v>
      </c>
      <c r="Z54" s="307">
        <f>(43290.72+21792.51+21593.56) / 200 * F54</f>
        <v>43338.394999999997</v>
      </c>
      <c r="AA54" s="25">
        <v>0</v>
      </c>
      <c r="AB54" s="307">
        <f>5250/200*100</f>
        <v>2625</v>
      </c>
      <c r="AC54" s="25">
        <v>0</v>
      </c>
      <c r="AD54" s="25">
        <f>IF(F54="",G54*4.11,F54*4.11)</f>
        <v>411.00000000000006</v>
      </c>
      <c r="AE54" s="25">
        <f>IFERROR(IFERROR((X54*0.2%),""),"")</f>
        <v>898.58893658238628</v>
      </c>
      <c r="AF54" s="25">
        <f>V54+Y54+Z54+AA54+AB54+AC54+AD54</f>
        <v>439737.96</v>
      </c>
      <c r="AG54" s="25">
        <f>IFERROR(IFERROR((H54*W54*J54/15)-AE54,""),"")</f>
        <v>448395.87935461075</v>
      </c>
      <c r="AH54" s="26">
        <f>IFERROR(AG54-AF54,0)</f>
        <v>8657.9193546107272</v>
      </c>
      <c r="AI54" s="25">
        <f>(F54+G54)/$AL$7*$AL$30</f>
        <v>1821.1034846884897</v>
      </c>
      <c r="AJ54" s="25">
        <f>(AH54-AI54)*70%</f>
        <v>4785.7711089455661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353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86.579193546107277</v>
      </c>
      <c r="AI55" s="21"/>
      <c r="AJ55" s="21"/>
    </row>
    <row r="56" spans="1:36" x14ac:dyDescent="0.35">
      <c r="A56" s="21"/>
      <c r="B56" s="21"/>
      <c r="C56" s="21"/>
      <c r="D56" s="21"/>
      <c r="E56" s="21"/>
      <c r="F56" s="21"/>
      <c r="G56" s="21"/>
      <c r="H56" s="353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5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1.9308650576968553E-2</v>
      </c>
      <c r="AI56" s="21"/>
      <c r="AJ56" s="21"/>
    </row>
    <row r="57" spans="1:36" x14ac:dyDescent="0.35">
      <c r="A57" s="21"/>
      <c r="B57" s="21"/>
      <c r="C57" s="21"/>
      <c r="D57" s="21"/>
      <c r="E57" s="21"/>
      <c r="F57" s="21"/>
      <c r="G57" s="21"/>
      <c r="H57" s="353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  <c r="AI57" s="21"/>
      <c r="AJ57" s="21"/>
    </row>
    <row r="58" spans="1:36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356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6" x14ac:dyDescent="0.35">
      <c r="A59" s="20">
        <v>45359</v>
      </c>
      <c r="B59" s="21" t="s">
        <v>948</v>
      </c>
      <c r="C59" s="21" t="s">
        <v>949</v>
      </c>
      <c r="D59" s="44">
        <v>1923648</v>
      </c>
      <c r="E59" s="44" t="s">
        <v>652</v>
      </c>
      <c r="F59" s="21">
        <f>200-100</f>
        <v>100</v>
      </c>
      <c r="G59" s="21"/>
      <c r="H59" s="353">
        <f>105037/200*F59</f>
        <v>52518.499999999993</v>
      </c>
      <c r="I59" s="33">
        <v>0.53500000000000003</v>
      </c>
      <c r="J59" s="24">
        <f>IFERROR(K59/H59,"")</f>
        <v>0.51834115597360941</v>
      </c>
      <c r="K59" s="22">
        <v>27222.5</v>
      </c>
      <c r="L59" s="21">
        <v>5</v>
      </c>
      <c r="M59" s="21">
        <v>64</v>
      </c>
      <c r="N59" s="21">
        <v>23</v>
      </c>
      <c r="O59" s="21">
        <v>8</v>
      </c>
      <c r="P59" s="21"/>
      <c r="Q59" s="21"/>
      <c r="R59" s="21"/>
      <c r="S59" s="21"/>
      <c r="T59" s="21"/>
      <c r="U59" s="25">
        <v>210</v>
      </c>
      <c r="V59" s="25">
        <f>H59*U59*I59/15</f>
        <v>393363.565</v>
      </c>
      <c r="W59" s="25">
        <f>(853778.71/53087.5)*15</f>
        <v>241.23721497527666</v>
      </c>
      <c r="X59" s="25">
        <f>IFERROR(IFERROR((H59*W59*J59/15),""),"")</f>
        <v>437805.3389776313</v>
      </c>
      <c r="Y59" s="25">
        <f>IF(B59="FRANCISCO CAMACHO",((F59*42)+(G59*42)),IF(B59="DANILO VIANA",((F59*60)+(G59*60)),IF(B59="ANTONIO MARCUS ALBINO",((F59*60)+(G59*60)),0)))</f>
        <v>0</v>
      </c>
      <c r="Z59" s="307">
        <f>(43290.72+21792.51+21593.56) / 200 * F59</f>
        <v>43338.394999999997</v>
      </c>
      <c r="AA59" s="25">
        <v>0</v>
      </c>
      <c r="AB59" s="307">
        <f>5250/200*F59</f>
        <v>2625</v>
      </c>
      <c r="AC59" s="25">
        <v>0</v>
      </c>
      <c r="AD59" s="25">
        <f>IF(F59="",G59*4.11,F59*4.11)</f>
        <v>411.00000000000006</v>
      </c>
      <c r="AE59" s="25">
        <f>IFERROR(IFERROR((X59*0.2%),""),"")</f>
        <v>875.61067795526264</v>
      </c>
      <c r="AF59" s="25">
        <f>V59+Y59+Z59+AA59+AB59+AC59+AD59</f>
        <v>439737.96</v>
      </c>
      <c r="AG59" s="25">
        <f>IFERROR(IFERROR((H59*W59*J59/15)-AE59,""),"")</f>
        <v>436929.72829967603</v>
      </c>
      <c r="AH59" s="26">
        <f>IFERROR(AG59-AF59,0)</f>
        <v>-2808.2317003239878</v>
      </c>
      <c r="AI59" s="25">
        <f>(F59+G59)/$AL$7*$AL$30</f>
        <v>1821.1034846884897</v>
      </c>
      <c r="AJ59" s="25">
        <f>(AH59-AI59)*70%</f>
        <v>-3240.5346295087338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353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-28.082317003239879</v>
      </c>
      <c r="AI60" s="21"/>
      <c r="AJ60" s="21"/>
    </row>
    <row r="61" spans="1:36" x14ac:dyDescent="0.35">
      <c r="A61" s="21"/>
      <c r="B61" s="21"/>
      <c r="C61" s="21"/>
      <c r="D61" s="21"/>
      <c r="E61" s="21"/>
      <c r="F61" s="21"/>
      <c r="G61" s="21"/>
      <c r="H61" s="353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-6.4271930208372368E-3</v>
      </c>
      <c r="AI61" s="21"/>
      <c r="AJ61" s="21"/>
    </row>
    <row r="62" spans="1:36" x14ac:dyDescent="0.35">
      <c r="A62" s="21"/>
      <c r="B62" s="21"/>
      <c r="C62" s="21"/>
      <c r="D62" s="21"/>
      <c r="E62" s="21"/>
      <c r="F62" s="21"/>
      <c r="G62" s="21"/>
      <c r="H62" s="353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21"/>
      <c r="AJ62" s="21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356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45360</v>
      </c>
      <c r="B64" s="21" t="s">
        <v>911</v>
      </c>
      <c r="C64" s="21" t="s">
        <v>242</v>
      </c>
      <c r="D64" s="44">
        <v>1926380</v>
      </c>
      <c r="E64" s="44" t="s">
        <v>652</v>
      </c>
      <c r="F64" s="21">
        <v>50</v>
      </c>
      <c r="G64" s="21"/>
      <c r="H64" s="353">
        <v>24950</v>
      </c>
      <c r="I64" s="33">
        <v>0.54</v>
      </c>
      <c r="J64" s="24">
        <f>IFERROR(K64/H64,"")</f>
        <v>0.53402382924340142</v>
      </c>
      <c r="K64" s="22">
        <v>13323.894539622865</v>
      </c>
      <c r="L64" s="21">
        <v>7</v>
      </c>
      <c r="M64" s="21">
        <v>32</v>
      </c>
      <c r="N64" s="21">
        <v>8</v>
      </c>
      <c r="O64" s="21">
        <v>3</v>
      </c>
      <c r="P64" s="21"/>
      <c r="Q64" s="21"/>
      <c r="R64" s="21"/>
      <c r="S64" s="21"/>
      <c r="T64" s="21"/>
      <c r="U64" s="25">
        <v>220</v>
      </c>
      <c r="V64" s="25">
        <f>H64*U64*I64/15</f>
        <v>197604</v>
      </c>
      <c r="W64" s="25">
        <f>(1378963.63/86078.5)*15</f>
        <v>240.29757082198222</v>
      </c>
      <c r="X64" s="25">
        <f>IFERROR(IFERROR((H64*W64*J64/15),""),"")</f>
        <v>213446.6327839765</v>
      </c>
      <c r="Y64" s="25">
        <f>IF(B64="FRANCISCO CAMACHO",((F64*42)+(G64*42)),IF(B64="DANILO VIANA",((F64*60)+(G64*60)),IF(B64="ANTONIO MARCUS ALBINO",((F64*60)+(G64*60)),0)))</f>
        <v>3000</v>
      </c>
      <c r="Z64" s="307">
        <v>10979.6</v>
      </c>
      <c r="AA64" s="25">
        <v>0</v>
      </c>
      <c r="AB64" s="307">
        <v>1375</v>
      </c>
      <c r="AC64" s="25">
        <f>38*F64</f>
        <v>1900</v>
      </c>
      <c r="AD64" s="25">
        <f>IF(F64="",G64*4.11,F64*4.11)</f>
        <v>205.50000000000003</v>
      </c>
      <c r="AE64" s="25">
        <f>IFERROR(IFERROR((X64*0.2%),""),"")</f>
        <v>426.89326556795299</v>
      </c>
      <c r="AF64" s="25">
        <f>V64+Y64+Z64+AA64+AB64+AC64+AD64</f>
        <v>215064.1</v>
      </c>
      <c r="AG64" s="25">
        <f>IFERROR(IFERROR((H64*W64*J64/15)-AE64,""),"")</f>
        <v>213019.73951840855</v>
      </c>
      <c r="AH64" s="26">
        <f>IFERROR(AG64-AF64,0)</f>
        <v>-2044.3604815914587</v>
      </c>
      <c r="AI64" s="25">
        <f>(F64+G64)/$AL$7*$AL$30</f>
        <v>910.55174234424487</v>
      </c>
      <c r="AJ64" s="25">
        <f>(AH64-AI64)*70%</f>
        <v>-2068.4385567549921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353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-40.887209631829172</v>
      </c>
      <c r="AI65" s="21"/>
      <c r="AJ65" s="21"/>
    </row>
    <row r="66" spans="1:36" x14ac:dyDescent="0.35">
      <c r="A66" s="21"/>
      <c r="B66" s="21"/>
      <c r="C66" s="21"/>
      <c r="D66" s="21"/>
      <c r="E66" s="21"/>
      <c r="F66" s="21"/>
      <c r="G66" s="21"/>
      <c r="H66" s="353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-9.5970471385107992E-3</v>
      </c>
      <c r="AI66" s="21"/>
      <c r="AJ66" s="21"/>
    </row>
    <row r="67" spans="1:36" x14ac:dyDescent="0.35">
      <c r="A67" s="21"/>
      <c r="B67" s="21"/>
      <c r="C67" s="21"/>
      <c r="D67" s="21"/>
      <c r="E67" s="21"/>
      <c r="F67" s="21"/>
      <c r="G67" s="21"/>
      <c r="H67" s="353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356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45360</v>
      </c>
      <c r="B69" s="21" t="s">
        <v>911</v>
      </c>
      <c r="C69" s="21" t="s">
        <v>906</v>
      </c>
      <c r="D69" s="44">
        <v>1926380</v>
      </c>
      <c r="E69" s="44" t="s">
        <v>652</v>
      </c>
      <c r="F69" s="21">
        <v>50</v>
      </c>
      <c r="G69" s="21"/>
      <c r="H69" s="353">
        <v>24140</v>
      </c>
      <c r="I69" s="33">
        <v>0.53</v>
      </c>
      <c r="J69" s="24">
        <f>IFERROR(K69/H69,"")</f>
        <v>0.5340238292434013</v>
      </c>
      <c r="K69" s="22">
        <v>12891.335237935707</v>
      </c>
      <c r="L69" s="21">
        <v>7</v>
      </c>
      <c r="M69" s="21">
        <v>32</v>
      </c>
      <c r="N69" s="21">
        <v>8</v>
      </c>
      <c r="O69" s="21">
        <v>3</v>
      </c>
      <c r="P69" s="21"/>
      <c r="Q69" s="21"/>
      <c r="R69" s="21"/>
      <c r="S69" s="21"/>
      <c r="T69" s="21"/>
      <c r="U69" s="25">
        <v>220</v>
      </c>
      <c r="V69" s="25">
        <f>H69*U69*I69/15</f>
        <v>187648.26666666666</v>
      </c>
      <c r="W69" s="25">
        <f>(1378963.63/86078.5)*15</f>
        <v>240.29757082198222</v>
      </c>
      <c r="X69" s="25">
        <f>IFERROR(IFERROR((H69*W69*J69/15),""),"")</f>
        <v>206517.10282185141</v>
      </c>
      <c r="Y69" s="25">
        <f>IF(B69="FRANCISCO CAMACHO",((F69*42)+(G69*42)),IF(B69="DANILO VIANA",((F69*60)+(G69*60)),IF(B69="ANTONIO MARCUS ALBINO",((F69*60)+(G69*60)),0)))</f>
        <v>3000</v>
      </c>
      <c r="Z69" s="307">
        <v>9040.2000000000007</v>
      </c>
      <c r="AA69" s="25">
        <v>0</v>
      </c>
      <c r="AB69" s="307">
        <v>1375</v>
      </c>
      <c r="AC69" s="25">
        <f>38*F69</f>
        <v>1900</v>
      </c>
      <c r="AD69" s="25">
        <f>IF(F69="",G69*4.11,F69*4.11)</f>
        <v>205.50000000000003</v>
      </c>
      <c r="AE69" s="25">
        <f>IFERROR(IFERROR((X69*0.2%),""),"")</f>
        <v>413.03420564370282</v>
      </c>
      <c r="AF69" s="25">
        <f>V69+Y69+Z69+AA69+AB69+AC69+AD69</f>
        <v>203168.96666666667</v>
      </c>
      <c r="AG69" s="25">
        <f>IFERROR(IFERROR((H69*W69*J69/15)-AE69,""),"")</f>
        <v>206104.06861620772</v>
      </c>
      <c r="AH69" s="26">
        <f>IFERROR(AG69-AF69,0)</f>
        <v>2935.1019495410437</v>
      </c>
      <c r="AI69" s="25">
        <f>(F69+G69)/$AL$7*$AL$30</f>
        <v>910.55174234424487</v>
      </c>
      <c r="AJ69" s="25">
        <f>(AH69-AI69)*70%</f>
        <v>1417.1851450377592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353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58.702038990820874</v>
      </c>
      <c r="AI70" s="21"/>
      <c r="AJ70" s="21"/>
    </row>
    <row r="71" spans="1:36" x14ac:dyDescent="0.35">
      <c r="A71" s="21"/>
      <c r="B71" s="21"/>
      <c r="C71" s="21"/>
      <c r="D71" s="21"/>
      <c r="E71" s="21"/>
      <c r="F71" s="21"/>
      <c r="G71" s="21"/>
      <c r="H71" s="353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1.4240873405592885E-2</v>
      </c>
      <c r="AI71" s="21"/>
      <c r="AJ71" s="21"/>
    </row>
    <row r="72" spans="1:36" x14ac:dyDescent="0.35">
      <c r="A72" s="21"/>
      <c r="B72" s="21"/>
      <c r="C72" s="21"/>
      <c r="D72" s="21"/>
      <c r="E72" s="21"/>
      <c r="F72" s="21"/>
      <c r="G72" s="21"/>
      <c r="H72" s="353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  <c r="AI72" s="21"/>
      <c r="AJ72" s="21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356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45360</v>
      </c>
      <c r="B74" s="21" t="s">
        <v>978</v>
      </c>
      <c r="C74" s="21" t="s">
        <v>979</v>
      </c>
      <c r="D74" s="44">
        <v>1926380</v>
      </c>
      <c r="E74" s="44" t="s">
        <v>652</v>
      </c>
      <c r="F74" s="21">
        <f>100-1</f>
        <v>99</v>
      </c>
      <c r="G74" s="21"/>
      <c r="H74" s="353">
        <v>59580</v>
      </c>
      <c r="I74" s="33">
        <v>0.55000000000000004</v>
      </c>
      <c r="J74" s="24">
        <f>IFERROR(K74/H74,"")</f>
        <v>0.5340238292434013</v>
      </c>
      <c r="K74" s="22">
        <v>31817.139746321853</v>
      </c>
      <c r="L74" s="21">
        <v>13</v>
      </c>
      <c r="M74" s="21">
        <v>64</v>
      </c>
      <c r="N74" s="21">
        <v>15</v>
      </c>
      <c r="O74" s="21">
        <v>7</v>
      </c>
      <c r="P74" s="21"/>
      <c r="Q74" s="21"/>
      <c r="R74" s="21"/>
      <c r="S74" s="21"/>
      <c r="T74" s="21"/>
      <c r="U74" s="25">
        <v>215</v>
      </c>
      <c r="V74" s="25">
        <f>H74*U74*I74/15</f>
        <v>469689.00000000006</v>
      </c>
      <c r="W74" s="25">
        <f>(1378963.63/86078.5)*15</f>
        <v>240.29757082198222</v>
      </c>
      <c r="X74" s="25">
        <f>IFERROR(IFERROR((H74*W74*J74/15),""),"")</f>
        <v>509705.4261029787</v>
      </c>
      <c r="Y74" s="25">
        <f>100*42</f>
        <v>4200</v>
      </c>
      <c r="Z74" s="307">
        <f>(32861.2)-5099.75</f>
        <v>27761.449999999997</v>
      </c>
      <c r="AA74" s="25">
        <v>0</v>
      </c>
      <c r="AB74" s="329">
        <f>U74*15%*100</f>
        <v>3225</v>
      </c>
      <c r="AC74" s="25">
        <v>0</v>
      </c>
      <c r="AD74" s="25">
        <f>100*4.11</f>
        <v>411.00000000000006</v>
      </c>
      <c r="AE74" s="25">
        <f>IFERROR(IFERROR((X74*0.2%),""),"")</f>
        <v>1019.4108522059574</v>
      </c>
      <c r="AF74" s="25">
        <f>V74+Y74+Z74+AA74+AB74+AC74+AD74</f>
        <v>505286.45000000007</v>
      </c>
      <c r="AG74" s="25">
        <f>IFERROR(IFERROR((H74*W74*J74/15)-AE74,""),"")</f>
        <v>508686.01525077276</v>
      </c>
      <c r="AH74" s="26">
        <f>IFERROR(AG74-AF74,0)</f>
        <v>3399.5652507726918</v>
      </c>
      <c r="AI74" s="25">
        <f>(F74+G74)/$AL$7*$AL$30</f>
        <v>1802.892449841605</v>
      </c>
      <c r="AJ74" s="25">
        <f>(AH74-AI74)*70%</f>
        <v>1117.6709606517607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353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5"/>
      <c r="AH75" s="26">
        <f>IFERROR(AH74/F74,0)+IFERROR(AH74/G74,0)</f>
        <v>34.339042937097894</v>
      </c>
      <c r="AI75" s="21"/>
      <c r="AJ75" s="21"/>
    </row>
    <row r="76" spans="1:36" x14ac:dyDescent="0.35">
      <c r="A76" s="21"/>
      <c r="B76" s="21"/>
      <c r="C76" s="21"/>
      <c r="D76" s="21"/>
      <c r="E76" s="21"/>
      <c r="F76" s="21"/>
      <c r="G76" s="21"/>
      <c r="H76" s="353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6.683032654429804E-3</v>
      </c>
      <c r="AI76" s="21"/>
      <c r="AJ76" s="21"/>
    </row>
    <row r="77" spans="1:36" x14ac:dyDescent="0.35">
      <c r="A77" s="21"/>
      <c r="B77" s="21"/>
      <c r="C77" s="21"/>
      <c r="D77" s="21"/>
      <c r="E77" s="21"/>
      <c r="F77" s="21"/>
      <c r="G77" s="21"/>
      <c r="H77" s="353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21"/>
      <c r="AJ77" s="21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356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353"/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 t="str">
        <f>IFERROR(IFERROR((H79*W79*J79/15),""),"")</f>
        <v/>
      </c>
      <c r="Y79" s="25">
        <f>IF(B79="FRANCISCO CAMACHO",((F79*42)+(G79*42)),IF(B79="DANILO VIANA",((F79*60)+(G79*60)),IF(B79="ANTONIO MARCUS ALBINO",((F79*60)+(G79*60)),0)))</f>
        <v>0</v>
      </c>
      <c r="Z79" s="25"/>
      <c r="AA79" s="25">
        <v>0</v>
      </c>
      <c r="AB79" s="25">
        <v>0</v>
      </c>
      <c r="AC79" s="25">
        <v>0</v>
      </c>
      <c r="AD79" s="25">
        <f>IF(F79="",G79*4.11,F79*4.11)</f>
        <v>0</v>
      </c>
      <c r="AE79" s="25" t="str">
        <f>IFERROR(IFERROR((X79*0.2%),""),"")</f>
        <v/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25">
        <f>(F79+G79)/$AL$7*$AL$30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353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  <c r="AI80" s="21"/>
      <c r="AJ80" s="21"/>
    </row>
    <row r="81" spans="1:36" x14ac:dyDescent="0.35">
      <c r="A81" s="21"/>
      <c r="B81" s="21"/>
      <c r="C81" s="21"/>
      <c r="D81" s="21"/>
      <c r="E81" s="21"/>
      <c r="F81" s="21"/>
      <c r="G81" s="21"/>
      <c r="H81" s="353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  <c r="AI81" s="21"/>
      <c r="AJ81" s="21"/>
    </row>
    <row r="82" spans="1:36" x14ac:dyDescent="0.35">
      <c r="A82" s="21"/>
      <c r="B82" s="21"/>
      <c r="C82" s="21"/>
      <c r="D82" s="21"/>
      <c r="E82" s="21"/>
      <c r="F82" s="21"/>
      <c r="G82" s="21"/>
      <c r="H82" s="353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  <c r="AI82" s="47"/>
      <c r="AJ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356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353"/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 t="str">
        <f>IFERROR(IFERROR((H84*W84*J84/15),""),"")</f>
        <v/>
      </c>
      <c r="Y84" s="25">
        <f>IF(B84="FRANCISCO CAMACHO",((F84*42)+(G84*42)),IF(B84="DANILO VIANA",((F84*60)+(G84*60)),IF(B84="ANTONIO MARCUS ALBINO",((F84*60)+(G84*60)),0)))</f>
        <v>0</v>
      </c>
      <c r="Z84" s="25"/>
      <c r="AA84" s="25">
        <v>0</v>
      </c>
      <c r="AB84" s="25">
        <v>0</v>
      </c>
      <c r="AC84" s="25">
        <v>0</v>
      </c>
      <c r="AD84" s="25">
        <f>IF(F84="",G84*4.11,F84*4.11)</f>
        <v>0</v>
      </c>
      <c r="AE84" s="25" t="str">
        <f>IFERROR(IFERROR((X84*0.2%),""),"")</f>
        <v/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25">
        <f>(F84+G84)/$AL$7*$AL$30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353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  <c r="AI85" s="21"/>
      <c r="AJ85" s="21"/>
    </row>
    <row r="86" spans="1:36" x14ac:dyDescent="0.35">
      <c r="A86" s="21"/>
      <c r="B86" s="21"/>
      <c r="C86" s="21"/>
      <c r="D86" s="21"/>
      <c r="E86" s="21"/>
      <c r="F86" s="21"/>
      <c r="G86" s="21"/>
      <c r="H86" s="353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  <c r="AI86" s="21"/>
      <c r="AJ86" s="21"/>
    </row>
    <row r="87" spans="1:36" x14ac:dyDescent="0.35">
      <c r="A87" s="21"/>
      <c r="B87" s="21"/>
      <c r="C87" s="21"/>
      <c r="D87" s="21"/>
      <c r="E87" s="21"/>
      <c r="F87" s="21"/>
      <c r="G87" s="21"/>
      <c r="H87" s="353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  <c r="AI87" s="47"/>
      <c r="AJ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356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353"/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 t="str">
        <f>IFERROR(IFERROR((H89*W89*J89/15),""),"")</f>
        <v/>
      </c>
      <c r="Y89" s="25">
        <f>IF(B89="FRANCISCO CAMACHO",((F89*42)+(G89*42)),IF(B89="DANILO VIANA",((F89*60)+(G89*60)),IF(B89="ANTONIO MARCUS ALBINO",((F89*60)+(G89*60)),0)))</f>
        <v>0</v>
      </c>
      <c r="Z89" s="25"/>
      <c r="AA89" s="25">
        <v>0</v>
      </c>
      <c r="AB89" s="25">
        <v>0</v>
      </c>
      <c r="AC89" s="25">
        <v>0</v>
      </c>
      <c r="AD89" s="25">
        <f>IF(F89="",G89*4.11,F89*4.11)</f>
        <v>0</v>
      </c>
      <c r="AE89" s="25" t="str">
        <f>IFERROR(IFERROR((X89*0.2%),""),"")</f>
        <v/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25">
        <f>(F89+G89)/$AL$7*$AL$30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353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  <c r="AI90" s="21"/>
      <c r="AJ90" s="21"/>
    </row>
    <row r="91" spans="1:36" x14ac:dyDescent="0.35">
      <c r="A91" s="21"/>
      <c r="B91" s="21"/>
      <c r="C91" s="21"/>
      <c r="D91" s="21"/>
      <c r="E91" s="21"/>
      <c r="F91" s="21"/>
      <c r="G91" s="21"/>
      <c r="H91" s="353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  <c r="AI91" s="21"/>
      <c r="AJ91" s="21"/>
    </row>
    <row r="92" spans="1:36" x14ac:dyDescent="0.35">
      <c r="A92" s="21"/>
      <c r="B92" s="21"/>
      <c r="C92" s="21"/>
      <c r="D92" s="21"/>
      <c r="E92" s="21"/>
      <c r="F92" s="21"/>
      <c r="G92" s="21"/>
      <c r="H92" s="353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21"/>
      <c r="AJ92" s="21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356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353"/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/>
      <c r="V94" s="25">
        <f>H94*U94*I94/15</f>
        <v>0</v>
      </c>
      <c r="W94" s="25">
        <v>0</v>
      </c>
      <c r="X94" s="25" t="str">
        <f>IFERROR(IFERROR((H94*W94*J94/15),""),"")</f>
        <v/>
      </c>
      <c r="Y94" s="25">
        <f>IF(B94="FRANCISCO CAMACHO",((F94*42)+(G94*42)),IF(B94="DANILO VIANA",((F94*60)+(G94*60)),IF(B94="ANTONIO MARCUS ALBINO",((F94*60)+(G94*60)),0)))</f>
        <v>0</v>
      </c>
      <c r="Z94" s="25"/>
      <c r="AA94" s="25">
        <v>0</v>
      </c>
      <c r="AB94" s="25">
        <v>0</v>
      </c>
      <c r="AC94" s="25">
        <v>0</v>
      </c>
      <c r="AD94" s="25">
        <f>IF(F94="",G94*4.11,F94*4.11)</f>
        <v>0</v>
      </c>
      <c r="AE94" s="25" t="str">
        <f>IFERROR(IFERROR((X94*0.2%),""),"")</f>
        <v/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25">
        <f>(F94+G94)/$AL$7*$AL$30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353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  <c r="AI95" s="21"/>
      <c r="AJ95" s="21"/>
    </row>
    <row r="96" spans="1:36" x14ac:dyDescent="0.35">
      <c r="A96" s="21"/>
      <c r="B96" s="21"/>
      <c r="C96" s="21"/>
      <c r="D96" s="21"/>
      <c r="E96" s="21"/>
      <c r="F96" s="21"/>
      <c r="G96" s="21"/>
      <c r="H96" s="353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  <c r="AI96" s="21"/>
      <c r="AJ96" s="21"/>
    </row>
    <row r="97" spans="1:36" x14ac:dyDescent="0.35">
      <c r="A97" s="21"/>
      <c r="B97" s="21"/>
      <c r="C97" s="21"/>
      <c r="D97" s="21"/>
      <c r="E97" s="21"/>
      <c r="F97" s="21"/>
      <c r="G97" s="21"/>
      <c r="H97" s="353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21"/>
      <c r="AJ97" s="21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356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353"/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 t="str">
        <f>IFERROR(IFERROR((H99*W99*J99/15),""),"")</f>
        <v/>
      </c>
      <c r="Y99" s="25">
        <f>IF(B99="FRANCISCO CAMACHO",((F99*42)+(G99*42)),IF(B99="DANILO VIANA",((F99*60)+(G99*60)),IF(B99="ANTONIO MARCUS ALBINO",((F99*60)+(G99*60)),0)))</f>
        <v>0</v>
      </c>
      <c r="Z99" s="25"/>
      <c r="AA99" s="25">
        <v>0</v>
      </c>
      <c r="AB99" s="25">
        <v>0</v>
      </c>
      <c r="AC99" s="25">
        <v>0</v>
      </c>
      <c r="AD99" s="25">
        <f>IF(F99="",G99*4.11,F99*4.11)</f>
        <v>0</v>
      </c>
      <c r="AE99" s="25" t="str">
        <f>IFERROR(IFERROR((X99*0.2%),""),"")</f>
        <v/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(F99+G99)/$AL$7*$AL$30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353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  <c r="AI100" s="21"/>
      <c r="AJ100" s="21"/>
    </row>
    <row r="101" spans="1:36" x14ac:dyDescent="0.35">
      <c r="A101" s="21"/>
      <c r="B101" s="21"/>
      <c r="C101" s="21"/>
      <c r="D101" s="21"/>
      <c r="E101" s="21"/>
      <c r="F101" s="21"/>
      <c r="G101" s="21"/>
      <c r="H101" s="353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  <c r="AI101" s="21"/>
      <c r="AJ101" s="21"/>
    </row>
    <row r="102" spans="1:36" x14ac:dyDescent="0.35">
      <c r="A102" s="21"/>
      <c r="B102" s="21"/>
      <c r="C102" s="21"/>
      <c r="D102" s="21"/>
      <c r="E102" s="21"/>
      <c r="F102" s="21"/>
      <c r="G102" s="21"/>
      <c r="H102" s="353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  <c r="AI102" s="47"/>
      <c r="AJ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356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353"/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 t="str">
        <f>IFERROR(IFERROR((H104*W104*J104/15),""),"")</f>
        <v/>
      </c>
      <c r="Y104" s="25">
        <f>IF(B104="FRANCISCO CAMACHO",((F104*42)+(G104*42)),IF(B104="DANILO VIANA",((F104*60)+(G104*60)),IF(B104="ANTONIO MARCUS ALBINO",((F104*60)+(G104*60)),0)))</f>
        <v>0</v>
      </c>
      <c r="Z104" s="25"/>
      <c r="AA104" s="25">
        <v>0</v>
      </c>
      <c r="AB104" s="25">
        <v>0</v>
      </c>
      <c r="AC104" s="25">
        <v>0</v>
      </c>
      <c r="AD104" s="25">
        <f>IF(F104="",G104*4.11,F104*4.11)</f>
        <v>0</v>
      </c>
      <c r="AE104" s="25" t="str">
        <f>IFERROR(IFERROR((X104*0.2%),""),"")</f>
        <v/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(F104+G104)/$AL$7*$AL$30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353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  <c r="AI105" s="21"/>
      <c r="AJ105" s="21"/>
    </row>
    <row r="106" spans="1:36" x14ac:dyDescent="0.35">
      <c r="A106" s="21"/>
      <c r="B106" s="21"/>
      <c r="C106" s="21"/>
      <c r="D106" s="21"/>
      <c r="E106" s="21"/>
      <c r="F106" s="21"/>
      <c r="G106" s="21"/>
      <c r="H106" s="353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  <c r="AI106" s="21"/>
      <c r="AJ106" s="21"/>
    </row>
    <row r="107" spans="1:36" x14ac:dyDescent="0.35">
      <c r="A107" s="21"/>
      <c r="B107" s="21"/>
      <c r="C107" s="21"/>
      <c r="D107" s="21"/>
      <c r="E107" s="21"/>
      <c r="F107" s="21"/>
      <c r="G107" s="21"/>
      <c r="H107" s="353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  <c r="AI107" s="21"/>
      <c r="AJ107" s="21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356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353"/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/>
      <c r="V109" s="25">
        <f>H109*U109*I109/15</f>
        <v>0</v>
      </c>
      <c r="W109" s="25">
        <v>0</v>
      </c>
      <c r="X109" s="25" t="str">
        <f>IFERROR(IFERROR((H109*W109*J109/15),""),"")</f>
        <v/>
      </c>
      <c r="Y109" s="25">
        <f>IF(B109="FRANCISCO CAMACHO",((F109*42)+(G109*42)),IF(B109="DANILO VIANA",((F109*60)+(G109*60)),IF(B109="ANTONIO MARCUS ALBINO",((F109*60)+(G109*60)),0)))</f>
        <v>0</v>
      </c>
      <c r="Z109" s="25"/>
      <c r="AA109" s="25">
        <v>0</v>
      </c>
      <c r="AB109" s="25">
        <v>0</v>
      </c>
      <c r="AC109" s="25">
        <v>0</v>
      </c>
      <c r="AD109" s="25">
        <f>IF(F109="",G109*4.11,F109*4.11)</f>
        <v>0</v>
      </c>
      <c r="AE109" s="25" t="str">
        <f>IFERROR(IFERROR((X109*0.2%),""),"")</f>
        <v/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(F109+G109)/$AL$7*$AL$30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353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  <c r="AI110" s="21"/>
      <c r="AJ110" s="21"/>
    </row>
    <row r="111" spans="1:36" x14ac:dyDescent="0.35">
      <c r="A111" s="21"/>
      <c r="B111" s="21"/>
      <c r="C111" s="21"/>
      <c r="D111" s="21"/>
      <c r="E111" s="21"/>
      <c r="F111" s="21"/>
      <c r="G111" s="21"/>
      <c r="H111" s="353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  <c r="AI111" s="21"/>
      <c r="AJ111" s="21"/>
    </row>
    <row r="112" spans="1:36" x14ac:dyDescent="0.35">
      <c r="A112" s="21"/>
      <c r="B112" s="21"/>
      <c r="C112" s="21"/>
      <c r="D112" s="21"/>
      <c r="E112" s="21"/>
      <c r="F112" s="21"/>
      <c r="G112" s="21"/>
      <c r="H112" s="353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  <c r="AI112" s="21"/>
      <c r="AJ112" s="21"/>
    </row>
    <row r="113" spans="1:36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356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353"/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>
        <v>0</v>
      </c>
      <c r="X114" s="25" t="str">
        <f>IFERROR(IFERROR((H114*W114*J114/15),""),"")</f>
        <v/>
      </c>
      <c r="Y114" s="25">
        <f>IF(B114="FRANCISCO CAMACHO",((F114*42)+(G114*42)),IF(B114="DANILO VIANA",((F114*60)+(G114*60)),IF(B114="ANTONIO MARCUS ALBINO",((F114*60)+(G114*60)),0)))</f>
        <v>0</v>
      </c>
      <c r="Z114" s="25"/>
      <c r="AA114" s="25">
        <v>0</v>
      </c>
      <c r="AB114" s="25">
        <v>0</v>
      </c>
      <c r="AC114" s="25">
        <v>0</v>
      </c>
      <c r="AD114" s="25">
        <f>IF(F114="",G114*4.11,F114*4.11)</f>
        <v>0</v>
      </c>
      <c r="AE114" s="25" t="str">
        <f>IFERROR(IFERROR((X114*0.2%),""),"")</f>
        <v/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25">
        <f>(F114+G114)/$AL$7*$AL$30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353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  <c r="AI115" s="21"/>
      <c r="AJ115" s="21"/>
    </row>
    <row r="116" spans="1:36" x14ac:dyDescent="0.35">
      <c r="A116" s="21"/>
      <c r="B116" s="21"/>
      <c r="C116" s="21"/>
      <c r="D116" s="21"/>
      <c r="E116" s="21"/>
      <c r="F116" s="21"/>
      <c r="G116" s="21"/>
      <c r="H116" s="353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  <c r="AI116" s="21"/>
      <c r="AJ116" s="21"/>
    </row>
    <row r="117" spans="1:36" ht="15" thickBot="1" x14ac:dyDescent="0.4">
      <c r="A117" s="21"/>
      <c r="B117" s="21"/>
      <c r="C117" s="21"/>
      <c r="D117" s="21"/>
      <c r="E117" s="21"/>
      <c r="F117" s="21"/>
      <c r="G117" s="21"/>
      <c r="H117" s="353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47"/>
      <c r="AJ117" s="47"/>
    </row>
    <row r="118" spans="1:36" ht="16" thickBot="1" x14ac:dyDescent="0.4">
      <c r="A118" s="377" t="s">
        <v>803</v>
      </c>
      <c r="B118" s="378"/>
      <c r="C118" s="378"/>
      <c r="D118" s="378"/>
      <c r="E118" s="378"/>
      <c r="F118" s="163">
        <f>SUM(F4:F114)</f>
        <v>947</v>
      </c>
      <c r="G118" s="163">
        <f>SUM(G4:G114)</f>
        <v>0</v>
      </c>
      <c r="H118" s="358">
        <f>SUM(H4:H114)</f>
        <v>506252</v>
      </c>
      <c r="I118" s="30"/>
      <c r="J118" s="30"/>
      <c r="K118" s="274">
        <f>SUM(K4:K114)</f>
        <v>271238.76726532122</v>
      </c>
      <c r="L118" s="46"/>
      <c r="M118" s="46"/>
      <c r="N118" s="46"/>
      <c r="O118" s="46"/>
      <c r="P118" s="46"/>
      <c r="Q118" s="46"/>
      <c r="R118" s="46"/>
      <c r="S118" s="46"/>
      <c r="T118" s="46"/>
      <c r="U118" s="30"/>
      <c r="V118" s="275">
        <f>SUM(V4:V114)</f>
        <v>3930327.5166666666</v>
      </c>
      <c r="W118" s="31"/>
      <c r="X118" s="275">
        <f t="shared" ref="X118:AG118" si="0">SUM(X4:X114)</f>
        <v>4338039.336594739</v>
      </c>
      <c r="Y118" s="275">
        <f t="shared" si="0"/>
        <v>37698</v>
      </c>
      <c r="Z118" s="275">
        <f t="shared" si="0"/>
        <v>315093.22000000003</v>
      </c>
      <c r="AA118" s="275">
        <f t="shared" si="0"/>
        <v>0</v>
      </c>
      <c r="AB118" s="275">
        <f t="shared" si="0"/>
        <v>26647.5</v>
      </c>
      <c r="AC118" s="275">
        <f t="shared" si="0"/>
        <v>13262</v>
      </c>
      <c r="AD118" s="275">
        <f t="shared" si="0"/>
        <v>3896.28</v>
      </c>
      <c r="AE118" s="275">
        <f t="shared" si="0"/>
        <v>8676.0786731894768</v>
      </c>
      <c r="AF118" s="275">
        <f t="shared" si="0"/>
        <v>4326924.5166666666</v>
      </c>
      <c r="AG118" s="275">
        <f t="shared" si="0"/>
        <v>4329363.2579215495</v>
      </c>
      <c r="AH118" s="276">
        <f>AH4+AH9+AH14+AH19+AH24+AH29+AH34+AH39+AH44+AH49+AH54+AH64+AH69+AH74+AH79+AH84+AH89+AH94+AH99+AH104+AH109+AH114</f>
        <v>5246.9729552063945</v>
      </c>
      <c r="AI118" s="275">
        <f>SUM(AI4:AI114)</f>
        <v>17245.849999999999</v>
      </c>
      <c r="AJ118" s="275">
        <f>SUM(AJ4:AJ114)</f>
        <v>-10364.976121582313</v>
      </c>
    </row>
    <row r="130" spans="41:41" x14ac:dyDescent="0.35">
      <c r="AO130" s="21"/>
    </row>
  </sheetData>
  <mergeCells count="7">
    <mergeCell ref="A118:E118"/>
    <mergeCell ref="AM16:AN17"/>
    <mergeCell ref="AL16:AL17"/>
    <mergeCell ref="AO16:AO17"/>
    <mergeCell ref="AM18:AN19"/>
    <mergeCell ref="AL18:AL19"/>
    <mergeCell ref="AO18:AO19"/>
  </mergeCells>
  <pageMargins left="0.511811024" right="0.511811024" top="0.78740157499999996" bottom="0.78740157499999996" header="0.31496062000000002" footer="0.31496062000000002"/>
  <pageSetup paperSize="9" orientation="portrait" verticalDpi="0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AO125"/>
  <sheetViews>
    <sheetView zoomScale="85" zoomScaleNormal="85" workbookViewId="0">
      <pane xSplit="7" topLeftCell="AI1" activePane="topRight" state="frozen"/>
      <selection pane="topRight" activeCell="AH40" sqref="AH40"/>
    </sheetView>
  </sheetViews>
  <sheetFormatPr defaultRowHeight="14.5" x14ac:dyDescent="0.35"/>
  <cols>
    <col min="1" max="1" width="13.26953125" customWidth="1"/>
    <col min="2" max="2" width="36.453125" bestFit="1" customWidth="1"/>
    <col min="3" max="3" width="33.26953125" bestFit="1" customWidth="1"/>
    <col min="4" max="4" width="15.1796875" customWidth="1"/>
    <col min="5" max="5" width="11.26953125" customWidth="1"/>
    <col min="6" max="6" width="13.453125" customWidth="1"/>
    <col min="8" max="8" width="11.54296875" style="355" bestFit="1" customWidth="1"/>
    <col min="10" max="10" width="10.26953125" bestFit="1" customWidth="1"/>
    <col min="11" max="11" width="12.453125" bestFit="1" customWidth="1"/>
    <col min="17" max="17" width="11.1796875" bestFit="1" customWidth="1"/>
    <col min="21" max="21" width="15" bestFit="1" customWidth="1"/>
    <col min="22" max="22" width="18.1796875" bestFit="1" customWidth="1"/>
    <col min="23" max="23" width="13.26953125" bestFit="1" customWidth="1"/>
    <col min="24" max="24" width="18.1796875" bestFit="1" customWidth="1"/>
    <col min="25" max="25" width="15" bestFit="1" customWidth="1"/>
    <col min="26" max="26" width="16.26953125" bestFit="1" customWidth="1"/>
    <col min="27" max="27" width="12.54296875" customWidth="1"/>
    <col min="28" max="29" width="15" bestFit="1" customWidth="1"/>
    <col min="30" max="30" width="13.81640625" bestFit="1" customWidth="1"/>
    <col min="31" max="31" width="11.81640625" bestFit="1" customWidth="1"/>
    <col min="32" max="34" width="18.1796875" bestFit="1" customWidth="1"/>
    <col min="35" max="35" width="19.7265625" customWidth="1"/>
    <col min="36" max="36" width="18.81640625" customWidth="1"/>
    <col min="38" max="38" width="19" customWidth="1"/>
    <col min="39" max="39" width="20.1796875" customWidth="1"/>
    <col min="40" max="40" width="41" customWidth="1"/>
    <col min="41" max="41" width="10.7265625" customWidth="1"/>
  </cols>
  <sheetData>
    <row r="3" spans="1:4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356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277">
        <f>AF113</f>
        <v>5395312.0033333329</v>
      </c>
      <c r="AM3" s="164">
        <f>AH113-AI113</f>
        <v>58613.459766068459</v>
      </c>
    </row>
    <row r="4" spans="1:41" x14ac:dyDescent="0.35">
      <c r="A4" s="20">
        <v>45361</v>
      </c>
      <c r="B4" s="21" t="s">
        <v>911</v>
      </c>
      <c r="C4" s="21" t="s">
        <v>906</v>
      </c>
      <c r="D4" s="44">
        <v>1923648</v>
      </c>
      <c r="E4" s="44" t="s">
        <v>652</v>
      </c>
      <c r="F4" s="21">
        <v>100</v>
      </c>
      <c r="G4" s="21"/>
      <c r="H4" s="353">
        <v>47140</v>
      </c>
      <c r="I4" s="33">
        <v>0.53</v>
      </c>
      <c r="J4" s="24">
        <f>IFERROR(K4/H4,"")</f>
        <v>0.54868476877386507</v>
      </c>
      <c r="K4" s="22">
        <v>25865</v>
      </c>
      <c r="L4" s="21">
        <v>20</v>
      </c>
      <c r="M4" s="21">
        <v>39</v>
      </c>
      <c r="N4" s="21">
        <v>33</v>
      </c>
      <c r="O4" s="21">
        <v>6</v>
      </c>
      <c r="P4" s="21">
        <v>2</v>
      </c>
      <c r="Q4" s="21"/>
      <c r="R4" s="21"/>
      <c r="S4" s="21"/>
      <c r="T4" s="21"/>
      <c r="U4" s="25">
        <v>220</v>
      </c>
      <c r="V4" s="25">
        <f>H4*U4*I4/15</f>
        <v>366434.93333333335</v>
      </c>
      <c r="W4" s="25">
        <f>(853778.71/53087.5)*15</f>
        <v>241.23721497527666</v>
      </c>
      <c r="X4" s="25">
        <f>IFERROR(IFERROR((H4*W4*J4/15),""),"")</f>
        <v>415973.37102236872</v>
      </c>
      <c r="Y4" s="25">
        <f>IF(B4="FRANCISCO CAMACHO",((F4*42)+(G4*42)),IF(B4="DANILO VIANA",((F4*60)+(G4*60)),IF(B4="ANTONIO MARCUS ALBINO",((F4*60)+(G4*60)),0)))</f>
        <v>6000</v>
      </c>
      <c r="Z4" s="307">
        <v>18080.400000000001</v>
      </c>
      <c r="AA4" s="25">
        <v>0</v>
      </c>
      <c r="AB4" s="307">
        <v>2750</v>
      </c>
      <c r="AC4" s="25">
        <f>F4*38</f>
        <v>3800</v>
      </c>
      <c r="AD4" s="25">
        <f>IF(F4="",G4*4.24,F4*4.24)</f>
        <v>424</v>
      </c>
      <c r="AE4" s="25">
        <f>IFERROR(IFERROR((X4*0.2%),""),"")</f>
        <v>831.94674204473745</v>
      </c>
      <c r="AF4" s="25">
        <f>V4+Y4+Z4+AA4+AB4+AC4+AD4</f>
        <v>397489.33333333337</v>
      </c>
      <c r="AG4" s="25">
        <f>IFERROR(IFERROR((H4*W4*J4/15)-AE4,""),"")</f>
        <v>415141.42428032396</v>
      </c>
      <c r="AH4" s="26">
        <f>IFERROR(AG4-AF4,0)</f>
        <v>17652.090946990589</v>
      </c>
      <c r="AI4" s="25">
        <f>(F4+G4)/$AL$7*$AL$30</f>
        <v>508.98916666666673</v>
      </c>
      <c r="AJ4" s="25">
        <f>(AH4-AI4)*70%</f>
        <v>12000.171246226746</v>
      </c>
      <c r="AL4" s="166" t="s">
        <v>749</v>
      </c>
      <c r="AM4" s="167">
        <f>AM3/AL3</f>
        <v>1.0863775761226761E-2</v>
      </c>
    </row>
    <row r="5" spans="1:41" x14ac:dyDescent="0.35">
      <c r="A5" s="21"/>
      <c r="B5" s="21"/>
      <c r="C5" s="21"/>
      <c r="D5" s="21"/>
      <c r="E5" s="21"/>
      <c r="F5" s="21"/>
      <c r="G5" s="21"/>
      <c r="H5" s="353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5"/>
      <c r="AF5" s="21"/>
      <c r="AG5" s="21"/>
      <c r="AH5" s="26">
        <f>IFERROR(AH4/F4,0)+IFERROR(AH4/G4,0)</f>
        <v>176.52090946990589</v>
      </c>
      <c r="AI5" s="21"/>
      <c r="AJ5" s="21"/>
      <c r="AM5" s="63"/>
    </row>
    <row r="6" spans="1:41" x14ac:dyDescent="0.35">
      <c r="A6" s="21"/>
      <c r="B6" s="21"/>
      <c r="C6" s="21"/>
      <c r="D6" s="21"/>
      <c r="E6" s="21"/>
      <c r="F6" s="21"/>
      <c r="G6" s="21"/>
      <c r="H6" s="353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4.2520668655486975E-2</v>
      </c>
      <c r="AI6" s="21"/>
      <c r="AJ6" s="21"/>
      <c r="AM6" s="63"/>
    </row>
    <row r="7" spans="1:41" x14ac:dyDescent="0.35">
      <c r="A7" s="21"/>
      <c r="B7" s="21"/>
      <c r="C7" s="21"/>
      <c r="D7" s="21"/>
      <c r="E7" s="21"/>
      <c r="F7" s="21"/>
      <c r="G7" s="21"/>
      <c r="H7" s="353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21"/>
      <c r="AJ7" s="21"/>
      <c r="AL7" s="290">
        <f>F113+G113</f>
        <v>1200</v>
      </c>
      <c r="AM7" s="118" t="s">
        <v>22</v>
      </c>
    </row>
    <row r="8" spans="1:41" ht="15" customHeight="1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356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3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L8" s="48">
        <f>AH113</f>
        <v>64721.329766068462</v>
      </c>
      <c r="AM8" s="11">
        <f>AL8*30%</f>
        <v>19416.398929820538</v>
      </c>
      <c r="AN8" s="2"/>
    </row>
    <row r="9" spans="1:41" x14ac:dyDescent="0.35">
      <c r="A9" s="20">
        <v>45362</v>
      </c>
      <c r="B9" s="21" t="s">
        <v>911</v>
      </c>
      <c r="C9" s="21" t="s">
        <v>906</v>
      </c>
      <c r="D9" s="44">
        <v>1923654</v>
      </c>
      <c r="E9" s="44" t="s">
        <v>652</v>
      </c>
      <c r="F9" s="21">
        <v>50</v>
      </c>
      <c r="G9" s="21"/>
      <c r="H9" s="353">
        <v>24140</v>
      </c>
      <c r="I9" s="33">
        <v>0.53</v>
      </c>
      <c r="J9" s="24">
        <f>IFERROR(K9/H9,"")</f>
        <v>0.52582850041425022</v>
      </c>
      <c r="K9" s="22">
        <v>12693.5</v>
      </c>
      <c r="L9" s="21">
        <v>7</v>
      </c>
      <c r="M9" s="21">
        <v>23</v>
      </c>
      <c r="N9" s="21">
        <v>15</v>
      </c>
      <c r="O9" s="21">
        <v>5</v>
      </c>
      <c r="P9" s="21"/>
      <c r="Q9" s="21"/>
      <c r="R9" s="21"/>
      <c r="S9" s="21"/>
      <c r="T9" s="21"/>
      <c r="U9" s="25">
        <v>220</v>
      </c>
      <c r="V9" s="25">
        <f>H9*U9*I9/15</f>
        <v>187648.26666666666</v>
      </c>
      <c r="W9" s="25">
        <f>(942790.12/58811)*15</f>
        <v>240.46269915491996</v>
      </c>
      <c r="X9" s="25">
        <f>IFERROR(IFERROR((H9*W9*J9/15),""),"")</f>
        <v>203487.55144819844</v>
      </c>
      <c r="Y9" s="25">
        <f>IF(B9="FRANCISCO CAMACHO",((F9*42)+(G9*42)),IF(B9="DANILO VIANA",((F9*60)+(G9*60)),IF(B9="ANTONIO MARCUS ALBINO",((F9*60)+(G9*60)),0)))</f>
        <v>3000</v>
      </c>
      <c r="Z9" s="307">
        <v>9060.74</v>
      </c>
      <c r="AA9" s="25">
        <v>0</v>
      </c>
      <c r="AB9" s="326">
        <v>1375</v>
      </c>
      <c r="AC9" s="25">
        <f>F9*38</f>
        <v>1900</v>
      </c>
      <c r="AD9" s="25">
        <f>IF(F9="",G9*4.24,F9*4.24)</f>
        <v>212</v>
      </c>
      <c r="AE9" s="323">
        <f>IFERROR(IFERROR((X9*0.2%),""),"")</f>
        <v>406.97510289639689</v>
      </c>
      <c r="AF9" s="25">
        <f>V9+Y9+Z9+AA9+AB9+AC9+AD9</f>
        <v>203196.00666666665</v>
      </c>
      <c r="AG9" s="25">
        <f>IFERROR(IFERROR((H9*W9*J9/15)-AE9,""),"")</f>
        <v>203080.57634530205</v>
      </c>
      <c r="AH9" s="26">
        <f>IFERROR(AG9-AF9,0)</f>
        <v>-115.43032136460533</v>
      </c>
      <c r="AI9" s="25">
        <f>(F9+G9)/$AL$7*$AL$30</f>
        <v>254.49458333333337</v>
      </c>
      <c r="AJ9" s="25">
        <f>(AH9-AI9)*70%</f>
        <v>-258.94743328855708</v>
      </c>
      <c r="AL9" s="11"/>
      <c r="AM9" s="11"/>
    </row>
    <row r="10" spans="1:41" x14ac:dyDescent="0.35">
      <c r="A10" s="21"/>
      <c r="B10" s="21"/>
      <c r="C10" s="21"/>
      <c r="D10" s="21"/>
      <c r="E10" s="21"/>
      <c r="F10" s="21"/>
      <c r="G10" s="21"/>
      <c r="H10" s="353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316"/>
      <c r="AF10" s="21"/>
      <c r="AG10" s="21"/>
      <c r="AH10" s="26">
        <f>IFERROR(AH9/F9,0)+IFERROR(AH9/G9,0)</f>
        <v>-2.3086064272921067</v>
      </c>
      <c r="AI10" s="21"/>
      <c r="AJ10" s="21"/>
    </row>
    <row r="11" spans="1:41" x14ac:dyDescent="0.35">
      <c r="A11" s="21"/>
      <c r="B11" s="21"/>
      <c r="C11" s="21"/>
      <c r="D11" s="21"/>
      <c r="E11" s="21"/>
      <c r="F11" s="21"/>
      <c r="G11" s="21"/>
      <c r="H11" s="353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316"/>
      <c r="AF11" s="21"/>
      <c r="AG11" s="21"/>
      <c r="AH11" s="27">
        <f>IFERROR(AH9/AG9,"")</f>
        <v>-5.6839666029082374E-4</v>
      </c>
      <c r="AI11" s="21"/>
      <c r="AJ11" s="21"/>
      <c r="AL11" s="180" t="s">
        <v>187</v>
      </c>
      <c r="AM11" s="184" t="s">
        <v>680</v>
      </c>
      <c r="AN11" s="191"/>
      <c r="AO11" s="180" t="s">
        <v>1</v>
      </c>
    </row>
    <row r="12" spans="1:41" x14ac:dyDescent="0.35">
      <c r="A12" s="21"/>
      <c r="B12" s="21"/>
      <c r="C12" s="21"/>
      <c r="D12" s="21"/>
      <c r="E12" s="21"/>
      <c r="F12" s="21"/>
      <c r="G12" s="21"/>
      <c r="H12" s="353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316"/>
      <c r="AF12" s="21"/>
      <c r="AG12" s="21"/>
      <c r="AH12" s="47"/>
      <c r="AI12" s="47"/>
      <c r="AJ12" s="47"/>
      <c r="AL12" s="347"/>
      <c r="AM12" s="217"/>
      <c r="AN12" s="172"/>
      <c r="AO12" s="348"/>
    </row>
    <row r="13" spans="1:41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356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34" t="s">
        <v>14</v>
      </c>
      <c r="AF13" s="14" t="s">
        <v>15</v>
      </c>
      <c r="AG13" s="14" t="s">
        <v>16</v>
      </c>
      <c r="AH13" s="54" t="s">
        <v>17</v>
      </c>
      <c r="AI13" s="14" t="s">
        <v>679</v>
      </c>
      <c r="AJ13" s="14" t="s">
        <v>678</v>
      </c>
      <c r="AL13" s="208">
        <v>2620</v>
      </c>
      <c r="AM13" s="350" t="s">
        <v>1045</v>
      </c>
      <c r="AN13" s="350"/>
      <c r="AO13" s="346">
        <v>45362</v>
      </c>
    </row>
    <row r="14" spans="1:41" s="63" customFormat="1" ht="29" x14ac:dyDescent="0.35">
      <c r="A14" s="317">
        <v>45362</v>
      </c>
      <c r="B14" s="318" t="s">
        <v>982</v>
      </c>
      <c r="C14" s="316" t="s">
        <v>981</v>
      </c>
      <c r="D14" s="44">
        <v>1923654</v>
      </c>
      <c r="E14" s="319" t="s">
        <v>652</v>
      </c>
      <c r="F14" s="316">
        <v>50</v>
      </c>
      <c r="G14" s="316"/>
      <c r="H14" s="365">
        <f>29900</f>
        <v>29900</v>
      </c>
      <c r="I14" s="320">
        <v>0.54</v>
      </c>
      <c r="J14" s="321">
        <f>IFERROR(K14/H14,"")</f>
        <v>0.55981605351170571</v>
      </c>
      <c r="K14" s="322">
        <v>16738.5</v>
      </c>
      <c r="L14" s="316"/>
      <c r="M14" s="316">
        <v>13</v>
      </c>
      <c r="N14" s="316">
        <v>26</v>
      </c>
      <c r="O14" s="316">
        <v>11</v>
      </c>
      <c r="P14" s="316"/>
      <c r="Q14" s="316"/>
      <c r="R14" s="316"/>
      <c r="S14" s="316"/>
      <c r="T14" s="316"/>
      <c r="U14" s="323">
        <v>223</v>
      </c>
      <c r="V14" s="323">
        <f>H14*U14*I14/15</f>
        <v>240037.20000000004</v>
      </c>
      <c r="W14" s="323">
        <f>(942790.12/58811)*15</f>
        <v>240.46269915491996</v>
      </c>
      <c r="X14" s="323">
        <f>IFERROR(IFERROR((H14*W14*J14/15),""),"")</f>
        <v>268332.32598697522</v>
      </c>
      <c r="Y14" s="323">
        <f>IF(B14="FRANCISCO CAMACHO",((F14*42)+(G14*42)),IF(B14="DANILO VIANA",((F14*60)+(G14*60)),IF(B14="ANTONIO MARCUS ALBINO",((F14*60)+(G14*60)),0)))</f>
        <v>0</v>
      </c>
      <c r="Z14" s="307">
        <v>4207.2</v>
      </c>
      <c r="AA14" s="323">
        <v>0</v>
      </c>
      <c r="AB14" s="326">
        <v>1393.75</v>
      </c>
      <c r="AC14" s="323">
        <v>0</v>
      </c>
      <c r="AD14" s="323">
        <f>IF(F14="",G14*4.24,F14*4.24)</f>
        <v>212</v>
      </c>
      <c r="AE14" s="323">
        <f>IFERROR(IFERROR((X14*0.2%),""),"")</f>
        <v>536.66465197395041</v>
      </c>
      <c r="AF14" s="323">
        <f>V14+Y14+Z14+AA14+AB14+AC14+AD14</f>
        <v>245850.15000000005</v>
      </c>
      <c r="AG14" s="323">
        <f>IFERROR(IFERROR((H14*W14*J14/15)-AE14,""),"")</f>
        <v>267795.66133500129</v>
      </c>
      <c r="AH14" s="324">
        <f>IFERROR(AG14-AF14,0)</f>
        <v>21945.51133500124</v>
      </c>
      <c r="AI14" s="25">
        <f>(F14+G14)/$AL$7*$AL$30</f>
        <v>254.49458333333337</v>
      </c>
      <c r="AJ14" s="25">
        <f>(AH14-AI14)*70%</f>
        <v>15183.711726167534</v>
      </c>
      <c r="AL14" s="208">
        <v>92.15</v>
      </c>
      <c r="AM14" s="350" t="s">
        <v>890</v>
      </c>
      <c r="AN14" s="350"/>
      <c r="AO14" s="346">
        <v>45362</v>
      </c>
    </row>
    <row r="15" spans="1:41" x14ac:dyDescent="0.35">
      <c r="A15" s="21"/>
      <c r="B15" s="21"/>
      <c r="C15" s="21"/>
      <c r="D15" s="21"/>
      <c r="E15" s="21"/>
      <c r="F15" s="21"/>
      <c r="G15" s="21"/>
      <c r="H15" s="353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1"/>
      <c r="AF15" s="21"/>
      <c r="AG15" s="21"/>
      <c r="AH15" s="26">
        <f>IFERROR(AH14/F14,0)+IFERROR(AH14/G14,0)</f>
        <v>438.91022670002479</v>
      </c>
      <c r="AI15" s="21"/>
      <c r="AJ15" s="21"/>
      <c r="AL15" s="208">
        <v>857.92</v>
      </c>
      <c r="AM15" s="350" t="s">
        <v>1015</v>
      </c>
      <c r="AN15" s="350"/>
      <c r="AO15" s="346">
        <v>45364</v>
      </c>
    </row>
    <row r="16" spans="1:41" x14ac:dyDescent="0.35">
      <c r="A16" s="21"/>
      <c r="B16" s="21"/>
      <c r="C16" s="21"/>
      <c r="D16" s="21"/>
      <c r="E16" s="21"/>
      <c r="F16" s="21"/>
      <c r="G16" s="21"/>
      <c r="H16" s="353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8.1948718756680347E-2</v>
      </c>
      <c r="AI16" s="21"/>
      <c r="AJ16" s="21"/>
      <c r="AL16" s="351">
        <v>159.9</v>
      </c>
      <c r="AM16" s="56" t="s">
        <v>1016</v>
      </c>
      <c r="AN16" s="63"/>
      <c r="AO16" s="366">
        <v>45364</v>
      </c>
    </row>
    <row r="17" spans="1:41" x14ac:dyDescent="0.35">
      <c r="A17" s="21"/>
      <c r="B17" s="21"/>
      <c r="C17" s="21"/>
      <c r="D17" s="21"/>
      <c r="E17" s="21"/>
      <c r="F17" s="21"/>
      <c r="G17" s="21"/>
      <c r="H17" s="353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  <c r="AI17" s="21"/>
      <c r="AJ17" s="21"/>
      <c r="AL17" s="208">
        <v>410</v>
      </c>
      <c r="AM17" s="6" t="s">
        <v>1017</v>
      </c>
      <c r="AO17" s="346">
        <v>45364</v>
      </c>
    </row>
    <row r="18" spans="1:41" ht="14.5" customHeight="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356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1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208">
        <v>1731.9</v>
      </c>
      <c r="AM18" s="294" t="s">
        <v>1018</v>
      </c>
      <c r="AO18" s="346">
        <v>45365</v>
      </c>
    </row>
    <row r="19" spans="1:41" x14ac:dyDescent="0.35">
      <c r="A19" s="20">
        <v>45362</v>
      </c>
      <c r="B19" s="21" t="s">
        <v>978</v>
      </c>
      <c r="C19" s="21" t="s">
        <v>979</v>
      </c>
      <c r="D19" s="44">
        <v>1923654</v>
      </c>
      <c r="E19" s="44" t="s">
        <v>652</v>
      </c>
      <c r="F19" s="21">
        <v>100</v>
      </c>
      <c r="G19" s="21"/>
      <c r="H19" s="353">
        <v>53900</v>
      </c>
      <c r="I19" s="33">
        <v>0.54</v>
      </c>
      <c r="J19" s="24">
        <f>IFERROR(K19/H19,"")</f>
        <v>0.54506493506493503</v>
      </c>
      <c r="K19" s="22">
        <v>29379</v>
      </c>
      <c r="L19" s="21">
        <v>10</v>
      </c>
      <c r="M19" s="21">
        <v>68</v>
      </c>
      <c r="N19" s="21">
        <v>18</v>
      </c>
      <c r="O19" s="21">
        <v>4</v>
      </c>
      <c r="P19" s="21"/>
      <c r="Q19" s="21"/>
      <c r="R19" s="21"/>
      <c r="S19" s="21"/>
      <c r="T19" s="21"/>
      <c r="U19" s="25">
        <v>215</v>
      </c>
      <c r="V19" s="25">
        <f>H19*U19*I19/15</f>
        <v>417186</v>
      </c>
      <c r="W19" s="25">
        <f>(942790.12/58811)*15</f>
        <v>240.46269915491996</v>
      </c>
      <c r="X19" s="25">
        <f>IFERROR(IFERROR((H19*W19*J19/15),""),"")</f>
        <v>470970.24256482621</v>
      </c>
      <c r="Y19" s="25">
        <f>F19*42</f>
        <v>4200</v>
      </c>
      <c r="Z19" s="307">
        <f>16430.6+16281.8</f>
        <v>32712.399999999998</v>
      </c>
      <c r="AA19" s="25">
        <v>0</v>
      </c>
      <c r="AB19" s="329">
        <f>U19*15%*F19</f>
        <v>3225</v>
      </c>
      <c r="AC19" s="25">
        <v>0</v>
      </c>
      <c r="AD19" s="25">
        <f>IF(F19="",G19*4.24,F19*4.24)</f>
        <v>424</v>
      </c>
      <c r="AE19" s="25">
        <f>IFERROR(IFERROR((X19*0.2%),""),"")</f>
        <v>941.94048512965242</v>
      </c>
      <c r="AF19" s="25">
        <f>V19+Y19+Z19+AA19+AB19+AC19+AD19</f>
        <v>457747.4</v>
      </c>
      <c r="AG19" s="25">
        <f>IFERROR(IFERROR((H19*W19*J19/15)-AE19,""),"")</f>
        <v>470028.30207969656</v>
      </c>
      <c r="AH19" s="26">
        <f>IFERROR(AG19-AF19,0)</f>
        <v>12280.902079696534</v>
      </c>
      <c r="AI19" s="25">
        <f>(F19+G19)/$AL$7*$AL$30</f>
        <v>508.98916666666673</v>
      </c>
      <c r="AJ19" s="25">
        <f>(AH19-AI19)*70%</f>
        <v>8240.3390391209068</v>
      </c>
      <c r="AL19" s="208">
        <v>236</v>
      </c>
      <c r="AM19" s="6" t="s">
        <v>952</v>
      </c>
      <c r="AO19" s="346">
        <v>45366</v>
      </c>
    </row>
    <row r="20" spans="1:41" x14ac:dyDescent="0.35">
      <c r="A20" s="21"/>
      <c r="B20" s="21"/>
      <c r="C20" s="21"/>
      <c r="D20" s="21"/>
      <c r="E20" s="21"/>
      <c r="F20" s="21"/>
      <c r="G20" s="21"/>
      <c r="H20" s="353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122.80902079696534</v>
      </c>
      <c r="AI20" s="21"/>
      <c r="AJ20" s="21"/>
      <c r="AL20" s="208"/>
      <c r="AM20" s="6"/>
      <c r="AO20" s="346"/>
    </row>
    <row r="21" spans="1:41" x14ac:dyDescent="0.35">
      <c r="A21" s="21"/>
      <c r="B21" s="21"/>
      <c r="C21" s="21"/>
      <c r="D21" s="21"/>
      <c r="E21" s="21"/>
      <c r="F21" s="21"/>
      <c r="G21" s="21"/>
      <c r="H21" s="353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2.6128005537875507E-2</v>
      </c>
      <c r="AI21" s="21"/>
      <c r="AJ21" s="21"/>
      <c r="AL21" s="208"/>
      <c r="AM21" s="6"/>
      <c r="AO21" s="346"/>
    </row>
    <row r="22" spans="1:41" x14ac:dyDescent="0.35">
      <c r="A22" s="21"/>
      <c r="B22" s="21"/>
      <c r="C22" s="21"/>
      <c r="D22" s="21"/>
      <c r="E22" s="21"/>
      <c r="F22" s="21"/>
      <c r="G22" s="21"/>
      <c r="H22" s="353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I22" s="21"/>
      <c r="AJ22" s="21"/>
      <c r="AL22" s="208"/>
      <c r="AM22" s="6"/>
      <c r="AO22" s="346"/>
    </row>
    <row r="23" spans="1:4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356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208"/>
      <c r="AO23" s="346"/>
    </row>
    <row r="24" spans="1:41" x14ac:dyDescent="0.35">
      <c r="A24" s="20">
        <v>45362</v>
      </c>
      <c r="B24" s="21" t="s">
        <v>980</v>
      </c>
      <c r="C24" s="21" t="s">
        <v>848</v>
      </c>
      <c r="D24" s="44">
        <v>1923666</v>
      </c>
      <c r="E24" s="44" t="s">
        <v>652</v>
      </c>
      <c r="F24" s="21">
        <v>100</v>
      </c>
      <c r="G24" s="21"/>
      <c r="H24" s="353">
        <v>54158</v>
      </c>
      <c r="I24" s="33">
        <v>0.55000000000000004</v>
      </c>
      <c r="J24" s="24">
        <f>IFERROR(K24/H24,"")</f>
        <v>0.54677979245910113</v>
      </c>
      <c r="K24" s="22">
        <v>29612.5</v>
      </c>
      <c r="L24" s="21">
        <v>39</v>
      </c>
      <c r="M24" s="21">
        <v>57</v>
      </c>
      <c r="N24" s="21">
        <v>4</v>
      </c>
      <c r="O24" s="21"/>
      <c r="P24" s="21"/>
      <c r="Q24" s="21"/>
      <c r="R24" s="21"/>
      <c r="S24" s="21"/>
      <c r="T24" s="21"/>
      <c r="U24" s="25">
        <v>210</v>
      </c>
      <c r="V24" s="25">
        <f>H24*U24*I24/15</f>
        <v>417016.60000000003</v>
      </c>
      <c r="W24" s="25">
        <f>(918751.09/56783)*15</f>
        <v>242.70056795167565</v>
      </c>
      <c r="X24" s="25">
        <f>IFERROR(IFERROR((H24*W24*J24/15),""),"")</f>
        <v>479131.3712312663</v>
      </c>
      <c r="Y24" s="25">
        <f>F24*42</f>
        <v>4200</v>
      </c>
      <c r="Z24" s="307">
        <f>56467.58</f>
        <v>56467.58</v>
      </c>
      <c r="AA24" s="25">
        <v>0</v>
      </c>
      <c r="AB24" s="307">
        <v>2625</v>
      </c>
      <c r="AC24" s="25">
        <v>0</v>
      </c>
      <c r="AD24" s="25">
        <f>IF(F24="",G24*4.24,F24*4.24)</f>
        <v>424</v>
      </c>
      <c r="AE24" s="323">
        <f>IFERROR(IFERROR((X24*0.2%),""),"")</f>
        <v>958.26274246253263</v>
      </c>
      <c r="AF24" s="25">
        <f>V24+Y24+Z24+AA24+AB24+AC24+AD24</f>
        <v>480733.18000000005</v>
      </c>
      <c r="AG24" s="25">
        <f>IFERROR(IFERROR((H24*W24*J24/15)-AE24,""),"")</f>
        <v>478173.10848880379</v>
      </c>
      <c r="AH24" s="26">
        <f>IFERROR(AG24-AF24,0)</f>
        <v>-2560.0715111962636</v>
      </c>
      <c r="AI24" s="25">
        <f>(F24+G24)/$AL$7*$AL$30</f>
        <v>508.98916666666673</v>
      </c>
      <c r="AJ24" s="25">
        <f>(AH24-AI24)*70%</f>
        <v>-2148.3424745040511</v>
      </c>
      <c r="AL24" s="208"/>
      <c r="AM24" s="294"/>
      <c r="AO24" s="346"/>
    </row>
    <row r="25" spans="1:41" x14ac:dyDescent="0.35">
      <c r="A25" s="21"/>
      <c r="B25" s="21"/>
      <c r="C25" s="21"/>
      <c r="D25" s="21"/>
      <c r="E25" s="21"/>
      <c r="F25" s="21"/>
      <c r="G25" s="21"/>
      <c r="H25" s="353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5"/>
      <c r="Y25" s="21"/>
      <c r="Z25" s="3"/>
      <c r="AA25" s="21"/>
      <c r="AB25" s="21"/>
      <c r="AC25" s="21"/>
      <c r="AD25" s="21"/>
      <c r="AE25" s="316"/>
      <c r="AF25" s="21"/>
      <c r="AG25" s="25"/>
      <c r="AH25" s="26">
        <f>IFERROR(AH24/F24,0)+IFERROR(AH24/G24,0)</f>
        <v>-25.600715111962636</v>
      </c>
      <c r="AI25" s="21"/>
      <c r="AJ25" s="21"/>
      <c r="AL25" s="208"/>
      <c r="AM25" s="6"/>
      <c r="AO25" s="346"/>
    </row>
    <row r="26" spans="1:41" x14ac:dyDescent="0.35">
      <c r="A26" s="21"/>
      <c r="B26" s="21"/>
      <c r="C26" s="21"/>
      <c r="D26" s="21"/>
      <c r="E26" s="21"/>
      <c r="F26" s="21"/>
      <c r="G26" s="21"/>
      <c r="H26" s="353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316"/>
      <c r="AF26" s="21"/>
      <c r="AG26" s="21"/>
      <c r="AH26" s="27">
        <f>IFERROR(AH24/AG24,"")</f>
        <v>-5.3538592316221953E-3</v>
      </c>
      <c r="AI26" s="21"/>
      <c r="AJ26" s="21"/>
      <c r="AL26" s="219"/>
      <c r="AO26" s="174"/>
    </row>
    <row r="27" spans="1:41" x14ac:dyDescent="0.35">
      <c r="A27" s="21"/>
      <c r="B27" s="21"/>
      <c r="C27" s="21"/>
      <c r="D27" s="21"/>
      <c r="E27" s="21"/>
      <c r="F27" s="21"/>
      <c r="G27" s="21"/>
      <c r="H27" s="353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316"/>
      <c r="AF27" s="21"/>
      <c r="AG27" s="21"/>
      <c r="AH27" s="47"/>
      <c r="AI27" s="21"/>
      <c r="AJ27" s="21"/>
      <c r="AL27" s="219"/>
      <c r="AO27" s="174"/>
    </row>
    <row r="28" spans="1:4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356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9"/>
      <c r="AO28" s="174"/>
    </row>
    <row r="29" spans="1:41" x14ac:dyDescent="0.35">
      <c r="A29" s="20">
        <v>45363</v>
      </c>
      <c r="B29" s="21" t="s">
        <v>911</v>
      </c>
      <c r="C29" s="21" t="s">
        <v>906</v>
      </c>
      <c r="D29" s="44">
        <v>1923666</v>
      </c>
      <c r="E29" s="44" t="s">
        <v>652</v>
      </c>
      <c r="F29" s="316">
        <v>50</v>
      </c>
      <c r="G29" s="21"/>
      <c r="H29" s="353">
        <f>47860/100*F29</f>
        <v>23930</v>
      </c>
      <c r="I29" s="33">
        <v>0.53</v>
      </c>
      <c r="J29" s="24">
        <f>IFERROR(K29/H29,"")</f>
        <v>0.53489343919765986</v>
      </c>
      <c r="K29" s="22">
        <v>12800</v>
      </c>
      <c r="L29" s="21">
        <v>7</v>
      </c>
      <c r="M29" s="21">
        <v>19</v>
      </c>
      <c r="N29" s="21">
        <v>20</v>
      </c>
      <c r="O29" s="21">
        <v>4</v>
      </c>
      <c r="P29" s="21"/>
      <c r="Q29" s="21"/>
      <c r="R29" s="21"/>
      <c r="S29" s="21"/>
      <c r="T29" s="21"/>
      <c r="U29" s="25">
        <v>220</v>
      </c>
      <c r="V29" s="25">
        <f>H29*U29*I29/15</f>
        <v>186015.86666666667</v>
      </c>
      <c r="W29" s="25">
        <f>(918751.09/56783)*15</f>
        <v>242.70056795167565</v>
      </c>
      <c r="X29" s="25">
        <f>IFERROR(IFERROR((H29*W29*J29/15),""),"")</f>
        <v>207104.48465209655</v>
      </c>
      <c r="Y29" s="25">
        <f>IF(B29="FRANCISCO CAMACHO",((F29*42)+(G29*42)),IF(B29="DANILO VIANA",((F29*60)+(G29*60)),IF(B29="ANTONIO MARCUS ALBINO",((F29*60)+(G29*60)),0)))</f>
        <v>3000</v>
      </c>
      <c r="Z29" s="307">
        <f>(9048+8989.22)/100*F29</f>
        <v>9018.61</v>
      </c>
      <c r="AA29" s="25">
        <v>0</v>
      </c>
      <c r="AB29" s="307">
        <f>2750/100*F29</f>
        <v>1375</v>
      </c>
      <c r="AC29" s="25">
        <f>F29*38</f>
        <v>1900</v>
      </c>
      <c r="AD29" s="25">
        <f>IF(F29="",G29*4.24,F29*4.24)</f>
        <v>212</v>
      </c>
      <c r="AE29" s="25">
        <f>IFERROR(IFERROR((X29*0.2%),""),"")</f>
        <v>414.20896930419309</v>
      </c>
      <c r="AF29" s="25">
        <f>V29+Y29+Z29+AA29+AB29+AC29+AD29</f>
        <v>201521.47666666668</v>
      </c>
      <c r="AG29" s="25">
        <f>IFERROR(IFERROR((H29*W29*J29/15)-AE29,""),"")</f>
        <v>206690.27568279236</v>
      </c>
      <c r="AH29" s="26">
        <f>IFERROR(AG29-AF29,0)</f>
        <v>5168.7990161256748</v>
      </c>
      <c r="AI29" s="25">
        <f>(F29+G29)/$AL$7*$AL$30</f>
        <v>254.49458333333337</v>
      </c>
      <c r="AJ29" s="25">
        <f>(AH29-AI29)*70%</f>
        <v>3440.0131029546392</v>
      </c>
      <c r="AL29" s="219"/>
      <c r="AO29" s="174"/>
    </row>
    <row r="30" spans="1:41" x14ac:dyDescent="0.35">
      <c r="A30" s="21"/>
      <c r="B30" s="21"/>
      <c r="C30" s="21"/>
      <c r="D30" s="21"/>
      <c r="E30" s="21"/>
      <c r="F30" s="21"/>
      <c r="G30" s="21"/>
      <c r="H30" s="353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IFERROR(AH29/F29,0)+IFERROR(AH29/G29,0)</f>
        <v>103.3759803225135</v>
      </c>
      <c r="AI30" s="21"/>
      <c r="AJ30" s="21"/>
      <c r="AL30" s="179">
        <f>SUM(AL12:AL29)</f>
        <v>6107.8700000000008</v>
      </c>
      <c r="AM30" s="349" t="s">
        <v>673</v>
      </c>
      <c r="AN30" s="176"/>
      <c r="AO30" s="297"/>
    </row>
    <row r="31" spans="1:41" x14ac:dyDescent="0.35">
      <c r="A31" s="21"/>
      <c r="B31" s="21"/>
      <c r="C31" s="21"/>
      <c r="D31" s="21"/>
      <c r="E31" s="21"/>
      <c r="F31" s="21"/>
      <c r="G31" s="21"/>
      <c r="H31" s="353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>
        <f>IFERROR(AH29/AG29,"")</f>
        <v>2.5007461038264966E-2</v>
      </c>
      <c r="AI31" s="21"/>
      <c r="AJ31" s="21"/>
      <c r="AL31" s="57"/>
      <c r="AM31" s="6"/>
    </row>
    <row r="32" spans="1:41" x14ac:dyDescent="0.35">
      <c r="A32" s="21"/>
      <c r="B32" s="21"/>
      <c r="C32" s="21"/>
      <c r="D32" s="21"/>
      <c r="E32" s="21"/>
      <c r="F32" s="21"/>
      <c r="G32" s="21"/>
      <c r="H32" s="353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21"/>
      <c r="AJ32" s="21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356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57"/>
      <c r="AM33" s="118" t="s">
        <v>22</v>
      </c>
      <c r="AN33" s="12"/>
    </row>
    <row r="34" spans="1:40" x14ac:dyDescent="0.35">
      <c r="A34" s="20">
        <v>45363</v>
      </c>
      <c r="B34" s="21" t="s">
        <v>911</v>
      </c>
      <c r="C34" s="21" t="s">
        <v>906</v>
      </c>
      <c r="D34" s="44">
        <v>1926507</v>
      </c>
      <c r="E34" s="44" t="s">
        <v>652</v>
      </c>
      <c r="F34" s="316">
        <v>50</v>
      </c>
      <c r="G34" s="21"/>
      <c r="H34" s="353">
        <f>47860/100*F34</f>
        <v>23930</v>
      </c>
      <c r="I34" s="33">
        <v>0.53</v>
      </c>
      <c r="J34" s="24">
        <f>IFERROR(K34/H34,"")</f>
        <v>0.51462035171276788</v>
      </c>
      <c r="K34" s="22">
        <v>12314.865016486536</v>
      </c>
      <c r="L34" s="21">
        <v>4</v>
      </c>
      <c r="M34" s="21">
        <v>15</v>
      </c>
      <c r="N34" s="21">
        <v>21</v>
      </c>
      <c r="O34" s="21">
        <v>10</v>
      </c>
      <c r="P34" s="21"/>
      <c r="Q34" s="21"/>
      <c r="R34" s="21"/>
      <c r="S34" s="21"/>
      <c r="T34" s="21"/>
      <c r="U34" s="25">
        <v>220</v>
      </c>
      <c r="V34" s="25">
        <f>H34*U34*I34/15</f>
        <v>186015.86666666667</v>
      </c>
      <c r="W34" s="25">
        <f>(1081975.34/67423.5)*15</f>
        <v>240.71177111837864</v>
      </c>
      <c r="X34" s="25">
        <f>IFERROR(IFERROR((H34*W34*J34/15),""),"")</f>
        <v>197622.19794681566</v>
      </c>
      <c r="Y34" s="25">
        <f>IF(B34="FRANCISCO CAMACHO",((F34*42)+(G34*42)),IF(B34="DANILO VIANA",((F34*60)+(G34*60)),IF(B34="ANTONIO MARCUS ALBINO",((F34*60)+(G34*60)),0)))</f>
        <v>3000</v>
      </c>
      <c r="Z34" s="307">
        <f>(9048+8989.22)/100*F34</f>
        <v>9018.61</v>
      </c>
      <c r="AA34" s="25">
        <v>0</v>
      </c>
      <c r="AB34" s="307">
        <f>2750/100*F34</f>
        <v>1375</v>
      </c>
      <c r="AC34" s="25">
        <f>F34*38</f>
        <v>1900</v>
      </c>
      <c r="AD34" s="25">
        <f>IF(F34="",G34*4.24,F34*4.24)</f>
        <v>212</v>
      </c>
      <c r="AE34" s="25">
        <f>IFERROR(IFERROR((X34*0.2%),""),"")</f>
        <v>395.24439589363135</v>
      </c>
      <c r="AF34" s="25">
        <f>V34+Y34+Z34+AA34+AB34+AC34+AD34</f>
        <v>201521.47666666668</v>
      </c>
      <c r="AG34" s="25">
        <f>IFERROR(IFERROR((H34*W34*J34/15)-AE34,""),"")</f>
        <v>197226.95355092204</v>
      </c>
      <c r="AH34" s="26">
        <f>IFERROR(AG34-AF34,0)</f>
        <v>-4294.5231157446397</v>
      </c>
      <c r="AI34" s="25">
        <f>(F34+G34)/$AL$7*$AL$30</f>
        <v>254.49458333333337</v>
      </c>
      <c r="AJ34" s="25">
        <f>(AH34-AI34)*70%</f>
        <v>-3184.3123893545808</v>
      </c>
      <c r="AL34" s="368">
        <f>AL8-AL30</f>
        <v>58613.459766068459</v>
      </c>
      <c r="AM34" s="248">
        <f>AL34*30%</f>
        <v>17584.037929820537</v>
      </c>
      <c r="AN34" s="12"/>
    </row>
    <row r="35" spans="1:40" x14ac:dyDescent="0.35">
      <c r="A35" s="21"/>
      <c r="B35" s="21"/>
      <c r="C35" s="21"/>
      <c r="D35" s="21"/>
      <c r="E35" s="21"/>
      <c r="F35" s="21"/>
      <c r="G35" s="21"/>
      <c r="H35" s="353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-85.890462314892787</v>
      </c>
      <c r="AI35" s="21"/>
      <c r="AJ35" s="21"/>
      <c r="AL35" s="57"/>
      <c r="AM35" s="249"/>
      <c r="AN35" s="246"/>
    </row>
    <row r="36" spans="1:40" x14ac:dyDescent="0.35">
      <c r="A36" s="21"/>
      <c r="B36" s="21"/>
      <c r="C36" s="21"/>
      <c r="D36" s="21"/>
      <c r="E36" s="21"/>
      <c r="F36" s="21"/>
      <c r="G36" s="21"/>
      <c r="H36" s="353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>
        <f>IFERROR(AH34/AG34,"")</f>
        <v>-2.177452441679497E-2</v>
      </c>
      <c r="AI36" s="21"/>
      <c r="AJ36" s="21"/>
      <c r="AL36" s="57"/>
      <c r="AM36" s="265">
        <f>'09.03.24'!AM38</f>
        <v>-28191.41522709341</v>
      </c>
      <c r="AN36" s="284" t="s">
        <v>1047</v>
      </c>
    </row>
    <row r="37" spans="1:40" x14ac:dyDescent="0.35">
      <c r="A37" s="21"/>
      <c r="B37" s="21"/>
      <c r="C37" s="21"/>
      <c r="D37" s="21"/>
      <c r="E37" s="21"/>
      <c r="F37" s="21"/>
      <c r="G37" s="21"/>
      <c r="H37" s="353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21"/>
      <c r="AJ37" s="21"/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356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  <c r="AM38" s="313">
        <f>AM34+AM36</f>
        <v>-10607.377297272873</v>
      </c>
      <c r="AN38" s="314" t="s">
        <v>1023</v>
      </c>
    </row>
    <row r="39" spans="1:40" x14ac:dyDescent="0.35">
      <c r="A39" s="20">
        <v>45363</v>
      </c>
      <c r="B39" s="21" t="s">
        <v>978</v>
      </c>
      <c r="C39" s="21" t="s">
        <v>979</v>
      </c>
      <c r="D39" s="44">
        <v>1923666</v>
      </c>
      <c r="E39" s="44" t="s">
        <v>652</v>
      </c>
      <c r="F39" s="21">
        <v>50</v>
      </c>
      <c r="G39" s="21"/>
      <c r="H39" s="353">
        <v>26880</v>
      </c>
      <c r="I39" s="33">
        <v>0.54</v>
      </c>
      <c r="J39" s="24">
        <f>IFERROR(K39/H39,"")</f>
        <v>0.53461681547619044</v>
      </c>
      <c r="K39" s="22">
        <v>14370.5</v>
      </c>
      <c r="L39" s="21">
        <v>6</v>
      </c>
      <c r="M39" s="21">
        <v>28</v>
      </c>
      <c r="N39" s="21">
        <v>15</v>
      </c>
      <c r="O39" s="21">
        <v>1</v>
      </c>
      <c r="P39" s="21"/>
      <c r="Q39" s="21"/>
      <c r="R39" s="21"/>
      <c r="S39" s="21"/>
      <c r="T39" s="21"/>
      <c r="U39" s="25">
        <v>215</v>
      </c>
      <c r="V39" s="25">
        <f>H39*U39*I39/15</f>
        <v>208051.20000000001</v>
      </c>
      <c r="W39" s="25">
        <f>(918751.09/56783)*15</f>
        <v>242.70056795167565</v>
      </c>
      <c r="X39" s="25">
        <f>IFERROR(IFERROR((H39*W39*J39/15),""),"")</f>
        <v>232515.234116637</v>
      </c>
      <c r="Y39" s="25">
        <f>F39*42</f>
        <v>2100</v>
      </c>
      <c r="Z39" s="307">
        <f>16430.6</f>
        <v>16430.599999999999</v>
      </c>
      <c r="AA39" s="25">
        <v>0</v>
      </c>
      <c r="AB39" s="329">
        <f>U39*15%*F39</f>
        <v>1612.5</v>
      </c>
      <c r="AC39" s="25">
        <v>0</v>
      </c>
      <c r="AD39" s="25">
        <f>IF(F39="",G39*4.24,F39*4.24)</f>
        <v>212</v>
      </c>
      <c r="AE39" s="25">
        <f>IFERROR(IFERROR((X39*0.2%),""),"")</f>
        <v>465.03046823327401</v>
      </c>
      <c r="AF39" s="25">
        <f>V39+Y39+Z39+AA39+AB39+AC39+AD39</f>
        <v>228406.30000000002</v>
      </c>
      <c r="AG39" s="25">
        <f>IFERROR(IFERROR((H39*W39*J39/15)-AE39,""),"")</f>
        <v>232050.20364840372</v>
      </c>
      <c r="AH39" s="26">
        <f>IFERROR(AG39-AF39,0)</f>
        <v>3643.903648403706</v>
      </c>
      <c r="AI39" s="25">
        <f>(F39+G39)/$AL$7*$AL$30</f>
        <v>254.49458333333337</v>
      </c>
      <c r="AJ39" s="25">
        <f>(AH39-AI39)*70%</f>
        <v>2372.5863455492608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353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72.878072968074122</v>
      </c>
      <c r="AI40" s="21"/>
      <c r="AJ40" s="21"/>
    </row>
    <row r="41" spans="1:40" x14ac:dyDescent="0.35">
      <c r="A41" s="21"/>
      <c r="B41" s="21"/>
      <c r="C41" s="21"/>
      <c r="D41" s="21"/>
      <c r="E41" s="21"/>
      <c r="F41" s="21"/>
      <c r="G41" s="21"/>
      <c r="H41" s="353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>
        <f>IFERROR(AH39/AG39,"")</f>
        <v>1.5703083173867202E-2</v>
      </c>
      <c r="AI41" s="21"/>
      <c r="AJ41" s="21"/>
    </row>
    <row r="42" spans="1:40" x14ac:dyDescent="0.35">
      <c r="A42" s="21"/>
      <c r="B42" s="21"/>
      <c r="C42" s="21"/>
      <c r="D42" s="21"/>
      <c r="E42" s="21"/>
      <c r="F42" s="21"/>
      <c r="G42" s="21"/>
      <c r="H42" s="353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21"/>
      <c r="AJ42" s="21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356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>
        <v>45364</v>
      </c>
      <c r="B44" s="21" t="s">
        <v>983</v>
      </c>
      <c r="C44" s="21" t="s">
        <v>984</v>
      </c>
      <c r="D44" s="44">
        <v>1926507</v>
      </c>
      <c r="E44" s="21" t="s">
        <v>652</v>
      </c>
      <c r="F44" s="21">
        <v>50</v>
      </c>
      <c r="G44" s="21"/>
      <c r="H44" s="353">
        <v>26360</v>
      </c>
      <c r="I44" s="33">
        <v>0.53</v>
      </c>
      <c r="J44" s="24">
        <f>IFERROR(K44/H44,"")</f>
        <v>0.51462035171276788</v>
      </c>
      <c r="K44" s="162">
        <v>13565.392471148562</v>
      </c>
      <c r="L44" s="21">
        <v>1</v>
      </c>
      <c r="M44" s="21">
        <v>21</v>
      </c>
      <c r="N44" s="21">
        <v>23</v>
      </c>
      <c r="O44" s="21">
        <v>5</v>
      </c>
      <c r="P44" s="21"/>
      <c r="Q44" s="21"/>
      <c r="R44" s="21"/>
      <c r="S44" s="21"/>
      <c r="T44" s="21"/>
      <c r="U44" s="25">
        <v>225</v>
      </c>
      <c r="V44" s="25">
        <f>H44*U44*I44/15</f>
        <v>209562</v>
      </c>
      <c r="W44" s="25">
        <f>(1081975.34/67423.5)*15</f>
        <v>240.71177111837864</v>
      </c>
      <c r="X44" s="25">
        <f>IFERROR(IFERROR((H44*W44*J44/15),""),"")</f>
        <v>217689.97650973927</v>
      </c>
      <c r="Y44" s="25">
        <f>IF(B44="FRANCISCO CAMACHO",((F44*42)+(G44*42)),IF(B44="DANILO VIANA",((F44*60)+(G44*60)),IF(B44="ANTONIO MARCUS ALBINO",((F44*60)+(G44*60)),0)))</f>
        <v>0</v>
      </c>
      <c r="Z44" s="307">
        <v>7101</v>
      </c>
      <c r="AA44" s="25">
        <v>0</v>
      </c>
      <c r="AB44" s="307">
        <v>1406.25</v>
      </c>
      <c r="AC44" s="25">
        <v>0</v>
      </c>
      <c r="AD44" s="25">
        <f>IF(F44="",G44*4.24,F44*4.24)</f>
        <v>212</v>
      </c>
      <c r="AE44" s="25">
        <f>IFERROR(IFERROR((X44*0.2%),""),"")</f>
        <v>435.37995301947853</v>
      </c>
      <c r="AF44" s="25">
        <f>V44+Y44+Z44+AA44+AB44+AC44+AD44</f>
        <v>218281.25</v>
      </c>
      <c r="AG44" s="25">
        <f>IFERROR(IFERROR((H44*W44*J44/15)-AE44,""),"")</f>
        <v>217254.5965567198</v>
      </c>
      <c r="AH44" s="26">
        <f>IFERROR(AG44-AF44,0)</f>
        <v>-1026.6534432802</v>
      </c>
      <c r="AI44" s="25">
        <f>(F44+G44)/$AL$7*$AL$30</f>
        <v>254.49458333333337</v>
      </c>
      <c r="AJ44" s="25">
        <f>(AH44-AI44)*70%</f>
        <v>-896.80361862947325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353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-20.533068865604001</v>
      </c>
      <c r="AI45" s="21"/>
      <c r="AJ45" s="21"/>
    </row>
    <row r="46" spans="1:40" x14ac:dyDescent="0.35">
      <c r="A46" s="21"/>
      <c r="B46" s="21"/>
      <c r="C46" s="21"/>
      <c r="D46" s="21"/>
      <c r="E46" s="21"/>
      <c r="F46" s="21"/>
      <c r="G46" s="21"/>
      <c r="H46" s="353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>
        <f>IFERROR(AH44/AG44,"")</f>
        <v>-4.7255775461218664E-3</v>
      </c>
      <c r="AI46" s="21"/>
      <c r="AJ46" s="21"/>
    </row>
    <row r="47" spans="1:40" x14ac:dyDescent="0.35">
      <c r="A47" s="21"/>
      <c r="B47" s="21"/>
      <c r="C47" s="21"/>
      <c r="D47" s="21"/>
      <c r="E47" s="21"/>
      <c r="F47" s="21"/>
      <c r="G47" s="21"/>
      <c r="H47" s="353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  <c r="AI47" s="21"/>
      <c r="AJ47" s="21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356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x14ac:dyDescent="0.35">
      <c r="A49" s="20">
        <v>45364</v>
      </c>
      <c r="B49" s="21" t="s">
        <v>985</v>
      </c>
      <c r="C49" s="21" t="s">
        <v>986</v>
      </c>
      <c r="D49" s="44">
        <v>1926507</v>
      </c>
      <c r="E49" s="44" t="s">
        <v>652</v>
      </c>
      <c r="F49" s="21">
        <v>50</v>
      </c>
      <c r="G49" s="21"/>
      <c r="H49" s="353">
        <v>27475</v>
      </c>
      <c r="I49" s="33">
        <v>0.53</v>
      </c>
      <c r="J49" s="24">
        <f>IFERROR(K49/H49,"")</f>
        <v>0.51462035171276788</v>
      </c>
      <c r="K49" s="162">
        <v>14139.194163308299</v>
      </c>
      <c r="L49" s="21">
        <v>13</v>
      </c>
      <c r="M49" s="21">
        <v>33</v>
      </c>
      <c r="N49" s="21">
        <v>4</v>
      </c>
      <c r="O49" s="21"/>
      <c r="P49" s="21"/>
      <c r="Q49" s="21"/>
      <c r="R49" s="21"/>
      <c r="S49" s="21"/>
      <c r="T49" s="21"/>
      <c r="U49" s="25">
        <v>225</v>
      </c>
      <c r="V49" s="25">
        <f>H49*U49*I49/15</f>
        <v>218426.25</v>
      </c>
      <c r="W49" s="25">
        <f>(1081975.34/67423.5)*15</f>
        <v>240.71177111837864</v>
      </c>
      <c r="X49" s="25">
        <f>IFERROR(IFERROR((H49*W49*J49/15),""),"")</f>
        <v>226898.03128243881</v>
      </c>
      <c r="Y49" s="25">
        <f>IF(B49="FRANCISCO CAMACHO",((F49*42)+(G49*42)),IF(B49="DANILO VIANA",((F49*60)+(G49*60)),IF(B49="ANTONIO MARCUS ALBINO",((F49*60)+(G49*60)),0)))</f>
        <v>0</v>
      </c>
      <c r="Z49" s="307">
        <v>2649.6</v>
      </c>
      <c r="AA49" s="25">
        <v>0</v>
      </c>
      <c r="AB49" s="307">
        <v>1406.25</v>
      </c>
      <c r="AC49" s="25">
        <v>0</v>
      </c>
      <c r="AD49" s="25">
        <f>IF(F49="",G49*4.24,F49*4.24)</f>
        <v>212</v>
      </c>
      <c r="AE49" s="25">
        <f>IFERROR(IFERROR((X49*0.2%),""),"")</f>
        <v>453.79606256487762</v>
      </c>
      <c r="AF49" s="25">
        <f>V49+Y49+Z49+AA49+AB49+AC49+AD49</f>
        <v>222694.1</v>
      </c>
      <c r="AG49" s="25">
        <f>IFERROR(IFERROR((H49*W49*J49/15)-AE49,""),"")</f>
        <v>226444.23521987392</v>
      </c>
      <c r="AH49" s="48">
        <f>IFERROR(AG49-AF49,0)</f>
        <v>3750.1352198739187</v>
      </c>
      <c r="AI49" s="25">
        <f>(F49+G49)/$AL$7*$AL$30</f>
        <v>254.49458333333337</v>
      </c>
      <c r="AJ49" s="25">
        <f>(AH49-AI49)*70%</f>
        <v>2446.9484455784095</v>
      </c>
    </row>
    <row r="50" spans="1:36" x14ac:dyDescent="0.35">
      <c r="A50" s="21"/>
      <c r="B50" s="21"/>
      <c r="C50" s="21"/>
      <c r="D50" s="21"/>
      <c r="E50" s="21"/>
      <c r="F50" s="21"/>
      <c r="G50" s="21"/>
      <c r="H50" s="353"/>
      <c r="I50" s="21"/>
      <c r="J50" s="21"/>
      <c r="K50" s="22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75.002704397478368</v>
      </c>
      <c r="AI50" s="21"/>
      <c r="AJ50" s="21"/>
    </row>
    <row r="51" spans="1:36" x14ac:dyDescent="0.35">
      <c r="A51" s="21"/>
      <c r="B51" s="21"/>
      <c r="C51" s="21"/>
      <c r="D51" s="21"/>
      <c r="E51" s="21"/>
      <c r="F51" s="21"/>
      <c r="G51" s="21"/>
      <c r="H51" s="353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>
        <f>IFERROR(AH49/AG49,"")</f>
        <v>1.6560965732833048E-2</v>
      </c>
      <c r="AI51" s="21"/>
      <c r="AJ51" s="21"/>
    </row>
    <row r="52" spans="1:36" x14ac:dyDescent="0.35">
      <c r="A52" s="21"/>
      <c r="B52" s="21"/>
      <c r="C52" s="21"/>
      <c r="D52" s="21"/>
      <c r="E52" s="21"/>
      <c r="F52" s="21"/>
      <c r="G52" s="21"/>
      <c r="H52" s="353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21"/>
      <c r="AJ52" s="21"/>
    </row>
    <row r="53" spans="1:36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356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x14ac:dyDescent="0.35">
      <c r="A54" s="38">
        <v>45364</v>
      </c>
      <c r="B54" s="39" t="s">
        <v>911</v>
      </c>
      <c r="C54" s="39" t="s">
        <v>987</v>
      </c>
      <c r="D54" s="45">
        <v>1926507</v>
      </c>
      <c r="E54" s="45" t="s">
        <v>652</v>
      </c>
      <c r="F54" s="39">
        <v>100</v>
      </c>
      <c r="G54" s="39"/>
      <c r="H54" s="357">
        <v>53251</v>
      </c>
      <c r="I54" s="53">
        <v>0.54</v>
      </c>
      <c r="J54" s="42">
        <f>IFERROR(K54/H54,"")</f>
        <v>0.51462035171276788</v>
      </c>
      <c r="K54" s="40">
        <v>27404.048349056604</v>
      </c>
      <c r="L54" s="39">
        <v>24</v>
      </c>
      <c r="M54" s="39">
        <v>72</v>
      </c>
      <c r="N54" s="39">
        <v>3</v>
      </c>
      <c r="O54" s="39">
        <v>1</v>
      </c>
      <c r="P54" s="39"/>
      <c r="Q54" s="39"/>
      <c r="R54" s="39"/>
      <c r="S54" s="39"/>
      <c r="T54" s="39"/>
      <c r="U54" s="43">
        <v>215</v>
      </c>
      <c r="V54" s="43">
        <f>H54*U54*I54/15</f>
        <v>412162.74000000005</v>
      </c>
      <c r="W54" s="43">
        <f>(1081975.34/67423.5)*15</f>
        <v>240.71177111837864</v>
      </c>
      <c r="X54" s="43">
        <f>IFERROR(IFERROR((H54*W54*J54/15),""),"")</f>
        <v>439765.13426100631</v>
      </c>
      <c r="Y54" s="43">
        <f>IF(B54="FRANCISCO CAMACHO",((F54*42)+(G54*42)),IF(B54="DANILO VIANA",((F54*60)+(G54*60)),IF(B54="ANTONIO MARCUS ALBINO",((F54*60)+(G54*60)),0)))</f>
        <v>6000</v>
      </c>
      <c r="Z54" s="307">
        <f>14824.4+14424.3</f>
        <v>29248.699999999997</v>
      </c>
      <c r="AA54" s="43">
        <v>0</v>
      </c>
      <c r="AB54" s="43">
        <f>2687.5</f>
        <v>2687.5</v>
      </c>
      <c r="AC54" s="43">
        <f>F54*38</f>
        <v>3800</v>
      </c>
      <c r="AD54" s="43">
        <f>IF(F54="",G54*4.24,F54*4.24)</f>
        <v>424</v>
      </c>
      <c r="AE54" s="43">
        <f>IFERROR(IFERROR((X54*0.2%),""),"")</f>
        <v>879.53026852201265</v>
      </c>
      <c r="AF54" s="43">
        <f>V54+Y54+Z54+AA54+AB54+AC54+AD54</f>
        <v>454322.94000000006</v>
      </c>
      <c r="AG54" s="43">
        <f>IFERROR(IFERROR((H54*W54*J54/15)-AE54,""),"")</f>
        <v>438885.60399248428</v>
      </c>
      <c r="AH54" s="26">
        <f>IFERROR(AG54-AF54,0)</f>
        <v>-15437.336007515783</v>
      </c>
      <c r="AI54" s="25">
        <f>(F54+G54)/$AL$7*$AL$30</f>
        <v>508.98916666666673</v>
      </c>
      <c r="AJ54" s="25">
        <f>(AH54-AI54)*70%</f>
        <v>-11162.427621927714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353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-154.37336007515785</v>
      </c>
      <c r="AI55" s="21"/>
      <c r="AJ55" s="21"/>
    </row>
    <row r="56" spans="1:36" x14ac:dyDescent="0.35">
      <c r="A56" s="21"/>
      <c r="B56" s="21"/>
      <c r="C56" s="21"/>
      <c r="D56" s="21"/>
      <c r="E56" s="21"/>
      <c r="F56" s="21"/>
      <c r="G56" s="21"/>
      <c r="H56" s="353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>
        <f>IFERROR(AH54/AG54,"")</f>
        <v>-3.5173940241111534E-2</v>
      </c>
      <c r="AI56" s="21"/>
      <c r="AJ56" s="21"/>
    </row>
    <row r="57" spans="1:36" x14ac:dyDescent="0.35">
      <c r="A57" s="21"/>
      <c r="B57" s="21"/>
      <c r="C57" s="21"/>
      <c r="D57" s="21"/>
      <c r="E57" s="21"/>
      <c r="F57" s="21"/>
      <c r="G57" s="21"/>
      <c r="H57" s="353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  <c r="AI57" s="21"/>
      <c r="AJ57" s="21"/>
    </row>
    <row r="58" spans="1:36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356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6" x14ac:dyDescent="0.35">
      <c r="A59" s="20">
        <v>45366</v>
      </c>
      <c r="B59" s="21" t="s">
        <v>988</v>
      </c>
      <c r="C59" s="21" t="s">
        <v>763</v>
      </c>
      <c r="D59" s="44">
        <v>1926566</v>
      </c>
      <c r="E59" s="44" t="s">
        <v>652</v>
      </c>
      <c r="F59" s="21">
        <v>50</v>
      </c>
      <c r="G59" s="21"/>
      <c r="H59" s="353">
        <v>30000</v>
      </c>
      <c r="I59" s="33">
        <v>0.55000000000000004</v>
      </c>
      <c r="J59" s="24">
        <f>IFERROR(K59/H59,"")</f>
        <v>0.53466653939162523</v>
      </c>
      <c r="K59" s="22">
        <v>16039.996181748758</v>
      </c>
      <c r="L59" s="21">
        <v>13</v>
      </c>
      <c r="M59" s="21">
        <v>17</v>
      </c>
      <c r="N59" s="21">
        <v>14</v>
      </c>
      <c r="O59" s="21">
        <v>5</v>
      </c>
      <c r="P59" s="21">
        <v>1</v>
      </c>
      <c r="Q59" s="21"/>
      <c r="R59" s="21"/>
      <c r="S59" s="21"/>
      <c r="T59" s="21"/>
      <c r="U59" s="25">
        <v>210</v>
      </c>
      <c r="V59" s="25">
        <f>H59*U59*I59/15</f>
        <v>231000.00000000003</v>
      </c>
      <c r="W59" s="25">
        <f>(1333534.54/84017.5)*15</f>
        <v>238.08156753057398</v>
      </c>
      <c r="X59" s="25">
        <f>IFERROR(IFERROR((H59*W59*J59/15),""),"")</f>
        <v>254588.49560901101</v>
      </c>
      <c r="Y59" s="25">
        <f>F59*42</f>
        <v>2100</v>
      </c>
      <c r="Z59" s="307">
        <f>23325.74</f>
        <v>23325.74</v>
      </c>
      <c r="AA59" s="25">
        <v>0</v>
      </c>
      <c r="AB59" s="307">
        <v>1312.5</v>
      </c>
      <c r="AC59" s="25">
        <v>0</v>
      </c>
      <c r="AD59" s="25">
        <f>IF(F59="",G59*4.24,F59*4.24)</f>
        <v>212</v>
      </c>
      <c r="AE59" s="25">
        <f>IFERROR(IFERROR((X59*0.2%),""),"")</f>
        <v>509.17699121802201</v>
      </c>
      <c r="AF59" s="25">
        <f>V59+Y59+Z59+AA59+AB59+AC59+AD59</f>
        <v>257950.24000000002</v>
      </c>
      <c r="AG59" s="25">
        <f>IFERROR(IFERROR((H59*W59*J59/15)-AE59,""),"")</f>
        <v>254079.31861779297</v>
      </c>
      <c r="AH59" s="26">
        <f>IFERROR(AG59-AF59,0)</f>
        <v>-3870.9213822070451</v>
      </c>
      <c r="AI59" s="25">
        <f>(F59+G59)/$AL$7*$AL$30</f>
        <v>254.49458333333337</v>
      </c>
      <c r="AJ59" s="25">
        <f>(AH59-AI59)*70%</f>
        <v>-2887.7911758782648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353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-77.418427644140905</v>
      </c>
      <c r="AI60" s="21"/>
      <c r="AJ60" s="21"/>
    </row>
    <row r="61" spans="1:36" x14ac:dyDescent="0.35">
      <c r="A61" s="21"/>
      <c r="B61" s="21"/>
      <c r="C61" s="21"/>
      <c r="D61" s="21"/>
      <c r="E61" s="21"/>
      <c r="F61" s="21"/>
      <c r="G61" s="21"/>
      <c r="H61" s="353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>
        <f>IFERROR(AH59/AG59,"")</f>
        <v>-1.5235090377544674E-2</v>
      </c>
      <c r="AI61" s="21"/>
      <c r="AJ61" s="21"/>
    </row>
    <row r="62" spans="1:36" x14ac:dyDescent="0.35">
      <c r="A62" s="21"/>
      <c r="B62" s="21"/>
      <c r="C62" s="21"/>
      <c r="D62" s="21"/>
      <c r="E62" s="21"/>
      <c r="F62" s="21"/>
      <c r="G62" s="21"/>
      <c r="H62" s="353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47"/>
      <c r="AJ62" s="47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356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>
        <v>45366</v>
      </c>
      <c r="B64" s="21" t="s">
        <v>989</v>
      </c>
      <c r="C64" s="21" t="s">
        <v>838</v>
      </c>
      <c r="D64" s="44">
        <v>1926566</v>
      </c>
      <c r="E64" s="44" t="s">
        <v>652</v>
      </c>
      <c r="F64" s="21">
        <v>43</v>
      </c>
      <c r="G64" s="21"/>
      <c r="H64" s="353">
        <v>22260</v>
      </c>
      <c r="I64" s="33">
        <v>0.53</v>
      </c>
      <c r="J64" s="24">
        <f>IFERROR(K64/H64,"")</f>
        <v>0.53466653939162534</v>
      </c>
      <c r="K64" s="22">
        <v>11901.67716685758</v>
      </c>
      <c r="L64" s="21">
        <v>11</v>
      </c>
      <c r="M64" s="21">
        <v>15</v>
      </c>
      <c r="N64" s="21">
        <v>12</v>
      </c>
      <c r="O64" s="21">
        <v>4</v>
      </c>
      <c r="P64" s="21">
        <v>1</v>
      </c>
      <c r="Q64" s="21"/>
      <c r="R64" s="21"/>
      <c r="S64" s="21"/>
      <c r="T64" s="21"/>
      <c r="U64" s="25">
        <v>210</v>
      </c>
      <c r="V64" s="25">
        <f>H64*U64*I64/15</f>
        <v>165169.20000000001</v>
      </c>
      <c r="W64" s="25">
        <f>(1333534.54/84017.5)*15</f>
        <v>238.08156753057398</v>
      </c>
      <c r="X64" s="25">
        <f>IFERROR(IFERROR((H64*W64*J64/15),""),"")</f>
        <v>188904.66374188621</v>
      </c>
      <c r="Y64" s="25">
        <f>F64*42</f>
        <v>1806</v>
      </c>
      <c r="Z64" s="307">
        <f>22278.5/50*F64</f>
        <v>19159.509999999998</v>
      </c>
      <c r="AA64" s="25">
        <v>0</v>
      </c>
      <c r="AB64" s="307">
        <f>1303.75 / 50 * F64</f>
        <v>1121.2249999999999</v>
      </c>
      <c r="AC64" s="25">
        <v>0</v>
      </c>
      <c r="AD64" s="25">
        <f>IF(F64="",G64*4.24,F64*4.24)</f>
        <v>182.32000000000002</v>
      </c>
      <c r="AE64" s="25">
        <f>IFERROR(IFERROR((X64*0.2%),""),"")</f>
        <v>377.80932748377245</v>
      </c>
      <c r="AF64" s="25">
        <f>V64+Y64+Z64+AA64+AB64+AC64+AD64</f>
        <v>187438.25500000003</v>
      </c>
      <c r="AG64" s="25">
        <f>IFERROR(IFERROR((H64*W64*J64/15)-AE64,""),"")</f>
        <v>188526.85441440245</v>
      </c>
      <c r="AH64" s="26">
        <f>IFERROR(AG64-AF64,0)</f>
        <v>1088.5994144024153</v>
      </c>
      <c r="AI64" s="25">
        <f>(F64+G64)/$AL$7*$AL$30</f>
        <v>218.86534166666669</v>
      </c>
      <c r="AJ64" s="25">
        <f>(AH64-AI64)*70%</f>
        <v>608.81385091502398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353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25.31626545121896</v>
      </c>
      <c r="AI65" s="21"/>
      <c r="AJ65" s="21"/>
    </row>
    <row r="66" spans="1:36" x14ac:dyDescent="0.35">
      <c r="A66" s="21"/>
      <c r="B66" s="21"/>
      <c r="C66" s="21"/>
      <c r="D66" s="21"/>
      <c r="E66" s="21"/>
      <c r="F66" s="21"/>
      <c r="G66" s="21"/>
      <c r="H66" s="353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>
        <f>IFERROR(AH64/AG64,"")</f>
        <v>5.7742405864872485E-3</v>
      </c>
      <c r="AI66" s="21"/>
      <c r="AJ66" s="21"/>
    </row>
    <row r="67" spans="1:36" x14ac:dyDescent="0.35">
      <c r="A67" s="21"/>
      <c r="B67" s="21"/>
      <c r="C67" s="21"/>
      <c r="D67" s="21"/>
      <c r="E67" s="21"/>
      <c r="F67" s="21"/>
      <c r="G67" s="21"/>
      <c r="H67" s="353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21"/>
      <c r="AJ67" s="21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356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>
        <v>45366</v>
      </c>
      <c r="B69" s="21" t="s">
        <v>989</v>
      </c>
      <c r="C69" s="21" t="s">
        <v>838</v>
      </c>
      <c r="D69" s="44">
        <v>1926566</v>
      </c>
      <c r="E69" s="44" t="s">
        <v>652</v>
      </c>
      <c r="F69" s="21">
        <v>7</v>
      </c>
      <c r="G69" s="21"/>
      <c r="H69" s="353">
        <v>3580</v>
      </c>
      <c r="I69" s="33">
        <v>0.53</v>
      </c>
      <c r="J69" s="24">
        <f>IFERROR(K69/H69,"")</f>
        <v>0.53466653939162523</v>
      </c>
      <c r="K69" s="22">
        <v>1914.1062110220184</v>
      </c>
      <c r="L69" s="21">
        <v>2</v>
      </c>
      <c r="M69" s="21">
        <v>2</v>
      </c>
      <c r="N69" s="21">
        <v>2</v>
      </c>
      <c r="O69" s="21">
        <v>1</v>
      </c>
      <c r="P69" s="21"/>
      <c r="Q69" s="21"/>
      <c r="R69" s="21"/>
      <c r="S69" s="21"/>
      <c r="T69" s="21"/>
      <c r="U69" s="25">
        <v>200</v>
      </c>
      <c r="V69" s="25">
        <f>H69*U69*I69/15</f>
        <v>25298.666666666668</v>
      </c>
      <c r="W69" s="25">
        <f>(1333534.54/84017.5)*15</f>
        <v>238.08156753057398</v>
      </c>
      <c r="X69" s="25">
        <f>IFERROR(IFERROR((H69*W69*J69/15),""),"")</f>
        <v>30380.893809341986</v>
      </c>
      <c r="Y69" s="25">
        <f>F69*42</f>
        <v>294</v>
      </c>
      <c r="Z69" s="307">
        <f>22278.5/50*F69</f>
        <v>3118.99</v>
      </c>
      <c r="AA69" s="25">
        <v>0</v>
      </c>
      <c r="AB69" s="307">
        <f>1303.75 / 50 * F69</f>
        <v>182.52500000000001</v>
      </c>
      <c r="AC69" s="25">
        <v>0</v>
      </c>
      <c r="AD69" s="25">
        <f>IF(F69="",G69*4.24,F69*4.24)</f>
        <v>29.68</v>
      </c>
      <c r="AE69" s="25">
        <f>IFERROR(IFERROR((X69*0.2%),""),"")</f>
        <v>60.761787618683975</v>
      </c>
      <c r="AF69" s="25">
        <f>V69+Y69+Z69+AA69+AB69+AC69+AD69</f>
        <v>28923.861666666671</v>
      </c>
      <c r="AG69" s="25">
        <f>IFERROR(IFERROR((H69*W69*J69/15)-AE69,""),"")</f>
        <v>30320.132021723301</v>
      </c>
      <c r="AH69" s="26">
        <f>IFERROR(AG69-AF69,0)</f>
        <v>1396.2703550566293</v>
      </c>
      <c r="AI69" s="25">
        <f>(F69+G69)/$AL$7*$AL$30</f>
        <v>35.629241666666672</v>
      </c>
      <c r="AJ69" s="25">
        <f>(AH69-AI69)*70%</f>
        <v>952.44877937297372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353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199.46719357951847</v>
      </c>
      <c r="AI70" s="21"/>
      <c r="AJ70" s="21"/>
    </row>
    <row r="71" spans="1:36" x14ac:dyDescent="0.35">
      <c r="A71" s="21"/>
      <c r="B71" s="21"/>
      <c r="C71" s="21"/>
      <c r="D71" s="21"/>
      <c r="E71" s="21"/>
      <c r="F71" s="21"/>
      <c r="G71" s="21"/>
      <c r="H71" s="353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>
        <f>IFERROR(AH69/AG69,"")</f>
        <v>4.6050932563758334E-2</v>
      </c>
      <c r="AI71" s="21"/>
      <c r="AJ71" s="21"/>
    </row>
    <row r="72" spans="1:36" x14ac:dyDescent="0.35">
      <c r="A72" s="21"/>
      <c r="B72" s="21"/>
      <c r="C72" s="21"/>
      <c r="D72" s="21"/>
      <c r="E72" s="21"/>
      <c r="F72" s="21"/>
      <c r="G72" s="21"/>
      <c r="H72" s="353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  <c r="AI72" s="21"/>
      <c r="AJ72" s="21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356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>
        <v>45366</v>
      </c>
      <c r="B74" s="21" t="s">
        <v>990</v>
      </c>
      <c r="C74" s="21" t="s">
        <v>878</v>
      </c>
      <c r="D74" s="44">
        <v>1926566</v>
      </c>
      <c r="E74" s="44" t="s">
        <v>652</v>
      </c>
      <c r="F74" s="21">
        <v>50</v>
      </c>
      <c r="G74" s="21"/>
      <c r="H74" s="353">
        <v>27680</v>
      </c>
      <c r="I74" s="33">
        <v>0.53</v>
      </c>
      <c r="J74" s="24">
        <f>IFERROR(K74/H74,"")</f>
        <v>0.53466653939162534</v>
      </c>
      <c r="K74" s="22">
        <v>14799.569810360188</v>
      </c>
      <c r="L74" s="21">
        <v>13</v>
      </c>
      <c r="M74" s="21">
        <v>17</v>
      </c>
      <c r="N74" s="21">
        <v>14</v>
      </c>
      <c r="O74" s="21">
        <v>5</v>
      </c>
      <c r="P74" s="21">
        <v>1</v>
      </c>
      <c r="Q74" s="21"/>
      <c r="R74" s="21"/>
      <c r="S74" s="21"/>
      <c r="T74" s="21"/>
      <c r="U74" s="25">
        <v>225</v>
      </c>
      <c r="V74" s="25">
        <f>H74*U74*I74/15</f>
        <v>220056</v>
      </c>
      <c r="W74" s="25">
        <f>(1333534.54/84017.5)*15</f>
        <v>238.08156753057398</v>
      </c>
      <c r="X74" s="25">
        <f>IFERROR(IFERROR((H74*W74*J74/15),""),"")</f>
        <v>234900.31861524755</v>
      </c>
      <c r="Y74" s="25">
        <f>IF(B74="FRANCISCO CAMACHO",((F74*42)+(G74*42)),IF(B74="DANILO VIANA",((F74*60)+(G74*60)),IF(B74="ANTONIO MARCUS ALBINO",((F74*60)+(G74*60)),0)))</f>
        <v>0</v>
      </c>
      <c r="Z74" s="307">
        <v>5334</v>
      </c>
      <c r="AA74" s="25">
        <v>0</v>
      </c>
      <c r="AB74" s="307">
        <v>1406.25</v>
      </c>
      <c r="AC74" s="25">
        <v>0</v>
      </c>
      <c r="AD74" s="25">
        <f>IF(F74="",G74*4.24,F74*4.24)</f>
        <v>212</v>
      </c>
      <c r="AE74" s="25">
        <f>IFERROR(IFERROR((X74*0.2%),""),"")</f>
        <v>469.80063723049511</v>
      </c>
      <c r="AF74" s="25">
        <f>V74+Y74+Z74+AA74+AB74+AC74+AD74</f>
        <v>227008.25</v>
      </c>
      <c r="AG74" s="25">
        <f>IFERROR(IFERROR((H74*W74*J74/15)-AE74,""),"")</f>
        <v>234430.51797801707</v>
      </c>
      <c r="AH74" s="26">
        <f>IFERROR(AG74-AF74,0)</f>
        <v>7422.2679780170729</v>
      </c>
      <c r="AI74" s="25">
        <f>(F74+G74)/$AL$7*$AL$30</f>
        <v>254.49458333333337</v>
      </c>
      <c r="AJ74" s="25">
        <f>(AH74-AI74)*70%</f>
        <v>5017.4413762786171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353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148.44535956034144</v>
      </c>
      <c r="AI75" s="21"/>
      <c r="AJ75" s="21"/>
    </row>
    <row r="76" spans="1:36" x14ac:dyDescent="0.35">
      <c r="A76" s="21"/>
      <c r="B76" s="21"/>
      <c r="C76" s="21"/>
      <c r="D76" s="21"/>
      <c r="E76" s="21"/>
      <c r="F76" s="21"/>
      <c r="G76" s="21"/>
      <c r="H76" s="353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>
        <f>IFERROR(AH74/AG74,"")</f>
        <v>3.1660843656511783E-2</v>
      </c>
      <c r="AI76" s="21"/>
      <c r="AJ76" s="21"/>
    </row>
    <row r="77" spans="1:36" x14ac:dyDescent="0.35">
      <c r="A77" s="21"/>
      <c r="B77" s="21"/>
      <c r="C77" s="21"/>
      <c r="D77" s="21"/>
      <c r="E77" s="21"/>
      <c r="F77" s="21"/>
      <c r="G77" s="21"/>
      <c r="H77" s="353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47"/>
      <c r="AJ77" s="47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356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>
        <v>45366</v>
      </c>
      <c r="B79" s="21" t="s">
        <v>911</v>
      </c>
      <c r="C79" s="21" t="s">
        <v>305</v>
      </c>
      <c r="D79" s="44">
        <v>1926566</v>
      </c>
      <c r="E79" s="44" t="s">
        <v>652</v>
      </c>
      <c r="F79" s="21">
        <v>100</v>
      </c>
      <c r="G79" s="21"/>
      <c r="H79" s="353">
        <v>46510</v>
      </c>
      <c r="I79" s="33">
        <v>0.51</v>
      </c>
      <c r="J79" s="24">
        <f>IFERROR(K79/H79,"")</f>
        <v>0.53466653939162534</v>
      </c>
      <c r="K79" s="22">
        <v>24867.340747104492</v>
      </c>
      <c r="L79" s="21">
        <v>25</v>
      </c>
      <c r="M79" s="21">
        <v>35</v>
      </c>
      <c r="N79" s="21">
        <v>28</v>
      </c>
      <c r="O79" s="21">
        <v>11</v>
      </c>
      <c r="P79" s="21">
        <v>1</v>
      </c>
      <c r="Q79" s="21"/>
      <c r="R79" s="21"/>
      <c r="S79" s="21"/>
      <c r="T79" s="21"/>
      <c r="U79" s="25">
        <v>215</v>
      </c>
      <c r="V79" s="25">
        <f>H79*U79*I79/15</f>
        <v>339988.1</v>
      </c>
      <c r="W79" s="25">
        <f>(1333534.54/84017.5)*15</f>
        <v>238.08156753057398</v>
      </c>
      <c r="X79" s="25">
        <f>IFERROR(IFERROR((H79*W79*J79/15),""),"")</f>
        <v>394697.03102583683</v>
      </c>
      <c r="Y79" s="25">
        <f>IF(B79="FRANCISCO CAMACHO",((F79*42)+(G79*42)),IF(B79="DANILO VIANA",((F79*60)+(G79*60)),IF(B79="ANTONIO MARCUS ALBINO",((F79*60)+(G79*60)),0)))</f>
        <v>6000</v>
      </c>
      <c r="Z79" s="307">
        <f>7649.2+7821.4</f>
        <v>15470.599999999999</v>
      </c>
      <c r="AA79" s="25">
        <v>0</v>
      </c>
      <c r="AB79" s="307">
        <v>2687.5</v>
      </c>
      <c r="AC79" s="25">
        <f>F79*38</f>
        <v>3800</v>
      </c>
      <c r="AD79" s="25">
        <f>IF(F79="",G79*4.24,F79*4.24)</f>
        <v>424</v>
      </c>
      <c r="AE79" s="25">
        <f>IFERROR(IFERROR((X79*0.2%),""),"")</f>
        <v>789.3940620516737</v>
      </c>
      <c r="AF79" s="25">
        <f>V79+Y79+Z79+AA79+AB79+AC79+AD79</f>
        <v>368370.19999999995</v>
      </c>
      <c r="AG79" s="25">
        <f>IFERROR(IFERROR((H79*W79*J79/15)-AE79,""),"")</f>
        <v>393907.63696378516</v>
      </c>
      <c r="AH79" s="26">
        <f>IFERROR(AG79-AF79,0)</f>
        <v>25537.436963785207</v>
      </c>
      <c r="AI79" s="25">
        <f>(F79+G79)/$AL$7*$AL$30</f>
        <v>508.98916666666673</v>
      </c>
      <c r="AJ79" s="25">
        <f>(AH79-AI79)*70%</f>
        <v>17519.913457982977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353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255.37436963785206</v>
      </c>
      <c r="AI80" s="21"/>
      <c r="AJ80" s="21"/>
    </row>
    <row r="81" spans="1:36" x14ac:dyDescent="0.35">
      <c r="A81" s="21"/>
      <c r="B81" s="21"/>
      <c r="C81" s="21"/>
      <c r="D81" s="21"/>
      <c r="E81" s="21"/>
      <c r="F81" s="21"/>
      <c r="G81" s="21"/>
      <c r="H81" s="353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>
        <f>IFERROR(AH79/AG79,"")</f>
        <v>6.4831027802928973E-2</v>
      </c>
      <c r="AI81" s="21"/>
      <c r="AJ81" s="21"/>
    </row>
    <row r="82" spans="1:36" x14ac:dyDescent="0.35">
      <c r="A82" s="21"/>
      <c r="B82" s="21"/>
      <c r="C82" s="21"/>
      <c r="D82" s="21"/>
      <c r="E82" s="21"/>
      <c r="F82" s="21"/>
      <c r="G82" s="21"/>
      <c r="H82" s="353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  <c r="AI82" s="47"/>
      <c r="AJ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356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>
        <v>45367</v>
      </c>
      <c r="B84" s="21" t="s">
        <v>990</v>
      </c>
      <c r="C84" s="21" t="s">
        <v>878</v>
      </c>
      <c r="D84" s="44">
        <v>1926566</v>
      </c>
      <c r="E84" s="44" t="s">
        <v>652</v>
      </c>
      <c r="F84" s="21">
        <v>50</v>
      </c>
      <c r="G84" s="21"/>
      <c r="H84" s="353">
        <v>27110</v>
      </c>
      <c r="I84" s="33">
        <v>0.53</v>
      </c>
      <c r="J84" s="24">
        <f>IFERROR(K84/H84,"")</f>
        <v>0.53466653939162534</v>
      </c>
      <c r="K84" s="22">
        <v>14494.809882906962</v>
      </c>
      <c r="L84" s="21">
        <v>13</v>
      </c>
      <c r="M84" s="21">
        <v>17</v>
      </c>
      <c r="N84" s="21">
        <v>14</v>
      </c>
      <c r="O84" s="21">
        <v>5</v>
      </c>
      <c r="P84" s="21">
        <v>1</v>
      </c>
      <c r="Q84" s="21"/>
      <c r="R84" s="21"/>
      <c r="S84" s="21"/>
      <c r="T84" s="21"/>
      <c r="U84" s="25">
        <v>215</v>
      </c>
      <c r="V84" s="25">
        <f>H84*U84*I84/15</f>
        <v>205945.63333333333</v>
      </c>
      <c r="W84" s="25">
        <f>(1333534.54/84017.5)*15</f>
        <v>238.08156753057398</v>
      </c>
      <c r="X84" s="25">
        <f>IFERROR(IFERROR((H84*W84*J84/15),""),"")</f>
        <v>230063.13719867636</v>
      </c>
      <c r="Y84" s="25">
        <f>IF(B84="FRANCISCO CAMACHO",((F84*42)+(G84*42)),IF(B84="DANILO VIANA",((F84*60)+(G84*60)),IF(B84="ANTONIO MARCUS ALBINO",((F84*60)+(G84*60)),0)))</f>
        <v>0</v>
      </c>
      <c r="Z84" s="307">
        <v>5188.3999999999996</v>
      </c>
      <c r="AA84" s="25">
        <v>0</v>
      </c>
      <c r="AB84" s="307">
        <v>1343.75</v>
      </c>
      <c r="AC84" s="25">
        <v>0</v>
      </c>
      <c r="AD84" s="25">
        <f>IF(F84="",G84*4.24,F84*4.24)</f>
        <v>212</v>
      </c>
      <c r="AE84" s="25">
        <f>IFERROR(IFERROR((X84*0.2%),""),"")</f>
        <v>460.12627439735274</v>
      </c>
      <c r="AF84" s="25">
        <f>V84+Y84+Z84+AA84+AB84+AC84+AD84</f>
        <v>212689.78333333333</v>
      </c>
      <c r="AG84" s="25">
        <f>IFERROR(IFERROR((H84*W84*J84/15)-AE84,""),"")</f>
        <v>229603.01092427899</v>
      </c>
      <c r="AH84" s="26">
        <f>IFERROR(AG84-AF84,0)</f>
        <v>16913.227590945666</v>
      </c>
      <c r="AI84" s="25">
        <f>(F84+G84)/$AL$7*$AL$30</f>
        <v>254.49458333333337</v>
      </c>
      <c r="AJ84" s="25">
        <f>(AH84-AI84)*70%</f>
        <v>11661.113105328632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353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338.26455181891333</v>
      </c>
      <c r="AI85" s="21"/>
      <c r="AJ85" s="21"/>
    </row>
    <row r="86" spans="1:36" x14ac:dyDescent="0.35">
      <c r="A86" s="21"/>
      <c r="B86" s="21"/>
      <c r="C86" s="21"/>
      <c r="D86" s="21"/>
      <c r="E86" s="21"/>
      <c r="F86" s="21"/>
      <c r="G86" s="21"/>
      <c r="H86" s="353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>
        <f>IFERROR(AH84/AG84,"")</f>
        <v>7.3662917236409831E-2</v>
      </c>
      <c r="AI86" s="21"/>
      <c r="AJ86" s="21"/>
    </row>
    <row r="87" spans="1:36" x14ac:dyDescent="0.35">
      <c r="A87" s="21"/>
      <c r="B87" s="21"/>
      <c r="C87" s="21"/>
      <c r="D87" s="21"/>
      <c r="E87" s="21"/>
      <c r="F87" s="21"/>
      <c r="G87" s="21"/>
      <c r="H87" s="353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  <c r="AI87" s="21"/>
      <c r="AJ87" s="21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356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>
        <v>45367</v>
      </c>
      <c r="B89" s="21" t="s">
        <v>993</v>
      </c>
      <c r="C89" s="21" t="s">
        <v>919</v>
      </c>
      <c r="D89" s="44">
        <v>1923747</v>
      </c>
      <c r="E89" s="44" t="s">
        <v>652</v>
      </c>
      <c r="F89" s="21">
        <v>40</v>
      </c>
      <c r="G89" s="21"/>
      <c r="H89" s="353">
        <v>24690</v>
      </c>
      <c r="I89" s="33">
        <v>0.55000000000000004</v>
      </c>
      <c r="J89" s="24">
        <f>IFERROR(K89/H89,"")</f>
        <v>0.53548541077571365</v>
      </c>
      <c r="K89" s="22">
        <v>13221.134792052371</v>
      </c>
      <c r="L89" s="21">
        <v>1</v>
      </c>
      <c r="M89" s="21">
        <v>22</v>
      </c>
      <c r="N89" s="21">
        <v>15</v>
      </c>
      <c r="O89" s="21">
        <v>2</v>
      </c>
      <c r="P89" s="21"/>
      <c r="Q89" s="21"/>
      <c r="R89" s="21"/>
      <c r="S89" s="21"/>
      <c r="T89" s="21"/>
      <c r="U89" s="25">
        <v>210</v>
      </c>
      <c r="V89" s="25">
        <f>H89*U89*I89/15</f>
        <v>190113</v>
      </c>
      <c r="W89" s="25">
        <f>(1004637.79/63479.5)*15</f>
        <v>237.39265195850629</v>
      </c>
      <c r="X89" s="25">
        <f>IFERROR(IFERROR((H89*W89*J89/15),""),"")</f>
        <v>209240.01667907913</v>
      </c>
      <c r="Y89" s="25">
        <f>F89*42</f>
        <v>1680</v>
      </c>
      <c r="Z89" s="307">
        <f>(55224.4 + 28233) / 150 * F89</f>
        <v>22255.306666666664</v>
      </c>
      <c r="AA89" s="25">
        <v>0</v>
      </c>
      <c r="AB89" s="307">
        <v>1050</v>
      </c>
      <c r="AC89" s="25">
        <v>0</v>
      </c>
      <c r="AD89" s="25">
        <f>IF(F89="",G89*4.24,F89*4.24)</f>
        <v>169.60000000000002</v>
      </c>
      <c r="AE89" s="25">
        <f>IFERROR(IFERROR((X89*0.2%),""),"")</f>
        <v>418.48003335815827</v>
      </c>
      <c r="AF89" s="25">
        <f>V89+Y89+Z89+AA89+AB89+AC89+AD89</f>
        <v>215267.90666666668</v>
      </c>
      <c r="AG89" s="25">
        <f>IFERROR(IFERROR((H89*W89*J89/15)-AE89,""),"")</f>
        <v>208821.53664572097</v>
      </c>
      <c r="AH89" s="26">
        <f>IFERROR(AG89-AF89,0)</f>
        <v>-6446.370020945702</v>
      </c>
      <c r="AI89" s="25">
        <f>(F89+G89)/$AL$7*$AL$30</f>
        <v>203.59566666666669</v>
      </c>
      <c r="AJ89" s="25">
        <f>(AH89-AI89)*70%</f>
        <v>-4654.9759813286582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353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-161.15925052364256</v>
      </c>
      <c r="AI90" s="21"/>
      <c r="AJ90" s="21"/>
    </row>
    <row r="91" spans="1:36" x14ac:dyDescent="0.35">
      <c r="A91" s="21"/>
      <c r="B91" s="21"/>
      <c r="C91" s="21"/>
      <c r="D91" s="21"/>
      <c r="E91" s="21"/>
      <c r="F91" s="21"/>
      <c r="G91" s="21"/>
      <c r="H91" s="353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>
        <f>IFERROR(AH89/AG89,"")</f>
        <v>-3.0870235534576969E-2</v>
      </c>
      <c r="AI91" s="21"/>
      <c r="AJ91" s="21"/>
    </row>
    <row r="92" spans="1:36" x14ac:dyDescent="0.35">
      <c r="A92" s="21"/>
      <c r="B92" s="21"/>
      <c r="C92" s="21"/>
      <c r="D92" s="21"/>
      <c r="E92" s="21"/>
      <c r="F92" s="21"/>
      <c r="G92" s="21"/>
      <c r="H92" s="353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21"/>
      <c r="AJ92" s="21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356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>
        <v>45367</v>
      </c>
      <c r="B94" s="21" t="s">
        <v>1020</v>
      </c>
      <c r="C94" s="21" t="s">
        <v>919</v>
      </c>
      <c r="D94" s="44">
        <v>1923747</v>
      </c>
      <c r="E94" s="44" t="s">
        <v>652</v>
      </c>
      <c r="F94" s="21">
        <v>110</v>
      </c>
      <c r="G94" s="21"/>
      <c r="H94" s="353">
        <v>67107</v>
      </c>
      <c r="I94" s="33">
        <v>0.55000000000000004</v>
      </c>
      <c r="J94" s="24">
        <f>IFERROR(K94/H94,"")</f>
        <v>0.53548541077571365</v>
      </c>
      <c r="K94" s="22">
        <v>35934.819460925813</v>
      </c>
      <c r="L94" s="21">
        <v>3</v>
      </c>
      <c r="M94" s="21">
        <v>60</v>
      </c>
      <c r="N94" s="21">
        <v>40</v>
      </c>
      <c r="O94" s="21">
        <v>6</v>
      </c>
      <c r="P94" s="21">
        <v>1</v>
      </c>
      <c r="Q94" s="21"/>
      <c r="R94" s="21"/>
      <c r="S94" s="21"/>
      <c r="T94" s="21"/>
      <c r="U94" s="25">
        <v>210</v>
      </c>
      <c r="V94" s="25">
        <f>H94*U94*I94/15</f>
        <v>516723.90000000008</v>
      </c>
      <c r="W94" s="25">
        <f>(1004637.79/63479.5)*15</f>
        <v>237.39265195850629</v>
      </c>
      <c r="X94" s="25">
        <f>IFERROR(IFERROR((H94*W94*J94/15),""),"")</f>
        <v>568710.80596528808</v>
      </c>
      <c r="Y94" s="25">
        <f>F94*42</f>
        <v>4620</v>
      </c>
      <c r="Z94" s="307">
        <f>(55224.4 + 28233) / 150 * F94</f>
        <v>61202.093333333331</v>
      </c>
      <c r="AA94" s="25">
        <v>0</v>
      </c>
      <c r="AB94" s="307">
        <v>2887.5</v>
      </c>
      <c r="AC94" s="25">
        <v>0</v>
      </c>
      <c r="AD94" s="25">
        <f>IF(F94="",G94*4.24,F94*4.24)</f>
        <v>466.40000000000003</v>
      </c>
      <c r="AE94" s="25">
        <f>IFERROR(IFERROR((X94*0.2%),""),"")</f>
        <v>1137.4216119305761</v>
      </c>
      <c r="AF94" s="25">
        <f>V94+Y94+Z94+AA94+AB94+AC94+AD94</f>
        <v>585899.89333333343</v>
      </c>
      <c r="AG94" s="25">
        <f>IFERROR(IFERROR((H94*W94*J94/15)-AE94,""),"")</f>
        <v>567573.38435335748</v>
      </c>
      <c r="AH94" s="26">
        <f>IFERROR(AG94-AF94,0)</f>
        <v>-18326.508979975944</v>
      </c>
      <c r="AI94" s="25">
        <f>(F94+G94)/$AL$7*$AL$30</f>
        <v>559.88808333333338</v>
      </c>
      <c r="AJ94" s="25">
        <f>(AH94-AI94)*70%</f>
        <v>-13220.477944316495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353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-166.6046270906904</v>
      </c>
      <c r="AI95" s="21"/>
      <c r="AJ95" s="21"/>
    </row>
    <row r="96" spans="1:36" x14ac:dyDescent="0.35">
      <c r="A96" s="21"/>
      <c r="B96" s="21"/>
      <c r="C96" s="21"/>
      <c r="D96" s="21"/>
      <c r="E96" s="21"/>
      <c r="F96" s="21"/>
      <c r="G96" s="21"/>
      <c r="H96" s="353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>
        <f>IFERROR(AH94/AG94,"")</f>
        <v>-3.2289232520752421E-2</v>
      </c>
      <c r="AI96" s="21"/>
      <c r="AJ96" s="21"/>
    </row>
    <row r="97" spans="1:36" x14ac:dyDescent="0.35">
      <c r="A97" s="21"/>
      <c r="B97" s="21"/>
      <c r="C97" s="21"/>
      <c r="D97" s="21"/>
      <c r="E97" s="21"/>
      <c r="F97" s="21"/>
      <c r="G97" s="21"/>
      <c r="H97" s="353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47"/>
      <c r="AJ97" s="47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356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353"/>
      <c r="I99" s="33">
        <v>0</v>
      </c>
      <c r="J99" s="24" t="str">
        <f>IFERROR(K99/H99,"")</f>
        <v/>
      </c>
      <c r="K99" s="22">
        <f>14188.5/50*F99</f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 t="str">
        <f>IFERROR(IFERROR((H99*W99*J99/15),""),"")</f>
        <v/>
      </c>
      <c r="Y99" s="25">
        <f>IF(B99="FRANCISCO CAMACHO",((F99*42)+(G99*42)),IF(B99="DANILO VIANA",((F99*60)+(G99*60)),IF(B99="ANTONIO MARCUS ALBINO",((F99*60)+(G99*60)),0)))</f>
        <v>0</v>
      </c>
      <c r="Z99" s="25"/>
      <c r="AA99" s="25">
        <v>0</v>
      </c>
      <c r="AB99" s="25">
        <v>0</v>
      </c>
      <c r="AC99" s="25">
        <v>0</v>
      </c>
      <c r="AD99" s="25">
        <f>IF(F99="",G99*4.24,F99*4.24)</f>
        <v>0</v>
      </c>
      <c r="AE99" s="25" t="str">
        <f>IFERROR(IFERROR((X99*0.2%),""),"")</f>
        <v/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(F99+G99)/$AL$7*$AL$30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353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  <c r="AI100" s="21"/>
      <c r="AJ100" s="21"/>
    </row>
    <row r="101" spans="1:36" x14ac:dyDescent="0.35">
      <c r="A101" s="21"/>
      <c r="B101" s="21"/>
      <c r="C101" s="21"/>
      <c r="D101" s="21"/>
      <c r="E101" s="21"/>
      <c r="F101" s="21"/>
      <c r="G101" s="21"/>
      <c r="H101" s="353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  <c r="AI101" s="21"/>
      <c r="AJ101" s="21"/>
    </row>
    <row r="102" spans="1:36" x14ac:dyDescent="0.35">
      <c r="A102" s="21"/>
      <c r="B102" s="21"/>
      <c r="C102" s="21"/>
      <c r="D102" s="21"/>
      <c r="E102" s="21"/>
      <c r="F102" s="21"/>
      <c r="G102" s="21"/>
      <c r="H102" s="353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  <c r="AI102" s="21"/>
      <c r="AJ102" s="21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356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353"/>
      <c r="I104" s="33">
        <v>0</v>
      </c>
      <c r="J104" s="24" t="str">
        <f>IFERROR(K104/H104,"")</f>
        <v/>
      </c>
      <c r="K104" s="22">
        <f>14188.5/50*F104</f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 t="str">
        <f>IFERROR(IFERROR((H104*W104*J104/15),""),"")</f>
        <v/>
      </c>
      <c r="Y104" s="25">
        <f>IF(B104="FRANCISCO CAMACHO",((F104*42)+(G104*42)),IF(B104="DANILO VIANA",((F104*60)+(G104*60)),IF(B104="ANTONIO MARCUS ALBINO",((F104*60)+(G104*60)),0)))</f>
        <v>0</v>
      </c>
      <c r="Z104" s="25"/>
      <c r="AA104" s="25">
        <v>0</v>
      </c>
      <c r="AB104" s="25">
        <v>0</v>
      </c>
      <c r="AC104" s="25">
        <v>0</v>
      </c>
      <c r="AD104" s="25">
        <f>IF(F104="",G104*4.24,F104*4.24)</f>
        <v>0</v>
      </c>
      <c r="AE104" s="25" t="str">
        <f>IFERROR(IFERROR((X104*0.2%),""),"")</f>
        <v/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(F104+G104)/$AL$7*$AL$30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353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  <c r="AI105" s="21"/>
      <c r="AJ105" s="21"/>
    </row>
    <row r="106" spans="1:36" x14ac:dyDescent="0.35">
      <c r="A106" s="21"/>
      <c r="B106" s="21"/>
      <c r="C106" s="21"/>
      <c r="D106" s="21"/>
      <c r="E106" s="21"/>
      <c r="F106" s="21"/>
      <c r="G106" s="21"/>
      <c r="H106" s="353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  <c r="AI106" s="21"/>
      <c r="AJ106" s="21"/>
    </row>
    <row r="107" spans="1:36" x14ac:dyDescent="0.35">
      <c r="A107" s="21"/>
      <c r="B107" s="21"/>
      <c r="C107" s="21"/>
      <c r="D107" s="21"/>
      <c r="E107" s="21"/>
      <c r="F107" s="21"/>
      <c r="G107" s="21"/>
      <c r="H107" s="353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  <c r="AI107" s="21"/>
      <c r="AJ107" s="21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356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353"/>
      <c r="I109" s="33">
        <v>0</v>
      </c>
      <c r="J109" s="24" t="str">
        <f>IFERROR(K109/H109,"")</f>
        <v/>
      </c>
      <c r="K109" s="22">
        <f>14188.5/50*F109</f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 t="str">
        <f>IFERROR(IFERROR((H109*W109*J109/15),""),"")</f>
        <v/>
      </c>
      <c r="Y109" s="25">
        <f>IF(B109="FRANCISCO CAMACHO",((F109*42)+(G109*42)),IF(B109="DANILO VIANA",((F109*60)+(G109*60)),IF(B109="ANTONIO MARCUS ALBINO",((F109*60)+(G109*60)),0)))</f>
        <v>0</v>
      </c>
      <c r="Z109" s="25"/>
      <c r="AA109" s="25">
        <v>0</v>
      </c>
      <c r="AB109" s="25">
        <v>0</v>
      </c>
      <c r="AC109" s="25">
        <v>0</v>
      </c>
      <c r="AD109" s="25">
        <f>IF(F109="",G109*4.24,F109*4.24)</f>
        <v>0</v>
      </c>
      <c r="AE109" s="25" t="str">
        <f>IFERROR(IFERROR((X109*0.2%),""),"")</f>
        <v/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(F109+G109)/$AL$7*$AL$30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353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  <c r="AI110" s="21"/>
      <c r="AJ110" s="21"/>
    </row>
    <row r="111" spans="1:36" x14ac:dyDescent="0.35">
      <c r="A111" s="21"/>
      <c r="B111" s="21"/>
      <c r="C111" s="21"/>
      <c r="D111" s="21"/>
      <c r="E111" s="21"/>
      <c r="F111" s="21"/>
      <c r="G111" s="21"/>
      <c r="H111" s="353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  <c r="AI111" s="21"/>
      <c r="AJ111" s="21"/>
    </row>
    <row r="112" spans="1:36" ht="15" thickBot="1" x14ac:dyDescent="0.4">
      <c r="A112" s="21"/>
      <c r="B112" s="21"/>
      <c r="C112" s="21"/>
      <c r="D112" s="21"/>
      <c r="E112" s="21"/>
      <c r="F112" s="21"/>
      <c r="G112" s="21"/>
      <c r="H112" s="353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  <c r="AI112" s="47"/>
      <c r="AJ112" s="47"/>
    </row>
    <row r="113" spans="1:41" ht="16" thickBot="1" x14ac:dyDescent="0.4">
      <c r="A113" s="377" t="s">
        <v>1035</v>
      </c>
      <c r="B113" s="378"/>
      <c r="C113" s="378"/>
      <c r="D113" s="378"/>
      <c r="E113" s="378"/>
      <c r="F113" s="163">
        <f>SUM(F4:F109)</f>
        <v>1200</v>
      </c>
      <c r="G113" s="163">
        <f>SUM(G4:G109)</f>
        <v>0</v>
      </c>
      <c r="H113" s="358">
        <f>SUM(H4:H109)</f>
        <v>640001</v>
      </c>
      <c r="I113" s="30"/>
      <c r="J113" s="30"/>
      <c r="K113" s="274">
        <f>SUM(K4:K109)</f>
        <v>342055.9542529782</v>
      </c>
      <c r="L113" s="46"/>
      <c r="M113" s="46"/>
      <c r="N113" s="46"/>
      <c r="O113" s="46"/>
      <c r="P113" s="46"/>
      <c r="Q113" s="46"/>
      <c r="R113" s="46"/>
      <c r="S113" s="46"/>
      <c r="T113" s="46"/>
      <c r="U113" s="30"/>
      <c r="V113" s="275">
        <f>SUM(V4:V109)</f>
        <v>4942851.4233333347</v>
      </c>
      <c r="W113" s="31"/>
      <c r="X113" s="275">
        <f t="shared" ref="X113:AG113" si="0">SUM(X4:X109)</f>
        <v>5470975.2836667355</v>
      </c>
      <c r="Y113" s="275">
        <f t="shared" si="0"/>
        <v>48000</v>
      </c>
      <c r="Z113" s="275">
        <f t="shared" si="0"/>
        <v>349050.07999999996</v>
      </c>
      <c r="AA113" s="275">
        <f t="shared" si="0"/>
        <v>0</v>
      </c>
      <c r="AB113" s="275">
        <f t="shared" si="0"/>
        <v>33222.5</v>
      </c>
      <c r="AC113" s="275">
        <f t="shared" si="0"/>
        <v>17100</v>
      </c>
      <c r="AD113" s="275">
        <f t="shared" si="0"/>
        <v>5088</v>
      </c>
      <c r="AE113" s="275">
        <f t="shared" si="0"/>
        <v>10941.950567333473</v>
      </c>
      <c r="AF113" s="275">
        <f t="shared" si="0"/>
        <v>5395312.0033333329</v>
      </c>
      <c r="AG113" s="275">
        <f t="shared" si="0"/>
        <v>5460033.3330994016</v>
      </c>
      <c r="AH113" s="276">
        <f>AH4+AH9+AH14+AH19+AH24+AH29+AH34+AH39+AH44+AH49+AH54+AH59+AH64+AH69+AH74+AH79+AH84+AH89+AH94+AH99+AH104+AH109</f>
        <v>64721.329766068462</v>
      </c>
      <c r="AI113" s="275">
        <f>SUM(AI4:AI109)</f>
        <v>6107.87</v>
      </c>
      <c r="AJ113" s="275">
        <f>SUM(AJ4:AJ109)</f>
        <v>41029.421836247922</v>
      </c>
    </row>
    <row r="125" spans="1:41" x14ac:dyDescent="0.35">
      <c r="AO125" s="21"/>
    </row>
  </sheetData>
  <mergeCells count="1">
    <mergeCell ref="A113:E113"/>
  </mergeCells>
  <pageMargins left="0.511811024" right="0.511811024" top="0.78740157499999996" bottom="0.78740157499999996" header="0.31496062000000002" footer="0.31496062000000002"/>
  <legacy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AO130"/>
  <sheetViews>
    <sheetView topLeftCell="A20" zoomScale="85" zoomScaleNormal="85" workbookViewId="0">
      <pane xSplit="7" topLeftCell="AI1" activePane="topRight" state="frozen"/>
      <selection pane="topRight" activeCell="AM38" sqref="AM38"/>
    </sheetView>
  </sheetViews>
  <sheetFormatPr defaultRowHeight="14.5" x14ac:dyDescent="0.35"/>
  <cols>
    <col min="1" max="1" width="13.26953125" customWidth="1"/>
    <col min="2" max="2" width="36.453125" bestFit="1" customWidth="1"/>
    <col min="3" max="3" width="33.26953125" bestFit="1" customWidth="1"/>
    <col min="4" max="4" width="15.1796875" customWidth="1"/>
    <col min="5" max="5" width="11.26953125" customWidth="1"/>
    <col min="6" max="6" width="13.453125" customWidth="1"/>
    <col min="8" max="8" width="11.54296875" style="310" bestFit="1" customWidth="1"/>
    <col min="10" max="10" width="10.26953125" bestFit="1" customWidth="1"/>
    <col min="11" max="11" width="12.453125" bestFit="1" customWidth="1"/>
    <col min="17" max="17" width="11.1796875" bestFit="1" customWidth="1"/>
    <col min="21" max="21" width="15" bestFit="1" customWidth="1"/>
    <col min="22" max="22" width="18.1796875" bestFit="1" customWidth="1"/>
    <col min="23" max="23" width="13.26953125" bestFit="1" customWidth="1"/>
    <col min="24" max="24" width="16.26953125" bestFit="1" customWidth="1"/>
    <col min="25" max="25" width="15" bestFit="1" customWidth="1"/>
    <col min="26" max="29" width="12.54296875" customWidth="1"/>
    <col min="30" max="30" width="13.81640625" bestFit="1" customWidth="1"/>
    <col min="31" max="31" width="11.81640625" bestFit="1" customWidth="1"/>
    <col min="32" max="34" width="18.1796875" bestFit="1" customWidth="1"/>
    <col min="35" max="35" width="19.7265625" customWidth="1"/>
    <col min="36" max="36" width="18.81640625" customWidth="1"/>
    <col min="38" max="38" width="19" customWidth="1"/>
    <col min="39" max="39" width="20.1796875" customWidth="1"/>
    <col min="40" max="40" width="41" customWidth="1"/>
    <col min="41" max="41" width="13.81640625" customWidth="1"/>
  </cols>
  <sheetData>
    <row r="3" spans="1:4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308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277">
        <f>AF118</f>
        <v>1530348.0100000002</v>
      </c>
      <c r="AM3" s="164">
        <f>AH118-AI118</f>
        <v>75766.946466951282</v>
      </c>
    </row>
    <row r="4" spans="1:41" x14ac:dyDescent="0.35">
      <c r="A4" s="20">
        <v>45368</v>
      </c>
      <c r="B4" s="21" t="s">
        <v>991</v>
      </c>
      <c r="C4" s="21" t="s">
        <v>992</v>
      </c>
      <c r="D4" s="44">
        <v>1923743</v>
      </c>
      <c r="E4" s="44" t="s">
        <v>652</v>
      </c>
      <c r="F4" s="364">
        <f>150-1-1</f>
        <v>148</v>
      </c>
      <c r="G4" s="21"/>
      <c r="H4" s="353">
        <f>83807/150*149</f>
        <v>83248.286666666667</v>
      </c>
      <c r="I4" s="33">
        <v>0.55000000000000004</v>
      </c>
      <c r="J4" s="24">
        <f>IFERROR(K4/H4,"")</f>
        <v>0.53415513736699127</v>
      </c>
      <c r="K4" s="22">
        <f>44467.5</f>
        <v>44467.5</v>
      </c>
      <c r="L4" s="21">
        <v>7</v>
      </c>
      <c r="M4" s="21">
        <v>98</v>
      </c>
      <c r="N4" s="21">
        <v>40</v>
      </c>
      <c r="O4" s="21">
        <v>3</v>
      </c>
      <c r="P4" s="21"/>
      <c r="Q4" s="21"/>
      <c r="R4" s="21"/>
      <c r="S4" s="21"/>
      <c r="T4" s="21"/>
      <c r="U4" s="25">
        <v>210</v>
      </c>
      <c r="V4" s="25">
        <f>H4*U4*I4/15</f>
        <v>641011.80733333342</v>
      </c>
      <c r="W4" s="25">
        <f>(928424.48/58268)*15</f>
        <v>239.00540948719708</v>
      </c>
      <c r="X4" s="25">
        <f>IFERROR(IFERROR((H4*W4*J4/15),""),"")</f>
        <v>708531.53642479575</v>
      </c>
      <c r="Y4" s="25">
        <f>149*42</f>
        <v>6258</v>
      </c>
      <c r="Z4" s="266"/>
      <c r="AA4" s="25">
        <v>0</v>
      </c>
      <c r="AB4" s="307">
        <f>3937.5/150*149</f>
        <v>3911.25</v>
      </c>
      <c r="AC4" s="25">
        <v>0</v>
      </c>
      <c r="AD4" s="25">
        <f>IF(F4="",G4*4.24,F4*4.24)</f>
        <v>627.52</v>
      </c>
      <c r="AE4" s="25">
        <f>IFERROR(IFERROR((X4*0.2%),""),"")</f>
        <v>1417.0630728495914</v>
      </c>
      <c r="AF4" s="25">
        <f>V4+Y4+Z4+AA4+AB4+AC4+AD4</f>
        <v>651808.57733333344</v>
      </c>
      <c r="AG4" s="25">
        <f>IFERROR(IFERROR((H4*W4*J4/15)-AE4,""),"")</f>
        <v>707114.4733519461</v>
      </c>
      <c r="AH4" s="26">
        <f>IFERROR(AG4-AF4,0)</f>
        <v>55305.896018612664</v>
      </c>
      <c r="AI4" s="25">
        <f>(F4+G4)/$AL$7*$AL$29</f>
        <v>1898.5134670487105</v>
      </c>
      <c r="AJ4" s="25">
        <f>(AH4-AI4)*70%</f>
        <v>37385.167786094768</v>
      </c>
      <c r="AL4" s="166" t="s">
        <v>749</v>
      </c>
      <c r="AM4" s="167">
        <f>AM3/AL3</f>
        <v>4.9509618708852551E-2</v>
      </c>
    </row>
    <row r="5" spans="1:41" x14ac:dyDescent="0.35">
      <c r="A5" s="21"/>
      <c r="B5" s="21"/>
      <c r="C5" s="21"/>
      <c r="D5" s="21"/>
      <c r="E5" s="21"/>
      <c r="F5" s="21"/>
      <c r="G5" s="21"/>
      <c r="H5" s="26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5"/>
      <c r="AF5" s="21"/>
      <c r="AG5" s="21"/>
      <c r="AH5" s="26">
        <f>IFERROR(AH4/F4,0)+IFERROR(AH4/G4,0)</f>
        <v>373.68848661224774</v>
      </c>
      <c r="AI5" s="21"/>
      <c r="AJ5" s="21"/>
      <c r="AM5" s="63"/>
    </row>
    <row r="6" spans="1:41" x14ac:dyDescent="0.35">
      <c r="A6" s="21"/>
      <c r="B6" s="21"/>
      <c r="C6" s="21"/>
      <c r="D6" s="21"/>
      <c r="E6" s="21"/>
      <c r="F6" s="21"/>
      <c r="G6" s="21"/>
      <c r="H6" s="26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7.8213497393774506E-2</v>
      </c>
      <c r="AI6" s="21"/>
      <c r="AJ6" s="21"/>
      <c r="AM6" s="63"/>
    </row>
    <row r="7" spans="1:41" x14ac:dyDescent="0.35">
      <c r="A7" s="21"/>
      <c r="B7" s="21"/>
      <c r="C7" s="21"/>
      <c r="D7" s="21"/>
      <c r="E7" s="21"/>
      <c r="F7" s="21"/>
      <c r="G7" s="21"/>
      <c r="H7" s="26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21"/>
      <c r="AJ7" s="21"/>
      <c r="AL7" s="290">
        <f>F118+G118</f>
        <v>349</v>
      </c>
      <c r="AM7" s="118" t="s">
        <v>22</v>
      </c>
    </row>
    <row r="8" spans="1:41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308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14" t="s">
        <v>14</v>
      </c>
      <c r="AF8" s="14" t="s">
        <v>15</v>
      </c>
      <c r="AG8" s="14" t="s">
        <v>16</v>
      </c>
      <c r="AH8" s="15" t="s">
        <v>17</v>
      </c>
      <c r="AI8" s="14" t="s">
        <v>679</v>
      </c>
      <c r="AJ8" s="14" t="s">
        <v>678</v>
      </c>
      <c r="AL8" s="164">
        <f>AH118</f>
        <v>80243.846466951276</v>
      </c>
      <c r="AM8" s="164">
        <f>AL8*30%</f>
        <v>24073.153940085384</v>
      </c>
    </row>
    <row r="9" spans="1:41" x14ac:dyDescent="0.35">
      <c r="A9" s="20">
        <v>45368</v>
      </c>
      <c r="B9" s="21" t="s">
        <v>991</v>
      </c>
      <c r="C9" s="21" t="s">
        <v>992</v>
      </c>
      <c r="D9" s="44">
        <v>1923747</v>
      </c>
      <c r="E9" s="44" t="s">
        <v>652</v>
      </c>
      <c r="F9" s="364">
        <f>150-148-1</f>
        <v>1</v>
      </c>
      <c r="G9" s="21"/>
      <c r="H9" s="353">
        <f>83807/150*1</f>
        <v>558.71333333333337</v>
      </c>
      <c r="I9" s="33">
        <v>0.55000000000000004</v>
      </c>
      <c r="J9" s="24">
        <f>IFERROR(K9/H9,"")</f>
        <v>0.53548541077571377</v>
      </c>
      <c r="K9" s="22">
        <v>299.1828388058683</v>
      </c>
      <c r="L9" s="21"/>
      <c r="M9" s="21">
        <v>1</v>
      </c>
      <c r="N9" s="21"/>
      <c r="O9" s="21"/>
      <c r="P9" s="21"/>
      <c r="Q9" s="21"/>
      <c r="R9" s="21"/>
      <c r="S9" s="21"/>
      <c r="T9" s="21"/>
      <c r="U9" s="25">
        <v>210</v>
      </c>
      <c r="V9" s="25">
        <f>H9*U9*I9/15</f>
        <v>4302.0926666666674</v>
      </c>
      <c r="W9" s="25">
        <f>(1004637.79/63479.5)*15</f>
        <v>237.39265195850629</v>
      </c>
      <c r="X9" s="25">
        <f>IFERROR(IFERROR((H9*W9*J9/15),""),"")</f>
        <v>4734.9205016399592</v>
      </c>
      <c r="Y9" s="25">
        <f>F9*42</f>
        <v>42</v>
      </c>
      <c r="Z9" s="266"/>
      <c r="AA9" s="25">
        <v>0</v>
      </c>
      <c r="AB9" s="307">
        <f>3937.5/150*1</f>
        <v>26.25</v>
      </c>
      <c r="AC9" s="25">
        <v>0</v>
      </c>
      <c r="AD9" s="25">
        <f>IF(F9="",G9*4.24,F9*4.24)</f>
        <v>4.24</v>
      </c>
      <c r="AE9" s="25">
        <f>IFERROR(IFERROR((X9*0.2%),""),"")</f>
        <v>9.4698410032799192</v>
      </c>
      <c r="AF9" s="25">
        <f>V9+Y9+Z9+AA9+AB9+AC9+AD9</f>
        <v>4374.5826666666671</v>
      </c>
      <c r="AG9" s="25">
        <f>IFERROR(IFERROR((H9*W9*J9/15)-AE9,""),"")</f>
        <v>4725.4506606366795</v>
      </c>
      <c r="AH9" s="26">
        <f>IFERROR(AG9-AF9,0)</f>
        <v>350.86799397001232</v>
      </c>
      <c r="AI9" s="25">
        <f>(F9+G9)/$AL$7*$AL$29</f>
        <v>12.827793696275069</v>
      </c>
      <c r="AJ9" s="25">
        <f>(AH9-AI9)*70%</f>
        <v>236.62814019161604</v>
      </c>
      <c r="AM9" s="63"/>
    </row>
    <row r="10" spans="1:41" x14ac:dyDescent="0.35">
      <c r="A10" s="21"/>
      <c r="B10" s="21"/>
      <c r="C10" s="21"/>
      <c r="D10" s="21"/>
      <c r="E10" s="21"/>
      <c r="F10" s="21"/>
      <c r="G10" s="21"/>
      <c r="H10" s="26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5"/>
      <c r="AF10" s="21"/>
      <c r="AG10" s="21"/>
      <c r="AH10" s="26">
        <f>IFERROR(AH9/F9,0)+IFERROR(AH9/G9,0)</f>
        <v>350.86799397001232</v>
      </c>
      <c r="AI10" s="21"/>
      <c r="AJ10" s="21"/>
      <c r="AL10" s="180" t="s">
        <v>187</v>
      </c>
      <c r="AM10" s="184" t="s">
        <v>680</v>
      </c>
      <c r="AN10" s="191"/>
      <c r="AO10" s="180" t="s">
        <v>1</v>
      </c>
    </row>
    <row r="11" spans="1:41" x14ac:dyDescent="0.35">
      <c r="A11" s="21"/>
      <c r="B11" s="21"/>
      <c r="C11" s="21"/>
      <c r="D11" s="21"/>
      <c r="E11" s="21"/>
      <c r="F11" s="21"/>
      <c r="G11" s="21"/>
      <c r="H11" s="26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7.4250694625333027E-2</v>
      </c>
      <c r="AI11" s="21"/>
      <c r="AJ11" s="21"/>
      <c r="AL11" s="351">
        <v>909</v>
      </c>
      <c r="AM11" s="6" t="s">
        <v>1019</v>
      </c>
      <c r="AN11" s="6"/>
      <c r="AO11" s="352">
        <v>45371</v>
      </c>
    </row>
    <row r="12" spans="1:41" x14ac:dyDescent="0.35">
      <c r="A12" s="21"/>
      <c r="B12" s="21"/>
      <c r="C12" s="21"/>
      <c r="D12" s="21"/>
      <c r="E12" s="21"/>
      <c r="F12" s="21"/>
      <c r="G12" s="21"/>
      <c r="H12" s="26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  <c r="AI12" s="21"/>
      <c r="AJ12" s="21"/>
      <c r="AL12" s="208">
        <v>1600</v>
      </c>
      <c r="AM12" s="350" t="s">
        <v>1048</v>
      </c>
      <c r="AN12" s="350"/>
      <c r="AO12" s="346">
        <v>45373</v>
      </c>
    </row>
    <row r="13" spans="1:41" ht="15" customHeight="1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308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3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  <c r="AL13" s="208">
        <v>1701.9</v>
      </c>
      <c r="AM13" s="6" t="s">
        <v>1051</v>
      </c>
      <c r="AO13" s="346">
        <v>45373</v>
      </c>
    </row>
    <row r="14" spans="1:41" x14ac:dyDescent="0.35">
      <c r="A14" s="20">
        <v>45369</v>
      </c>
      <c r="B14" s="21" t="s">
        <v>1021</v>
      </c>
      <c r="C14" s="21" t="s">
        <v>1022</v>
      </c>
      <c r="D14" s="44">
        <v>1923743</v>
      </c>
      <c r="E14" s="44" t="s">
        <v>652</v>
      </c>
      <c r="F14" s="21">
        <v>50</v>
      </c>
      <c r="G14" s="21"/>
      <c r="H14" s="353">
        <v>25500</v>
      </c>
      <c r="I14" s="33">
        <v>0.54</v>
      </c>
      <c r="J14" s="24">
        <f>IFERROR(K14/H14,"")</f>
        <v>0.54119607843137252</v>
      </c>
      <c r="K14" s="22">
        <f>13800.5</f>
        <v>13800.5</v>
      </c>
      <c r="L14" s="21">
        <v>12</v>
      </c>
      <c r="M14" s="21">
        <v>18</v>
      </c>
      <c r="N14" s="21">
        <v>13</v>
      </c>
      <c r="O14" s="21">
        <v>6</v>
      </c>
      <c r="P14" s="21">
        <v>1</v>
      </c>
      <c r="Q14" s="21"/>
      <c r="R14" s="21"/>
      <c r="S14" s="21"/>
      <c r="T14" s="21"/>
      <c r="U14" s="25">
        <v>210</v>
      </c>
      <c r="V14" s="25">
        <f>H14*U14*I14/15</f>
        <v>192780</v>
      </c>
      <c r="W14" s="25">
        <f>(928424.48/58268)*15</f>
        <v>239.00540948719708</v>
      </c>
      <c r="X14" s="25">
        <f>IFERROR(IFERROR((H14*W14*J14/15),""),"")</f>
        <v>219892.94357520423</v>
      </c>
      <c r="Y14" s="25">
        <f>F14*42</f>
        <v>2100</v>
      </c>
      <c r="Z14" s="25">
        <v>0</v>
      </c>
      <c r="AA14" s="25">
        <v>0</v>
      </c>
      <c r="AB14" s="307">
        <v>1312.5</v>
      </c>
      <c r="AC14" s="25">
        <v>0</v>
      </c>
      <c r="AD14" s="25">
        <f>IF(F14="",G14*4.24,F14*4.24)</f>
        <v>212</v>
      </c>
      <c r="AE14" s="25">
        <f>IFERROR(IFERROR((X14*0.2%),""),"")</f>
        <v>439.78588715040848</v>
      </c>
      <c r="AF14" s="25">
        <f>V14+Y14+Z14+AA14+AB14+AC14+AD14</f>
        <v>196404.5</v>
      </c>
      <c r="AG14" s="25">
        <f>IFERROR(IFERROR((H14*W14*J14/15)-AE14,""),"")</f>
        <v>219453.15768805382</v>
      </c>
      <c r="AH14" s="26">
        <f>IFERROR(AG14-AF14,0)</f>
        <v>23048.65768805382</v>
      </c>
      <c r="AI14" s="25">
        <f>(F14+G14)/$AL$7*$AL$29</f>
        <v>641.38968481375355</v>
      </c>
      <c r="AJ14" s="25">
        <f>(AH14-AI14)*70%</f>
        <v>15685.087602268046</v>
      </c>
      <c r="AL14" s="208">
        <v>236</v>
      </c>
      <c r="AM14" s="6" t="s">
        <v>1049</v>
      </c>
      <c r="AO14" s="346">
        <v>45376</v>
      </c>
    </row>
    <row r="15" spans="1:41" x14ac:dyDescent="0.35">
      <c r="A15" s="21"/>
      <c r="B15" s="21"/>
      <c r="C15" s="21"/>
      <c r="D15" s="21"/>
      <c r="E15" s="21"/>
      <c r="F15" s="21"/>
      <c r="G15" s="21"/>
      <c r="H15" s="26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316"/>
      <c r="AF15" s="21"/>
      <c r="AG15" s="21"/>
      <c r="AH15" s="26">
        <f>IFERROR(AH14/F14,0)+IFERROR(AH14/G14,0)</f>
        <v>460.97315376107639</v>
      </c>
      <c r="AI15" s="21"/>
      <c r="AJ15" s="21"/>
      <c r="AL15" s="208">
        <v>30</v>
      </c>
      <c r="AM15" s="6" t="s">
        <v>1050</v>
      </c>
      <c r="AO15" s="346">
        <v>45376</v>
      </c>
    </row>
    <row r="16" spans="1:41" x14ac:dyDescent="0.35">
      <c r="A16" s="21"/>
      <c r="B16" s="21"/>
      <c r="C16" s="21"/>
      <c r="D16" s="21"/>
      <c r="E16" s="21"/>
      <c r="F16" s="21"/>
      <c r="G16" s="21"/>
      <c r="H16" s="26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316"/>
      <c r="AF16" s="21"/>
      <c r="AG16" s="21"/>
      <c r="AH16" s="27">
        <f>IFERROR(AH14/AG14,"")</f>
        <v>0.10502768759799212</v>
      </c>
      <c r="AI16" s="21"/>
      <c r="AJ16" s="21"/>
      <c r="AL16" s="208"/>
      <c r="AM16" s="6"/>
      <c r="AO16" s="346"/>
    </row>
    <row r="17" spans="1:41" x14ac:dyDescent="0.35">
      <c r="A17" s="21"/>
      <c r="B17" s="21"/>
      <c r="C17" s="21"/>
      <c r="D17" s="21"/>
      <c r="E17" s="21"/>
      <c r="F17" s="21"/>
      <c r="G17" s="21"/>
      <c r="H17" s="26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316"/>
      <c r="AF17" s="21"/>
      <c r="AG17" s="21"/>
      <c r="AH17" s="47"/>
      <c r="AI17" s="47"/>
      <c r="AJ17" s="47"/>
      <c r="AL17" s="351"/>
      <c r="AM17" s="6"/>
      <c r="AN17" s="6"/>
      <c r="AO17" s="352"/>
    </row>
    <row r="18" spans="1:4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308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34" t="s">
        <v>14</v>
      </c>
      <c r="AF18" s="14" t="s">
        <v>15</v>
      </c>
      <c r="AG18" s="14" t="s">
        <v>16</v>
      </c>
      <c r="AH18" s="54" t="s">
        <v>17</v>
      </c>
      <c r="AI18" s="14" t="s">
        <v>679</v>
      </c>
      <c r="AJ18" s="14" t="s">
        <v>678</v>
      </c>
      <c r="AL18" s="351"/>
      <c r="AM18" s="6"/>
      <c r="AN18" s="6"/>
      <c r="AO18" s="325"/>
    </row>
    <row r="19" spans="1:41" s="63" customFormat="1" x14ac:dyDescent="0.35">
      <c r="A19" s="20">
        <v>45371</v>
      </c>
      <c r="B19" s="21" t="s">
        <v>1031</v>
      </c>
      <c r="C19" s="21" t="s">
        <v>752</v>
      </c>
      <c r="D19" s="44">
        <v>1923747</v>
      </c>
      <c r="E19" s="44" t="s">
        <v>652</v>
      </c>
      <c r="F19" s="21">
        <v>50</v>
      </c>
      <c r="G19" s="21"/>
      <c r="H19" s="353">
        <v>26190</v>
      </c>
      <c r="I19" s="33">
        <v>0.55000000000000004</v>
      </c>
      <c r="J19" s="24">
        <f>IFERROR(K19/H19,"")</f>
        <v>0.53548541077571377</v>
      </c>
      <c r="K19" s="22">
        <v>14024.362908215942</v>
      </c>
      <c r="L19" s="21"/>
      <c r="M19" s="21"/>
      <c r="N19" s="21"/>
      <c r="O19" s="21"/>
      <c r="P19" s="21"/>
      <c r="Q19" s="21"/>
      <c r="R19" s="21"/>
      <c r="S19" s="21"/>
      <c r="T19" s="21"/>
      <c r="U19" s="25">
        <v>227</v>
      </c>
      <c r="V19" s="25">
        <f>H19*U19*I19/15</f>
        <v>217988.10000000003</v>
      </c>
      <c r="W19" s="25">
        <f>(1004637.79/63479.5)*15</f>
        <v>237.39265195850629</v>
      </c>
      <c r="X19" s="25">
        <f>IFERROR(IFERROR((H19*W19*J19/15),""),"")</f>
        <v>221952.04685399283</v>
      </c>
      <c r="Y19" s="25">
        <f>IF(B19="FRANCISCO CAMACHO",((F19*42)+(G19*42)),IF(B19="DANILO VIANA",((F19*60)+(G19*60)),IF(B19="ANTONIO MARCUS ALBINO",((F19*60)+(G19*60)),0)))</f>
        <v>0</v>
      </c>
      <c r="Z19" s="25">
        <v>0</v>
      </c>
      <c r="AA19" s="25">
        <v>0</v>
      </c>
      <c r="AB19" s="307">
        <v>1418.75</v>
      </c>
      <c r="AC19" s="25">
        <v>0</v>
      </c>
      <c r="AD19" s="25">
        <f>IF(F19="",G19*4.24,F19*4.24)</f>
        <v>212</v>
      </c>
      <c r="AE19" s="25">
        <f>IFERROR(IFERROR((X19*0.2%),""),"")</f>
        <v>443.90409370798568</v>
      </c>
      <c r="AF19" s="25">
        <f>V19+Y19+Z19+AA19+AB19+AC19+AD19</f>
        <v>219618.85000000003</v>
      </c>
      <c r="AG19" s="25">
        <f>IFERROR(IFERROR((H19*W19*J19/15)-AE19,""),"")</f>
        <v>221508.14276028483</v>
      </c>
      <c r="AH19" s="324">
        <f>IFERROR(AG19-AF19,0)</f>
        <v>1889.2927602847922</v>
      </c>
      <c r="AI19" s="25">
        <f>(F19+G19)/$AL$7*$AL$29</f>
        <v>641.38968481375355</v>
      </c>
      <c r="AJ19" s="25">
        <f>(AH19-AI19)*70%</f>
        <v>873.53215282972701</v>
      </c>
      <c r="AL19" s="208"/>
      <c r="AM19" s="6"/>
      <c r="AN19"/>
      <c r="AO19" s="346"/>
    </row>
    <row r="20" spans="1:41" x14ac:dyDescent="0.35">
      <c r="A20" s="21"/>
      <c r="B20" s="21"/>
      <c r="C20" s="21"/>
      <c r="D20" s="21"/>
      <c r="E20" s="21"/>
      <c r="F20" s="21"/>
      <c r="G20" s="21"/>
      <c r="H20" s="26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21"/>
      <c r="AF20" s="21"/>
      <c r="AG20" s="21"/>
      <c r="AH20" s="26">
        <f>IFERROR(AH19/F19,0)+IFERROR(AH19/G19,0)</f>
        <v>37.785855205695846</v>
      </c>
      <c r="AI20" s="21"/>
      <c r="AJ20" s="21"/>
      <c r="AL20" s="208"/>
      <c r="AM20" s="6"/>
      <c r="AO20" s="346"/>
    </row>
    <row r="21" spans="1:41" x14ac:dyDescent="0.35">
      <c r="A21" s="21"/>
      <c r="B21" s="21"/>
      <c r="C21" s="21"/>
      <c r="D21" s="21"/>
      <c r="E21" s="21"/>
      <c r="F21" s="21"/>
      <c r="G21" s="21"/>
      <c r="H21" s="26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7">
        <f>IFERROR(AH19/AG19,"")</f>
        <v>8.529224870660294E-3</v>
      </c>
      <c r="AI21" s="21"/>
      <c r="AJ21" s="21"/>
      <c r="AL21" s="208"/>
      <c r="AM21" s="6"/>
      <c r="AO21" s="346"/>
    </row>
    <row r="22" spans="1:41" x14ac:dyDescent="0.35">
      <c r="A22" s="21"/>
      <c r="B22" s="21"/>
      <c r="C22" s="21"/>
      <c r="D22" s="21"/>
      <c r="E22" s="21"/>
      <c r="F22" s="21"/>
      <c r="G22" s="21"/>
      <c r="H22" s="26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47"/>
      <c r="AI22" s="21"/>
      <c r="AJ22" s="21"/>
      <c r="AL22" s="208"/>
      <c r="AO22" s="346"/>
    </row>
    <row r="23" spans="1:4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308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1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208"/>
      <c r="AM23" s="294"/>
      <c r="AO23" s="346"/>
    </row>
    <row r="24" spans="1:41" x14ac:dyDescent="0.35">
      <c r="A24" s="20">
        <v>45371</v>
      </c>
      <c r="B24" s="21" t="s">
        <v>1032</v>
      </c>
      <c r="C24" s="21" t="s">
        <v>487</v>
      </c>
      <c r="D24" s="44">
        <v>1926600</v>
      </c>
      <c r="E24" s="44" t="s">
        <v>652</v>
      </c>
      <c r="F24" s="21">
        <v>100</v>
      </c>
      <c r="G24" s="21"/>
      <c r="H24" s="261">
        <v>55140</v>
      </c>
      <c r="I24" s="33">
        <v>0.55000000000000004</v>
      </c>
      <c r="J24" s="24">
        <f>IFERROR(K24/H24,"")</f>
        <v>0.51370148712368513</v>
      </c>
      <c r="K24" s="22">
        <v>28325.5</v>
      </c>
      <c r="L24" s="21">
        <v>8</v>
      </c>
      <c r="M24" s="21">
        <v>49</v>
      </c>
      <c r="N24" s="21">
        <v>34</v>
      </c>
      <c r="O24" s="21">
        <v>7</v>
      </c>
      <c r="P24" s="21">
        <v>2</v>
      </c>
      <c r="Q24" s="21"/>
      <c r="R24" s="21"/>
      <c r="S24" s="21"/>
      <c r="T24" s="21"/>
      <c r="U24" s="25">
        <v>225</v>
      </c>
      <c r="V24" s="25">
        <f>H24*U24*I24/15</f>
        <v>454905.00000000006</v>
      </c>
      <c r="W24" s="25">
        <f>(447204.28/28325.5)*15</f>
        <v>236.82068101180917</v>
      </c>
      <c r="X24" s="25">
        <f>IFERROR(IFERROR((H24*W24*J24/15),""),"")</f>
        <v>447204.28</v>
      </c>
      <c r="Y24" s="25">
        <f>IF(B24="FRANCISCO CAMACHO",((F24*42)+(G24*42)),IF(B24="DANILO VIANA",((F24*60)+(G24*60)),IF(B24="ANTONIO MARCUS ALBINO",((F24*60)+(G24*60)),0)))</f>
        <v>0</v>
      </c>
      <c r="Z24" s="25">
        <v>0</v>
      </c>
      <c r="AA24" s="25">
        <v>0</v>
      </c>
      <c r="AB24" s="307">
        <v>2812.5</v>
      </c>
      <c r="AC24" s="25">
        <v>0</v>
      </c>
      <c r="AD24" s="25">
        <f>IF(F24="",G24*4.24,F24*4.24)</f>
        <v>424</v>
      </c>
      <c r="AE24" s="25">
        <f>IFERROR(IFERROR((X24*0.2%),""),"")</f>
        <v>894.40856000000008</v>
      </c>
      <c r="AF24" s="25">
        <f>V24+Y24+Z24+AA24+AB24+AC24+AD24</f>
        <v>458141.50000000006</v>
      </c>
      <c r="AG24" s="25">
        <f>IFERROR(IFERROR((H24*W24*J24/15)-AE24,""),"")</f>
        <v>446309.87144000002</v>
      </c>
      <c r="AH24" s="26">
        <f>IFERROR(AG24-AF24,0)</f>
        <v>-11831.628560000041</v>
      </c>
      <c r="AI24" s="25">
        <f>(F24+G24)/$AL$7*$AL$29</f>
        <v>1282.7793696275071</v>
      </c>
      <c r="AJ24" s="25">
        <f>(AH24-AI24)*70%</f>
        <v>-9180.0855507392826</v>
      </c>
      <c r="AL24" s="208"/>
      <c r="AM24" s="6"/>
      <c r="AO24" s="346"/>
    </row>
    <row r="25" spans="1:41" x14ac:dyDescent="0.35">
      <c r="A25" s="21"/>
      <c r="B25" s="21"/>
      <c r="C25" s="21"/>
      <c r="D25" s="21"/>
      <c r="E25" s="21"/>
      <c r="F25" s="21"/>
      <c r="G25" s="21"/>
      <c r="H25" s="26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21"/>
      <c r="AF25" s="21"/>
      <c r="AG25" s="21"/>
      <c r="AH25" s="26">
        <f>IFERROR(AH24/F24,0)+IFERROR(AH24/G24,0)</f>
        <v>-118.31628560000041</v>
      </c>
      <c r="AI25" s="21"/>
      <c r="AJ25" s="21"/>
      <c r="AL25" s="219"/>
      <c r="AO25" s="174"/>
    </row>
    <row r="26" spans="1:41" x14ac:dyDescent="0.35">
      <c r="A26" s="21"/>
      <c r="B26" s="21"/>
      <c r="C26" s="21"/>
      <c r="D26" s="21"/>
      <c r="E26" s="21"/>
      <c r="F26" s="21"/>
      <c r="G26" s="21"/>
      <c r="H26" s="26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7">
        <f>IFERROR(AH24/AG24,"")</f>
        <v>-2.6509896637118488E-2</v>
      </c>
      <c r="AI26" s="21"/>
      <c r="AJ26" s="21"/>
      <c r="AL26" s="219"/>
      <c r="AO26" s="174"/>
    </row>
    <row r="27" spans="1:41" x14ac:dyDescent="0.35">
      <c r="A27" s="21"/>
      <c r="B27" s="21"/>
      <c r="C27" s="21"/>
      <c r="D27" s="21"/>
      <c r="E27" s="21"/>
      <c r="F27" s="21"/>
      <c r="G27" s="21"/>
      <c r="H27" s="26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47"/>
      <c r="AI27" s="21"/>
      <c r="AJ27" s="21"/>
      <c r="AL27" s="219"/>
      <c r="AO27" s="174"/>
    </row>
    <row r="28" spans="1:4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308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19"/>
      <c r="AO28" s="174"/>
    </row>
    <row r="29" spans="1:41" x14ac:dyDescent="0.35">
      <c r="A29" s="20"/>
      <c r="B29" s="21"/>
      <c r="C29" s="21"/>
      <c r="D29" s="44"/>
      <c r="E29" s="44"/>
      <c r="F29" s="21"/>
      <c r="G29" s="21"/>
      <c r="H29" s="328"/>
      <c r="I29" s="33">
        <v>0</v>
      </c>
      <c r="J29" s="24" t="str">
        <f>IFERROR(K29/H29,"")</f>
        <v/>
      </c>
      <c r="K29" s="22"/>
      <c r="L29" s="21"/>
      <c r="M29" s="21"/>
      <c r="N29" s="21"/>
      <c r="O29" s="21"/>
      <c r="P29" s="21"/>
      <c r="Q29" s="21"/>
      <c r="R29" s="21"/>
      <c r="S29" s="21"/>
      <c r="T29" s="21"/>
      <c r="U29" s="25">
        <v>0</v>
      </c>
      <c r="V29" s="25">
        <f>H29*U29*I29/15</f>
        <v>0</v>
      </c>
      <c r="W29" s="25">
        <v>0</v>
      </c>
      <c r="X29" s="25" t="str">
        <f>IFERROR(IFERROR((H29*W29*J29/15),""),"")</f>
        <v/>
      </c>
      <c r="Y29" s="25">
        <f>IF(B29="FRANCISCO CAMACHO",((F29*42)+(G29*42)),IF(B29="DANILO VIANA",((F29*60)+(G29*60)),IF(B29="ANTONIO MARCUS ALBINO",((F29*60)+(G29*60)),0)))</f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f>IF(F29="",G29*4.24,F29*4.24)</f>
        <v>0</v>
      </c>
      <c r="AE29" s="25" t="str">
        <f>IFERROR(IFERROR((X29*0.2%),""),"")</f>
        <v/>
      </c>
      <c r="AF29" s="25">
        <f>V29+Y29+Z29+AA29+AB29+AC29+AD29</f>
        <v>0</v>
      </c>
      <c r="AG29" s="25" t="str">
        <f>IFERROR(IFERROR((H29*W29*J29/15)-AE29,""),"")</f>
        <v/>
      </c>
      <c r="AH29" s="26">
        <f>IFERROR(AG29-AF29,0)</f>
        <v>0</v>
      </c>
      <c r="AI29" s="25">
        <f>(F29+G29)/$AL$7*$AL$29</f>
        <v>0</v>
      </c>
      <c r="AJ29" s="25">
        <f>(AH29-AI29)*70%</f>
        <v>0</v>
      </c>
      <c r="AL29" s="179">
        <f>SUM(AL11:AL28)</f>
        <v>4476.8999999999996</v>
      </c>
      <c r="AM29" s="349" t="s">
        <v>673</v>
      </c>
      <c r="AN29" s="176"/>
      <c r="AO29" s="297"/>
    </row>
    <row r="30" spans="1:41" x14ac:dyDescent="0.35">
      <c r="A30" s="21"/>
      <c r="B30" s="21"/>
      <c r="C30" s="21"/>
      <c r="D30" s="21"/>
      <c r="E30" s="21"/>
      <c r="F30" s="21"/>
      <c r="G30" s="21"/>
      <c r="H30" s="26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5"/>
      <c r="Y30" s="21"/>
      <c r="Z30" s="3"/>
      <c r="AA30" s="21"/>
      <c r="AB30" s="21"/>
      <c r="AC30" s="21"/>
      <c r="AD30" s="21"/>
      <c r="AE30" s="316"/>
      <c r="AF30" s="21"/>
      <c r="AG30" s="25"/>
      <c r="AH30" s="26">
        <f>IFERROR(AH29/F29,0)+IFERROR(AH29/G29,0)</f>
        <v>0</v>
      </c>
      <c r="AI30" s="21"/>
      <c r="AJ30" s="21"/>
      <c r="AL30" s="57"/>
      <c r="AM30" s="6"/>
    </row>
    <row r="31" spans="1:41" x14ac:dyDescent="0.35">
      <c r="A31" s="21"/>
      <c r="B31" s="21"/>
      <c r="C31" s="21"/>
      <c r="D31" s="21"/>
      <c r="E31" s="21"/>
      <c r="F31" s="21"/>
      <c r="G31" s="21"/>
      <c r="H31" s="26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316"/>
      <c r="AF31" s="21"/>
      <c r="AG31" s="21"/>
      <c r="AH31" s="27" t="str">
        <f>IFERROR(AH29/AG29,"")</f>
        <v/>
      </c>
      <c r="AI31" s="21"/>
      <c r="AJ31" s="21"/>
    </row>
    <row r="32" spans="1:41" x14ac:dyDescent="0.35">
      <c r="A32" s="21"/>
      <c r="B32" s="21"/>
      <c r="C32" s="21"/>
      <c r="D32" s="21"/>
      <c r="E32" s="21"/>
      <c r="F32" s="21"/>
      <c r="G32" s="21"/>
      <c r="H32" s="26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316"/>
      <c r="AF32" s="21"/>
      <c r="AG32" s="21"/>
      <c r="AH32" s="47"/>
      <c r="AI32" s="21"/>
      <c r="AJ32" s="21"/>
      <c r="AL32" s="57"/>
      <c r="AM32" s="118" t="s">
        <v>22</v>
      </c>
      <c r="AN32" s="12"/>
    </row>
    <row r="33" spans="1:40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308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368">
        <f>AL8-AL29</f>
        <v>75766.946466951282</v>
      </c>
      <c r="AM33" s="370">
        <f>AL33*30%</f>
        <v>22730.083940085384</v>
      </c>
      <c r="AN33" s="12"/>
    </row>
    <row r="34" spans="1:40" x14ac:dyDescent="0.35">
      <c r="A34" s="20"/>
      <c r="B34" s="21"/>
      <c r="C34" s="21"/>
      <c r="D34" s="44"/>
      <c r="E34" s="44"/>
      <c r="F34" s="21"/>
      <c r="G34" s="21"/>
      <c r="H34" s="328"/>
      <c r="I34" s="33">
        <v>0</v>
      </c>
      <c r="J34" s="24" t="str">
        <f>IFERROR(K34/H34,"")</f>
        <v/>
      </c>
      <c r="K34" s="22"/>
      <c r="L34" s="21"/>
      <c r="M34" s="21"/>
      <c r="N34" s="21"/>
      <c r="O34" s="21"/>
      <c r="P34" s="21"/>
      <c r="Q34" s="21"/>
      <c r="R34" s="21"/>
      <c r="S34" s="21"/>
      <c r="T34" s="21"/>
      <c r="U34" s="25">
        <v>0</v>
      </c>
      <c r="V34" s="25">
        <f>H34*U34*I34/15</f>
        <v>0</v>
      </c>
      <c r="W34" s="25">
        <v>0</v>
      </c>
      <c r="X34" s="25" t="str">
        <f>IFERROR(IFERROR((H34*W34*J34/15),""),"")</f>
        <v/>
      </c>
      <c r="Y34" s="25">
        <f>IF(B34="FRANCISCO CAMACHO",((F34*42)+(G34*42)),IF(B34="DANILO VIANA",((F34*60)+(G34*60)),IF(B34="ANTONIO MARCUS ALBINO",((F34*60)+(G34*60)),0)))</f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f>IF(F34="",G34*4.24,F34*4.24)</f>
        <v>0</v>
      </c>
      <c r="AE34" s="25" t="str">
        <f>IFERROR(IFERROR((X34*0.2%),""),"")</f>
        <v/>
      </c>
      <c r="AF34" s="25">
        <f>V34+Y34+Z34+AA34+AB34+AC34+AD34</f>
        <v>0</v>
      </c>
      <c r="AG34" s="25" t="str">
        <f>IFERROR(IFERROR((H34*W34*J34/15)-AE34,""),"")</f>
        <v/>
      </c>
      <c r="AH34" s="26">
        <f>IFERROR(AG34-AF34,0)</f>
        <v>0</v>
      </c>
      <c r="AI34" s="25">
        <f>(F34+G34)/$AL$7*$AL$29</f>
        <v>0</v>
      </c>
      <c r="AJ34" s="25">
        <f>(AH34-AI34)*70%</f>
        <v>0</v>
      </c>
      <c r="AL34" s="57"/>
      <c r="AM34" s="371"/>
      <c r="AN34" s="246"/>
    </row>
    <row r="35" spans="1:40" x14ac:dyDescent="0.35">
      <c r="A35" s="21"/>
      <c r="B35" s="21"/>
      <c r="C35" s="21"/>
      <c r="D35" s="21"/>
      <c r="E35" s="21"/>
      <c r="F35" s="21"/>
      <c r="G35" s="21"/>
      <c r="H35" s="26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3"/>
      <c r="AA35" s="21"/>
      <c r="AB35" s="21"/>
      <c r="AC35" s="21"/>
      <c r="AD35" s="21"/>
      <c r="AE35" s="21"/>
      <c r="AF35" s="21"/>
      <c r="AG35" s="21"/>
      <c r="AH35" s="26">
        <f>IFERROR(AH34/F34,0)+IFERROR(AH34/G34,0)</f>
        <v>0</v>
      </c>
      <c r="AI35" s="21"/>
      <c r="AJ35" s="21"/>
      <c r="AL35" s="57"/>
      <c r="AM35" s="372">
        <f>'16.03.24'!AM38</f>
        <v>-10607.377297272873</v>
      </c>
      <c r="AN35" s="284" t="s">
        <v>1046</v>
      </c>
    </row>
    <row r="36" spans="1:40" x14ac:dyDescent="0.35">
      <c r="A36" s="21"/>
      <c r="B36" s="21"/>
      <c r="C36" s="21"/>
      <c r="D36" s="21"/>
      <c r="E36" s="21"/>
      <c r="F36" s="21"/>
      <c r="G36" s="21"/>
      <c r="H36" s="26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7" t="str">
        <f>IFERROR(AH34/AG34,"")</f>
        <v/>
      </c>
      <c r="AI36" s="21"/>
      <c r="AJ36" s="21"/>
    </row>
    <row r="37" spans="1:40" x14ac:dyDescent="0.35">
      <c r="A37" s="21"/>
      <c r="B37" s="21"/>
      <c r="C37" s="21"/>
      <c r="D37" s="21"/>
      <c r="E37" s="21"/>
      <c r="F37" s="21"/>
      <c r="G37" s="21"/>
      <c r="H37" s="26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47"/>
      <c r="AI37" s="21"/>
      <c r="AJ37" s="21"/>
      <c r="AM37" s="373">
        <f>AM33+AM35</f>
        <v>12122.706642812511</v>
      </c>
      <c r="AN37" s="369" t="s">
        <v>897</v>
      </c>
    </row>
    <row r="38" spans="1:40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308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</row>
    <row r="39" spans="1:40" x14ac:dyDescent="0.35">
      <c r="A39" s="20"/>
      <c r="B39" s="21"/>
      <c r="C39" s="21"/>
      <c r="D39" s="44"/>
      <c r="E39" s="44"/>
      <c r="F39" s="21"/>
      <c r="G39" s="21"/>
      <c r="H39" s="328"/>
      <c r="I39" s="33">
        <v>0</v>
      </c>
      <c r="J39" s="24" t="str">
        <f>IFERROR(K39/H39,"")</f>
        <v/>
      </c>
      <c r="K39" s="22"/>
      <c r="L39" s="21"/>
      <c r="M39" s="21"/>
      <c r="N39" s="21"/>
      <c r="O39" s="21"/>
      <c r="P39" s="21"/>
      <c r="Q39" s="21"/>
      <c r="R39" s="21"/>
      <c r="S39" s="21"/>
      <c r="T39" s="21"/>
      <c r="U39" s="25">
        <v>0</v>
      </c>
      <c r="V39" s="25">
        <f>H39*U39*I39/15</f>
        <v>0</v>
      </c>
      <c r="W39" s="25">
        <v>0</v>
      </c>
      <c r="X39" s="25" t="str">
        <f>IFERROR(IFERROR((H39*W39*J39/15),""),"")</f>
        <v/>
      </c>
      <c r="Y39" s="25">
        <f>IF(B39="FRANCISCO CAMACHO",((F39*42)+(G39*42)),IF(B39="DANILO VIANA",((F39*60)+(G39*60)),IF(B39="ANTONIO MARCUS ALBINO",((F39*60)+(G39*60)),0)))</f>
        <v>0</v>
      </c>
      <c r="Z39" s="25">
        <v>0</v>
      </c>
      <c r="AA39" s="25">
        <v>0</v>
      </c>
      <c r="AB39" s="25">
        <v>0</v>
      </c>
      <c r="AC39" s="25">
        <v>0</v>
      </c>
      <c r="AD39" s="25">
        <f>IF(F39="",G39*4.24,F39*4.24)</f>
        <v>0</v>
      </c>
      <c r="AE39" s="25" t="str">
        <f>IFERROR(IFERROR((X39*0.2%),""),"")</f>
        <v/>
      </c>
      <c r="AF39" s="25">
        <f>V39+Y39+Z39+AA39+AB39+AC39+AD39</f>
        <v>0</v>
      </c>
      <c r="AG39" s="25" t="str">
        <f>IFERROR(IFERROR((H39*W39*J39/15)-AE39,""),"")</f>
        <v/>
      </c>
      <c r="AH39" s="26">
        <f>IFERROR(AG39-AF39,0)</f>
        <v>0</v>
      </c>
      <c r="AI39" s="25">
        <f>(F39+G39)/$AL$7*$AL$29</f>
        <v>0</v>
      </c>
      <c r="AJ39" s="25">
        <f>(AH39-AI39)*70%</f>
        <v>0</v>
      </c>
    </row>
    <row r="40" spans="1:40" x14ac:dyDescent="0.35">
      <c r="A40" s="21"/>
      <c r="B40" s="21"/>
      <c r="C40" s="21"/>
      <c r="D40" s="21"/>
      <c r="E40" s="21"/>
      <c r="F40" s="21"/>
      <c r="G40" s="21"/>
      <c r="H40" s="26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0</v>
      </c>
      <c r="AI40" s="21"/>
      <c r="AJ40" s="21"/>
    </row>
    <row r="41" spans="1:40" x14ac:dyDescent="0.35">
      <c r="A41" s="21"/>
      <c r="B41" s="21"/>
      <c r="C41" s="21"/>
      <c r="D41" s="21"/>
      <c r="E41" s="21"/>
      <c r="F41" s="21"/>
      <c r="G41" s="21"/>
      <c r="H41" s="26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 t="str">
        <f>IFERROR(AH39/AG39,"")</f>
        <v/>
      </c>
      <c r="AI41" s="21"/>
      <c r="AJ41" s="21"/>
    </row>
    <row r="42" spans="1:40" x14ac:dyDescent="0.35">
      <c r="A42" s="21"/>
      <c r="B42" s="21"/>
      <c r="C42" s="21"/>
      <c r="D42" s="21"/>
      <c r="E42" s="21"/>
      <c r="F42" s="21"/>
      <c r="G42" s="21"/>
      <c r="H42" s="26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21"/>
      <c r="AJ42" s="21"/>
    </row>
    <row r="43" spans="1:40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308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0" x14ac:dyDescent="0.35">
      <c r="A44" s="20"/>
      <c r="B44" s="21"/>
      <c r="C44" s="21"/>
      <c r="D44" s="44"/>
      <c r="E44" s="44"/>
      <c r="F44" s="21"/>
      <c r="G44" s="21"/>
      <c r="H44" s="328"/>
      <c r="I44" s="33">
        <v>0</v>
      </c>
      <c r="J44" s="24" t="str">
        <f>IFERROR(K44/H44,"")</f>
        <v/>
      </c>
      <c r="K44" s="22"/>
      <c r="L44" s="21"/>
      <c r="M44" s="21"/>
      <c r="N44" s="21"/>
      <c r="O44" s="21"/>
      <c r="P44" s="21"/>
      <c r="Q44" s="21"/>
      <c r="R44" s="21"/>
      <c r="S44" s="21"/>
      <c r="T44" s="21"/>
      <c r="U44" s="25">
        <v>0</v>
      </c>
      <c r="V44" s="25">
        <f>H44*U44*I44/15</f>
        <v>0</v>
      </c>
      <c r="W44" s="25">
        <v>0</v>
      </c>
      <c r="X44" s="25" t="str">
        <f>IFERROR(IFERROR((H44*W44*J44/15),""),"")</f>
        <v/>
      </c>
      <c r="Y44" s="25">
        <f>IF(B44="FRANCISCO CAMACHO",((F44*42)+(G44*42)),IF(B44="DANILO VIANA",((F44*60)+(G44*60)),IF(B44="ANTONIO MARCUS ALBINO",((F44*60)+(G44*60)),0)))</f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f>IF(F44="",G44*4.24,F44*4.24)</f>
        <v>0</v>
      </c>
      <c r="AE44" s="25" t="str">
        <f>IFERROR(IFERROR((X44*0.2%),""),"")</f>
        <v/>
      </c>
      <c r="AF44" s="25">
        <f>V44+Y44+Z44+AA44+AB44+AC44+AD44</f>
        <v>0</v>
      </c>
      <c r="AG44" s="25" t="str">
        <f>IFERROR(IFERROR((H44*W44*J44/15)-AE44,""),"")</f>
        <v/>
      </c>
      <c r="AH44" s="26">
        <f>IFERROR(AG44-AF44,0)</f>
        <v>0</v>
      </c>
      <c r="AI44" s="25">
        <f>(F44+G44)/$AL$7*$AL$29</f>
        <v>0</v>
      </c>
      <c r="AJ44" s="25">
        <f>(AH44-AI44)*70%</f>
        <v>0</v>
      </c>
    </row>
    <row r="45" spans="1:40" x14ac:dyDescent="0.35">
      <c r="A45" s="21"/>
      <c r="B45" s="21"/>
      <c r="C45" s="21"/>
      <c r="D45" s="21"/>
      <c r="E45" s="21"/>
      <c r="F45" s="21"/>
      <c r="G45" s="21"/>
      <c r="H45" s="26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IFERROR(AH44/#REF!,0)+IFERROR(AH44/#REF!,0)</f>
        <v>0</v>
      </c>
      <c r="AI45" s="21"/>
      <c r="AJ45" s="21"/>
    </row>
    <row r="46" spans="1:40" x14ac:dyDescent="0.35">
      <c r="A46" s="21"/>
      <c r="B46" s="21"/>
      <c r="C46" s="21"/>
      <c r="D46" s="21"/>
      <c r="E46" s="21"/>
      <c r="F46" s="21"/>
      <c r="G46" s="21"/>
      <c r="H46" s="26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 t="str">
        <f>IFERROR(AH44/AG44,"")</f>
        <v/>
      </c>
      <c r="AI46" s="21"/>
      <c r="AJ46" s="21"/>
    </row>
    <row r="47" spans="1:40" x14ac:dyDescent="0.35">
      <c r="A47" s="21"/>
      <c r="B47" s="21"/>
      <c r="C47" s="21"/>
      <c r="D47" s="21"/>
      <c r="E47" s="21"/>
      <c r="F47" s="21"/>
      <c r="G47" s="21"/>
      <c r="H47" s="26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  <c r="AI47" s="21"/>
      <c r="AJ47" s="21"/>
    </row>
    <row r="48" spans="1:40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308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36" x14ac:dyDescent="0.35">
      <c r="A49" s="20"/>
      <c r="B49" s="21"/>
      <c r="C49" s="21"/>
      <c r="D49" s="44"/>
      <c r="E49" s="44"/>
      <c r="F49" s="21"/>
      <c r="G49" s="21"/>
      <c r="H49" s="328"/>
      <c r="I49" s="33">
        <v>0</v>
      </c>
      <c r="J49" s="24" t="str">
        <f>IFERROR(K49/H49,"")</f>
        <v/>
      </c>
      <c r="K49" s="22"/>
      <c r="L49" s="21"/>
      <c r="M49" s="21"/>
      <c r="N49" s="21"/>
      <c r="O49" s="21"/>
      <c r="P49" s="21"/>
      <c r="Q49" s="21"/>
      <c r="R49" s="21"/>
      <c r="S49" s="21"/>
      <c r="T49" s="21"/>
      <c r="U49" s="25">
        <v>0</v>
      </c>
      <c r="V49" s="25">
        <f>H49*U49*I49/15</f>
        <v>0</v>
      </c>
      <c r="W49" s="25">
        <v>0</v>
      </c>
      <c r="X49" s="25" t="str">
        <f>IFERROR(IFERROR((H49*W49*J49/15),""),"")</f>
        <v/>
      </c>
      <c r="Y49" s="25">
        <f>IF(B49="FRANCISCO CAMACHO",((F49*42)+(G49*42)),IF(B49="DANILO VIANA",((F49*60)+(G49*60)),IF(B49="ANTONIO MARCUS ALBINO",((F49*60)+(G49*60)),0)))</f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f>IF(F49="",G49*4.24,F49*4.24)</f>
        <v>0</v>
      </c>
      <c r="AE49" s="25" t="str">
        <f>IFERROR(IFERROR((X49*0.2%),""),"")</f>
        <v/>
      </c>
      <c r="AF49" s="25">
        <f>V49+Y49+Z49+AA49+AB49+AC49+AD49</f>
        <v>0</v>
      </c>
      <c r="AG49" s="25" t="str">
        <f>IFERROR(IFERROR((H49*W49*J49/15)-AE49,""),"")</f>
        <v/>
      </c>
      <c r="AH49" s="26">
        <f>IFERROR(AG49-AF49,0)</f>
        <v>0</v>
      </c>
      <c r="AI49" s="25">
        <f>(F49+G49)/$AL$7*$AL$29</f>
        <v>0</v>
      </c>
      <c r="AJ49" s="25">
        <f>(AH49-AI49)*70%</f>
        <v>0</v>
      </c>
    </row>
    <row r="50" spans="1:36" x14ac:dyDescent="0.35">
      <c r="A50" s="21"/>
      <c r="B50" s="21"/>
      <c r="C50" s="21"/>
      <c r="D50" s="21"/>
      <c r="E50" s="21"/>
      <c r="F50" s="21"/>
      <c r="G50" s="21"/>
      <c r="H50" s="26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IFERROR(AH49/F49,0)+IFERROR(AH49/G49,0)</f>
        <v>0</v>
      </c>
      <c r="AI50" s="21"/>
      <c r="AJ50" s="21"/>
    </row>
    <row r="51" spans="1:36" x14ac:dyDescent="0.35">
      <c r="A51" s="21"/>
      <c r="B51" s="21"/>
      <c r="C51" s="21"/>
      <c r="D51" s="21"/>
      <c r="E51" s="21"/>
      <c r="F51" s="21"/>
      <c r="G51" s="21"/>
      <c r="H51" s="26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 t="str">
        <f>IFERROR(AH49/AG49,"")</f>
        <v/>
      </c>
      <c r="AI51" s="21"/>
      <c r="AJ51" s="21"/>
    </row>
    <row r="52" spans="1:36" x14ac:dyDescent="0.35">
      <c r="A52" s="21"/>
      <c r="B52" s="21"/>
      <c r="C52" s="21"/>
      <c r="D52" s="21"/>
      <c r="E52" s="21"/>
      <c r="F52" s="21"/>
      <c r="G52" s="21"/>
      <c r="H52" s="26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21"/>
      <c r="AJ52" s="21"/>
    </row>
    <row r="53" spans="1:36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308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36" x14ac:dyDescent="0.35">
      <c r="A54" s="20"/>
      <c r="B54" s="21"/>
      <c r="C54" s="21"/>
      <c r="D54" s="44"/>
      <c r="E54" s="44"/>
      <c r="F54" s="21"/>
      <c r="G54" s="21"/>
      <c r="H54" s="328"/>
      <c r="I54" s="33">
        <v>0</v>
      </c>
      <c r="J54" s="24" t="str">
        <f>IFERROR(K54/H54,"")</f>
        <v/>
      </c>
      <c r="K54" s="22"/>
      <c r="L54" s="21"/>
      <c r="M54" s="21"/>
      <c r="N54" s="21"/>
      <c r="O54" s="21"/>
      <c r="P54" s="21"/>
      <c r="Q54" s="21"/>
      <c r="R54" s="21"/>
      <c r="S54" s="21"/>
      <c r="T54" s="21"/>
      <c r="U54" s="25">
        <v>0</v>
      </c>
      <c r="V54" s="25">
        <f>H54*U54*I54/15</f>
        <v>0</v>
      </c>
      <c r="W54" s="25">
        <v>0</v>
      </c>
      <c r="X54" s="25" t="str">
        <f>IFERROR(IFERROR((H54*W54*J54/15),""),"")</f>
        <v/>
      </c>
      <c r="Y54" s="25">
        <f>IF(B54="FRANCISCO CAMACHO",((F54*42)+(G54*42)),IF(B54="DANILO VIANA",((F54*60)+(G54*60)),IF(B54="ANTONIO MARCUS ALBINO",((F54*60)+(G54*60)),0)))</f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f>IF(F54="",G54*4.24,F54*4.24)</f>
        <v>0</v>
      </c>
      <c r="AE54" s="25" t="str">
        <f>IFERROR(IFERROR((X54*0.2%),""),"")</f>
        <v/>
      </c>
      <c r="AF54" s="25">
        <f>V54+Y54+Z54+AA54+AB54+AC54+AD54</f>
        <v>0</v>
      </c>
      <c r="AG54" s="25" t="str">
        <f>IFERROR(IFERROR((H54*W54*J54/15)-AE54,""),"")</f>
        <v/>
      </c>
      <c r="AH54" s="48">
        <f>IFERROR(AG54-AF54,0)</f>
        <v>0</v>
      </c>
      <c r="AI54" s="25">
        <f>(F54+G54)/$AL$7*$AL$29</f>
        <v>0</v>
      </c>
      <c r="AJ54" s="25">
        <f>(AH54-AI54)*70%</f>
        <v>0</v>
      </c>
    </row>
    <row r="55" spans="1:36" x14ac:dyDescent="0.35">
      <c r="A55" s="21"/>
      <c r="B55" s="21"/>
      <c r="C55" s="21"/>
      <c r="D55" s="21"/>
      <c r="E55" s="21"/>
      <c r="F55" s="21"/>
      <c r="G55" s="21"/>
      <c r="H55" s="261"/>
      <c r="I55" s="21"/>
      <c r="J55" s="21"/>
      <c r="K55" s="22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0</v>
      </c>
      <c r="AI55" s="21"/>
      <c r="AJ55" s="21"/>
    </row>
    <row r="56" spans="1:36" x14ac:dyDescent="0.35">
      <c r="A56" s="21"/>
      <c r="B56" s="21"/>
      <c r="C56" s="21"/>
      <c r="D56" s="21"/>
      <c r="E56" s="21"/>
      <c r="F56" s="21"/>
      <c r="G56" s="21"/>
      <c r="H56" s="26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 t="str">
        <f>IFERROR(AH54/AG54,"")</f>
        <v/>
      </c>
      <c r="AI56" s="21"/>
      <c r="AJ56" s="21"/>
    </row>
    <row r="57" spans="1:36" x14ac:dyDescent="0.35">
      <c r="A57" s="21"/>
      <c r="B57" s="21"/>
      <c r="C57" s="21"/>
      <c r="D57" s="21"/>
      <c r="E57" s="21"/>
      <c r="F57" s="21"/>
      <c r="G57" s="21"/>
      <c r="H57" s="26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  <c r="AI57" s="21"/>
      <c r="AJ57" s="21"/>
    </row>
    <row r="58" spans="1:36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308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36" x14ac:dyDescent="0.35">
      <c r="A59" s="20"/>
      <c r="B59" s="21"/>
      <c r="C59" s="21"/>
      <c r="D59" s="44"/>
      <c r="E59" s="44"/>
      <c r="F59" s="21"/>
      <c r="G59" s="21"/>
      <c r="H59" s="328"/>
      <c r="I59" s="33">
        <v>0</v>
      </c>
      <c r="J59" s="24" t="str">
        <f>IFERROR(K59/H59,"")</f>
        <v/>
      </c>
      <c r="K59" s="22"/>
      <c r="L59" s="21"/>
      <c r="M59" s="21"/>
      <c r="N59" s="21"/>
      <c r="O59" s="21"/>
      <c r="P59" s="21"/>
      <c r="Q59" s="21"/>
      <c r="R59" s="21"/>
      <c r="S59" s="21"/>
      <c r="T59" s="21"/>
      <c r="U59" s="25">
        <v>0</v>
      </c>
      <c r="V59" s="25">
        <f>H59*U59*I59/15</f>
        <v>0</v>
      </c>
      <c r="W59" s="25">
        <v>0</v>
      </c>
      <c r="X59" s="25" t="str">
        <f>IFERROR(IFERROR((H59*W59*J59/15),""),"")</f>
        <v/>
      </c>
      <c r="Y59" s="25">
        <f>IF(B59="FRANCISCO CAMACHO",((F59*42)+(G59*42)),IF(B59="DANILO VIANA",((F59*60)+(G59*60)),IF(B59="ANTONIO MARCUS ALBINO",((F59*60)+(G59*60)),0)))</f>
        <v>0</v>
      </c>
      <c r="Z59" s="25">
        <v>0</v>
      </c>
      <c r="AA59" s="25">
        <v>0</v>
      </c>
      <c r="AB59" s="25">
        <v>0</v>
      </c>
      <c r="AC59" s="25">
        <v>0</v>
      </c>
      <c r="AD59" s="25">
        <f>IF(F59="",G59*4.24,F59*4.24)</f>
        <v>0</v>
      </c>
      <c r="AE59" s="25" t="str">
        <f>IFERROR(IFERROR((X59*0.2%),""),"")</f>
        <v/>
      </c>
      <c r="AF59" s="25">
        <f>V59+Y59+Z59+AA59+AB59+AC59+AD59</f>
        <v>0</v>
      </c>
      <c r="AG59" s="25" t="str">
        <f>IFERROR(IFERROR((H59*W59*J59/15)-AE59,""),"")</f>
        <v/>
      </c>
      <c r="AH59" s="26">
        <f>IFERROR(AG59-AF59,0)</f>
        <v>0</v>
      </c>
      <c r="AI59" s="25">
        <f>(F59+G59)/$AL$7*$AL$29</f>
        <v>0</v>
      </c>
      <c r="AJ59" s="25">
        <f>(AH59-AI59)*70%</f>
        <v>0</v>
      </c>
    </row>
    <row r="60" spans="1:36" x14ac:dyDescent="0.35">
      <c r="A60" s="21"/>
      <c r="B60" s="21"/>
      <c r="C60" s="21"/>
      <c r="D60" s="21"/>
      <c r="E60" s="21"/>
      <c r="F60" s="21"/>
      <c r="G60" s="21"/>
      <c r="H60" s="26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0</v>
      </c>
      <c r="AI60" s="21"/>
      <c r="AJ60" s="21"/>
    </row>
    <row r="61" spans="1:36" x14ac:dyDescent="0.35">
      <c r="A61" s="21"/>
      <c r="B61" s="21"/>
      <c r="C61" s="21"/>
      <c r="D61" s="21"/>
      <c r="E61" s="21"/>
      <c r="F61" s="21"/>
      <c r="G61" s="21"/>
      <c r="H61" s="26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 t="str">
        <f>IFERROR(AH59/AG59,"")</f>
        <v/>
      </c>
      <c r="AI61" s="21"/>
      <c r="AJ61" s="21"/>
    </row>
    <row r="62" spans="1:36" x14ac:dyDescent="0.35">
      <c r="A62" s="21"/>
      <c r="B62" s="21"/>
      <c r="C62" s="21"/>
      <c r="D62" s="21"/>
      <c r="E62" s="21"/>
      <c r="F62" s="21"/>
      <c r="G62" s="21"/>
      <c r="H62" s="26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21"/>
      <c r="AJ62" s="21"/>
    </row>
    <row r="63" spans="1:36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308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36" x14ac:dyDescent="0.35">
      <c r="A64" s="20"/>
      <c r="B64" s="21"/>
      <c r="C64" s="21"/>
      <c r="D64" s="44"/>
      <c r="E64" s="44"/>
      <c r="F64" s="21"/>
      <c r="G64" s="21"/>
      <c r="H64" s="328"/>
      <c r="I64" s="33">
        <v>0</v>
      </c>
      <c r="J64" s="24" t="str">
        <f>IFERROR(K64/H64,"")</f>
        <v/>
      </c>
      <c r="K64" s="22"/>
      <c r="L64" s="21"/>
      <c r="M64" s="21"/>
      <c r="N64" s="21"/>
      <c r="O64" s="21"/>
      <c r="P64" s="21"/>
      <c r="Q64" s="21"/>
      <c r="R64" s="21"/>
      <c r="S64" s="21"/>
      <c r="T64" s="21"/>
      <c r="U64" s="25">
        <v>0</v>
      </c>
      <c r="V64" s="25">
        <f>H64*U64*I64/15</f>
        <v>0</v>
      </c>
      <c r="W64" s="25">
        <v>0</v>
      </c>
      <c r="X64" s="25" t="str">
        <f>IFERROR(IFERROR((H64*W64*J64/15),""),"")</f>
        <v/>
      </c>
      <c r="Y64" s="25">
        <f>IF(B64="FRANCISCO CAMACHO",((F64*42)+(G64*42)),IF(B64="DANILO VIANA",((F64*60)+(G64*60)),IF(B64="ANTONIO MARCUS ALBINO",((F64*60)+(G64*60)),0)))</f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f>IF(F64="",G64*4.24,F64*4.24)</f>
        <v>0</v>
      </c>
      <c r="AE64" s="25" t="str">
        <f>IFERROR(IFERROR((X64*0.2%),""),"")</f>
        <v/>
      </c>
      <c r="AF64" s="25">
        <f>V64+Y64+Z64+AA64+AB64+AC64+AD64</f>
        <v>0</v>
      </c>
      <c r="AG64" s="25" t="str">
        <f>IFERROR(IFERROR((H64*W64*J64/15)-AE64,""),"")</f>
        <v/>
      </c>
      <c r="AH64" s="26">
        <f>IFERROR(AG64-AF64,0)</f>
        <v>0</v>
      </c>
      <c r="AI64" s="25">
        <f>(F64+G64)/$AL$7*$AL$29</f>
        <v>0</v>
      </c>
      <c r="AJ64" s="25">
        <f>(AH64-AI64)*70%</f>
        <v>0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6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0</v>
      </c>
      <c r="AI65" s="21"/>
      <c r="AJ65" s="21"/>
    </row>
    <row r="66" spans="1:36" x14ac:dyDescent="0.35">
      <c r="A66" s="21"/>
      <c r="B66" s="21"/>
      <c r="C66" s="21"/>
      <c r="D66" s="21"/>
      <c r="E66" s="21"/>
      <c r="F66" s="21"/>
      <c r="G66" s="21"/>
      <c r="H66" s="26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 t="str">
        <f>IFERROR(AH64/AG64,"")</f>
        <v/>
      </c>
      <c r="AI66" s="21"/>
      <c r="AJ66" s="21"/>
    </row>
    <row r="67" spans="1:36" x14ac:dyDescent="0.35">
      <c r="A67" s="21"/>
      <c r="B67" s="21"/>
      <c r="C67" s="21"/>
      <c r="D67" s="21"/>
      <c r="E67" s="21"/>
      <c r="F67" s="21"/>
      <c r="G67" s="21"/>
      <c r="H67" s="26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47"/>
      <c r="AJ67" s="47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308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/>
      <c r="B69" s="21"/>
      <c r="C69" s="21"/>
      <c r="D69" s="44"/>
      <c r="E69" s="44"/>
      <c r="F69" s="21"/>
      <c r="G69" s="21"/>
      <c r="H69" s="328"/>
      <c r="I69" s="33">
        <v>0</v>
      </c>
      <c r="J69" s="24" t="str">
        <f>IFERROR(K69/H69,"")</f>
        <v/>
      </c>
      <c r="K69" s="22"/>
      <c r="L69" s="21"/>
      <c r="M69" s="21"/>
      <c r="N69" s="21"/>
      <c r="O69" s="21"/>
      <c r="P69" s="21"/>
      <c r="Q69" s="21"/>
      <c r="R69" s="21"/>
      <c r="S69" s="21"/>
      <c r="T69" s="21"/>
      <c r="U69" s="25">
        <v>0</v>
      </c>
      <c r="V69" s="25">
        <f>H69*U69*I69/15</f>
        <v>0</v>
      </c>
      <c r="W69" s="25">
        <v>0</v>
      </c>
      <c r="X69" s="25" t="str">
        <f>IFERROR(IFERROR((H69*W69*J69/15),""),"")</f>
        <v/>
      </c>
      <c r="Y69" s="25">
        <f>IF(B69="FRANCISCO CAMACHO",((F69*42)+(G69*42)),IF(B69="DANILO VIANA",((F69*60)+(G69*60)),IF(B69="ANTONIO MARCUS ALBINO",((F69*60)+(G69*60)),0)))</f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f>IF(F69="",G69*4.24,F69*4.24)</f>
        <v>0</v>
      </c>
      <c r="AE69" s="25" t="str">
        <f>IFERROR(IFERROR((X69*0.2%),""),"")</f>
        <v/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25">
        <f>(F69+G69)/$AL$7*$AL$29</f>
        <v>0</v>
      </c>
      <c r="AJ69" s="25">
        <f>(AH69-AI69)*70%</f>
        <v>0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6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  <c r="AI70" s="21"/>
      <c r="AJ70" s="21"/>
    </row>
    <row r="71" spans="1:36" x14ac:dyDescent="0.35">
      <c r="A71" s="21"/>
      <c r="B71" s="21"/>
      <c r="C71" s="21"/>
      <c r="D71" s="21"/>
      <c r="E71" s="21"/>
      <c r="F71" s="21"/>
      <c r="G71" s="21"/>
      <c r="H71" s="26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  <c r="AI71" s="21"/>
      <c r="AJ71" s="21"/>
    </row>
    <row r="72" spans="1:36" x14ac:dyDescent="0.35">
      <c r="A72" s="21"/>
      <c r="B72" s="21"/>
      <c r="C72" s="21"/>
      <c r="D72" s="21"/>
      <c r="E72" s="21"/>
      <c r="F72" s="21"/>
      <c r="G72" s="21"/>
      <c r="H72" s="26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  <c r="AI72" s="21"/>
      <c r="AJ72" s="21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308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/>
      <c r="B74" s="21"/>
      <c r="C74" s="21"/>
      <c r="D74" s="44"/>
      <c r="E74" s="44"/>
      <c r="F74" s="21"/>
      <c r="G74" s="21"/>
      <c r="H74" s="328"/>
      <c r="I74" s="33">
        <v>0</v>
      </c>
      <c r="J74" s="24" t="str">
        <f>IFERROR(K74/H74,"")</f>
        <v/>
      </c>
      <c r="K74" s="22"/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 t="str">
        <f>IFERROR(IFERROR((H74*W74*J74/15),""),"")</f>
        <v/>
      </c>
      <c r="Y74" s="25">
        <f>IF(B74="FRANCISCO CAMACHO",((F74*42)+(G74*42)),IF(B74="DANILO VIANA",((F74*60)+(G74*60)),IF(B74="ANTONIO MARCUS ALBINO",((F74*60)+(G74*60)),0)))</f>
        <v>0</v>
      </c>
      <c r="Z74" s="25">
        <v>0</v>
      </c>
      <c r="AA74" s="25">
        <v>0</v>
      </c>
      <c r="AB74" s="25">
        <v>0</v>
      </c>
      <c r="AC74" s="25">
        <v>0</v>
      </c>
      <c r="AD74" s="25">
        <f>IF(F74="",G74*4.24,F74*4.24)</f>
        <v>0</v>
      </c>
      <c r="AE74" s="25" t="str">
        <f>IFERROR(IFERROR((X74*0.2%),""),"")</f>
        <v/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25">
        <f>(F74+G74)/$AL$7*$AL$29</f>
        <v>0</v>
      </c>
      <c r="AJ74" s="25">
        <f>(AH74-AI74)*70%</f>
        <v>0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6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  <c r="AI75" s="21"/>
      <c r="AJ75" s="21"/>
    </row>
    <row r="76" spans="1:36" x14ac:dyDescent="0.35">
      <c r="A76" s="21"/>
      <c r="B76" s="21"/>
      <c r="C76" s="21"/>
      <c r="D76" s="21"/>
      <c r="E76" s="21"/>
      <c r="F76" s="21"/>
      <c r="G76" s="21"/>
      <c r="H76" s="26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  <c r="AI76" s="21"/>
      <c r="AJ76" s="21"/>
    </row>
    <row r="77" spans="1:36" x14ac:dyDescent="0.35">
      <c r="A77" s="21"/>
      <c r="B77" s="21"/>
      <c r="C77" s="21"/>
      <c r="D77" s="21"/>
      <c r="E77" s="21"/>
      <c r="F77" s="21"/>
      <c r="G77" s="21"/>
      <c r="H77" s="26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21"/>
      <c r="AJ77" s="21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308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/>
      <c r="F79" s="21"/>
      <c r="G79" s="21"/>
      <c r="H79" s="328"/>
      <c r="I79" s="33">
        <v>0</v>
      </c>
      <c r="J79" s="24" t="str">
        <f>IFERROR(K79/H79,"")</f>
        <v/>
      </c>
      <c r="K79" s="22"/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 t="str">
        <f>IFERROR(IFERROR((H79*W79*J79/15),""),"")</f>
        <v/>
      </c>
      <c r="Y79" s="25">
        <f>IF(B79="FRANCISCO CAMACHO",((F79*42)+(G79*42)),IF(B79="DANILO VIANA",((F79*60)+(G79*60)),IF(B79="ANTONIO MARCUS ALBINO",((F79*60)+(G79*60)),0)))</f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f>IF(F79="",G79*4.24,F79*4.24)</f>
        <v>0</v>
      </c>
      <c r="AE79" s="25" t="str">
        <f>IFERROR(IFERROR((X79*0.2%),""),"")</f>
        <v/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25">
        <f>(F79+G79)/$AL$7*$AL$29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6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  <c r="AI80" s="21"/>
      <c r="AJ80" s="21"/>
    </row>
    <row r="81" spans="1:36" x14ac:dyDescent="0.35">
      <c r="A81" s="21"/>
      <c r="B81" s="21"/>
      <c r="C81" s="21"/>
      <c r="D81" s="21"/>
      <c r="E81" s="21"/>
      <c r="F81" s="21"/>
      <c r="G81" s="21"/>
      <c r="H81" s="26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  <c r="AI81" s="21"/>
      <c r="AJ81" s="21"/>
    </row>
    <row r="82" spans="1:36" x14ac:dyDescent="0.35">
      <c r="A82" s="21"/>
      <c r="B82" s="21"/>
      <c r="C82" s="21"/>
      <c r="D82" s="21"/>
      <c r="E82" s="21"/>
      <c r="F82" s="21"/>
      <c r="G82" s="21"/>
      <c r="H82" s="26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  <c r="AI82" s="47"/>
      <c r="AJ82" s="47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308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/>
      <c r="F84" s="21"/>
      <c r="G84" s="21"/>
      <c r="H84" s="328"/>
      <c r="I84" s="33">
        <v>0</v>
      </c>
      <c r="J84" s="24" t="str">
        <f>IFERROR(K84/H84,"")</f>
        <v/>
      </c>
      <c r="K84" s="22"/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 t="str">
        <f>IFERROR(IFERROR((H84*W84*J84/15),""),"")</f>
        <v/>
      </c>
      <c r="Y84" s="25">
        <f>IF(B84="FRANCISCO CAMACHO",((F84*42)+(G84*42)),IF(B84="DANILO VIANA",((F84*60)+(G84*60)),IF(B84="ANTONIO MARCUS ALBINO",((F84*60)+(G84*60)),0)))</f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f>IF(F84="",G84*4.24,F84*4.24)</f>
        <v>0</v>
      </c>
      <c r="AE84" s="25" t="str">
        <f>IFERROR(IFERROR((X84*0.2%),""),"")</f>
        <v/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25">
        <f>(F84+G84)/$AL$7*$AL$29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6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  <c r="AI85" s="21"/>
      <c r="AJ85" s="21"/>
    </row>
    <row r="86" spans="1:36" x14ac:dyDescent="0.35">
      <c r="A86" s="21"/>
      <c r="B86" s="21"/>
      <c r="C86" s="21"/>
      <c r="D86" s="21"/>
      <c r="E86" s="21"/>
      <c r="F86" s="21"/>
      <c r="G86" s="21"/>
      <c r="H86" s="26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  <c r="AI86" s="21"/>
      <c r="AJ86" s="21"/>
    </row>
    <row r="87" spans="1:36" x14ac:dyDescent="0.35">
      <c r="A87" s="21"/>
      <c r="B87" s="21"/>
      <c r="C87" s="21"/>
      <c r="D87" s="21"/>
      <c r="E87" s="21"/>
      <c r="F87" s="21"/>
      <c r="G87" s="21"/>
      <c r="H87" s="26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  <c r="AI87" s="47"/>
      <c r="AJ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308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/>
      <c r="F89" s="21"/>
      <c r="G89" s="21"/>
      <c r="H89" s="328"/>
      <c r="I89" s="33">
        <v>0</v>
      </c>
      <c r="J89" s="24" t="str">
        <f>IFERROR(K89/H89,"")</f>
        <v/>
      </c>
      <c r="K89" s="22"/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 t="str">
        <f>IFERROR(IFERROR((H89*W89*J89/15),""),"")</f>
        <v/>
      </c>
      <c r="Y89" s="25">
        <f>IF(B89="FRANCISCO CAMACHO",((F89*42)+(G89*42)),IF(B89="DANILO VIANA",((F89*60)+(G89*60)),IF(B89="ANTONIO MARCUS ALBINO",((F89*60)+(G89*60)),0)))</f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f>IF(F89="",G89*4.24,F89*4.24)</f>
        <v>0</v>
      </c>
      <c r="AE89" s="25" t="str">
        <f>IFERROR(IFERROR((X89*0.2%),""),"")</f>
        <v/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25">
        <f>(F89+G89)/$AL$7*$AL$29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6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  <c r="AI90" s="21"/>
      <c r="AJ90" s="21"/>
    </row>
    <row r="91" spans="1:36" x14ac:dyDescent="0.35">
      <c r="A91" s="21"/>
      <c r="B91" s="21"/>
      <c r="C91" s="21"/>
      <c r="D91" s="21"/>
      <c r="E91" s="21"/>
      <c r="F91" s="21"/>
      <c r="G91" s="21"/>
      <c r="H91" s="26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  <c r="AI91" s="21"/>
      <c r="AJ91" s="21"/>
    </row>
    <row r="92" spans="1:36" x14ac:dyDescent="0.35">
      <c r="A92" s="21"/>
      <c r="B92" s="21"/>
      <c r="C92" s="21"/>
      <c r="D92" s="21"/>
      <c r="E92" s="21"/>
      <c r="F92" s="21"/>
      <c r="G92" s="21"/>
      <c r="H92" s="26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21"/>
      <c r="AJ92" s="21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308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/>
      <c r="F94" s="21"/>
      <c r="G94" s="21"/>
      <c r="H94" s="328"/>
      <c r="I94" s="33">
        <v>0</v>
      </c>
      <c r="J94" s="24" t="str">
        <f>IFERROR(K94/H94,"")</f>
        <v/>
      </c>
      <c r="K94" s="22"/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 t="str">
        <f>IFERROR(IFERROR((H94*W94*J94/15),""),"")</f>
        <v/>
      </c>
      <c r="Y94" s="25">
        <f>IF(B94="FRANCISCO CAMACHO",((F94*42)+(G94*42)),IF(B94="DANILO VIANA",((F94*60)+(G94*60)),IF(B94="ANTONIO MARCUS ALBINO",((F94*60)+(G94*60)),0)))</f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f>IF(F94="",G94*4.24,F94*4.24)</f>
        <v>0</v>
      </c>
      <c r="AE94" s="25" t="str">
        <f>IFERROR(IFERROR((X94*0.2%),""),"")</f>
        <v/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25">
        <f>(F94+G94)/$AL$7*$AL$29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6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  <c r="AI95" s="21"/>
      <c r="AJ95" s="21"/>
    </row>
    <row r="96" spans="1:36" x14ac:dyDescent="0.35">
      <c r="A96" s="21"/>
      <c r="B96" s="21"/>
      <c r="C96" s="21"/>
      <c r="D96" s="21"/>
      <c r="E96" s="21"/>
      <c r="F96" s="21"/>
      <c r="G96" s="21"/>
      <c r="H96" s="26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  <c r="AI96" s="21"/>
      <c r="AJ96" s="21"/>
    </row>
    <row r="97" spans="1:36" x14ac:dyDescent="0.35">
      <c r="A97" s="21"/>
      <c r="B97" s="21"/>
      <c r="C97" s="21"/>
      <c r="D97" s="21"/>
      <c r="E97" s="21"/>
      <c r="F97" s="21"/>
      <c r="G97" s="21"/>
      <c r="H97" s="26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21"/>
      <c r="AJ97" s="21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308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/>
      <c r="F99" s="21"/>
      <c r="G99" s="21"/>
      <c r="H99" s="328"/>
      <c r="I99" s="33">
        <v>0</v>
      </c>
      <c r="J99" s="24" t="str">
        <f>IFERROR(K99/H99,"")</f>
        <v/>
      </c>
      <c r="K99" s="22"/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 t="str">
        <f>IFERROR(IFERROR((H99*W99*J99/15),""),"")</f>
        <v/>
      </c>
      <c r="Y99" s="25">
        <f>IF(B99="FRANCISCO CAMACHO",((F99*42)+(G99*42)),IF(B99="DANILO VIANA",((F99*60)+(G99*60)),IF(B99="ANTONIO MARCUS ALBINO",((F99*60)+(G99*60)),0)))</f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f>IF(F99="",G99*4.24,F99*4.24)</f>
        <v>0</v>
      </c>
      <c r="AE99" s="25" t="str">
        <f>IFERROR(IFERROR((X99*0.2%),""),"")</f>
        <v/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(F99+G99)/$AL$7*$AL$29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6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  <c r="AI100" s="21"/>
      <c r="AJ100" s="21"/>
    </row>
    <row r="101" spans="1:36" x14ac:dyDescent="0.35">
      <c r="A101" s="21"/>
      <c r="B101" s="21"/>
      <c r="C101" s="21"/>
      <c r="D101" s="21"/>
      <c r="E101" s="21"/>
      <c r="F101" s="21"/>
      <c r="G101" s="21"/>
      <c r="H101" s="26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  <c r="AI101" s="21"/>
      <c r="AJ101" s="21"/>
    </row>
    <row r="102" spans="1:36" x14ac:dyDescent="0.35">
      <c r="A102" s="21"/>
      <c r="B102" s="21"/>
      <c r="C102" s="21"/>
      <c r="D102" s="21"/>
      <c r="E102" s="21"/>
      <c r="F102" s="21"/>
      <c r="G102" s="21"/>
      <c r="H102" s="26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  <c r="AI102" s="47"/>
      <c r="AJ102" s="47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308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/>
      <c r="F104" s="21"/>
      <c r="G104" s="21"/>
      <c r="H104" s="328"/>
      <c r="I104" s="33">
        <v>0</v>
      </c>
      <c r="J104" s="24" t="str">
        <f>IFERROR(K104/H104,"")</f>
        <v/>
      </c>
      <c r="K104" s="22"/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 t="str">
        <f>IFERROR(IFERROR((H104*W104*J104/15),""),"")</f>
        <v/>
      </c>
      <c r="Y104" s="25">
        <f>IF(B104="FRANCISCO CAMACHO",((F104*42)+(G104*42)),IF(B104="DANILO VIANA",((F104*60)+(G104*60)),IF(B104="ANTONIO MARCUS ALBINO",((F104*60)+(G104*60)),0)))</f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f>IF(F104="",G104*4.24,F104*4.24)</f>
        <v>0</v>
      </c>
      <c r="AE104" s="25" t="str">
        <f>IFERROR(IFERROR((X104*0.2%),""),"")</f>
        <v/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(F104+G104)/$AL$7*$AL$29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6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  <c r="AI105" s="21"/>
      <c r="AJ105" s="21"/>
    </row>
    <row r="106" spans="1:36" x14ac:dyDescent="0.35">
      <c r="A106" s="21"/>
      <c r="B106" s="21"/>
      <c r="C106" s="21"/>
      <c r="D106" s="21"/>
      <c r="E106" s="21"/>
      <c r="F106" s="21"/>
      <c r="G106" s="21"/>
      <c r="H106" s="26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  <c r="AI106" s="21"/>
      <c r="AJ106" s="21"/>
    </row>
    <row r="107" spans="1:36" x14ac:dyDescent="0.35">
      <c r="A107" s="21"/>
      <c r="B107" s="21"/>
      <c r="C107" s="21"/>
      <c r="D107" s="21"/>
      <c r="E107" s="21"/>
      <c r="F107" s="21"/>
      <c r="G107" s="21"/>
      <c r="H107" s="26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  <c r="AI107" s="21"/>
      <c r="AJ107" s="21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308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/>
      <c r="F109" s="21"/>
      <c r="G109" s="21"/>
      <c r="H109" s="328"/>
      <c r="I109" s="33">
        <v>0</v>
      </c>
      <c r="J109" s="24" t="str">
        <f>IFERROR(K109/H109,"")</f>
        <v/>
      </c>
      <c r="K109" s="22"/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 t="str">
        <f>IFERROR(IFERROR((H109*W109*J109/15),""),"")</f>
        <v/>
      </c>
      <c r="Y109" s="25">
        <f>IF(B109="FRANCISCO CAMACHO",((F109*42)+(G109*42)),IF(B109="DANILO VIANA",((F109*60)+(G109*60)),IF(B109="ANTONIO MARCUS ALBINO",((F109*60)+(G109*60)),0)))</f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f>IF(F109="",G109*4.24,F109*4.24)</f>
        <v>0</v>
      </c>
      <c r="AE109" s="25" t="str">
        <f>IFERROR(IFERROR((X109*0.2%),""),"")</f>
        <v/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(F109+G109)/$AL$7*$AL$29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6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  <c r="AI110" s="21"/>
      <c r="AJ110" s="21"/>
    </row>
    <row r="111" spans="1:36" x14ac:dyDescent="0.35">
      <c r="A111" s="21"/>
      <c r="B111" s="21"/>
      <c r="C111" s="21"/>
      <c r="D111" s="21"/>
      <c r="E111" s="21"/>
      <c r="F111" s="21"/>
      <c r="G111" s="21"/>
      <c r="H111" s="26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  <c r="AI111" s="21"/>
      <c r="AJ111" s="21"/>
    </row>
    <row r="112" spans="1:36" x14ac:dyDescent="0.35">
      <c r="A112" s="21"/>
      <c r="B112" s="21"/>
      <c r="C112" s="21"/>
      <c r="D112" s="21"/>
      <c r="E112" s="21"/>
      <c r="F112" s="21"/>
      <c r="G112" s="21"/>
      <c r="H112" s="26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  <c r="AI112" s="21"/>
      <c r="AJ112" s="21"/>
    </row>
    <row r="113" spans="1:36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308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/>
      <c r="F114" s="21"/>
      <c r="G114" s="21"/>
      <c r="H114" s="328"/>
      <c r="I114" s="33">
        <v>0</v>
      </c>
      <c r="J114" s="24" t="str">
        <f>IFERROR(K114/H114,"")</f>
        <v/>
      </c>
      <c r="K114" s="22"/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>
        <v>0</v>
      </c>
      <c r="X114" s="25" t="str">
        <f>IFERROR(IFERROR((H114*W114*J114/15),""),"")</f>
        <v/>
      </c>
      <c r="Y114" s="25">
        <f>IF(B114="FRANCISCO CAMACHO",((F114*42)+(G114*42)),IF(B114="DANILO VIANA",((F114*60)+(G114*60)),IF(B114="ANTONIO MARCUS ALBINO",((F114*60)+(G114*60)),0)))</f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f>IF(F114="",G114*4.24,F114*4.24)</f>
        <v>0</v>
      </c>
      <c r="AE114" s="25" t="str">
        <f>IFERROR(IFERROR((X114*0.2%),""),"")</f>
        <v/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25">
        <f>(F114+G114)/$AL$7*$AL$29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6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  <c r="AI115" s="21"/>
      <c r="AJ115" s="21"/>
    </row>
    <row r="116" spans="1:36" x14ac:dyDescent="0.35">
      <c r="A116" s="21"/>
      <c r="B116" s="21"/>
      <c r="C116" s="21"/>
      <c r="D116" s="21"/>
      <c r="E116" s="21"/>
      <c r="F116" s="21"/>
      <c r="G116" s="21"/>
      <c r="H116" s="26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  <c r="AI116" s="21"/>
      <c r="AJ116" s="21"/>
    </row>
    <row r="117" spans="1:36" ht="15" thickBot="1" x14ac:dyDescent="0.4">
      <c r="A117" s="21"/>
      <c r="B117" s="21"/>
      <c r="C117" s="21"/>
      <c r="D117" s="21"/>
      <c r="E117" s="21"/>
      <c r="F117" s="21"/>
      <c r="G117" s="21"/>
      <c r="H117" s="26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47"/>
      <c r="AJ117" s="47"/>
    </row>
    <row r="118" spans="1:36" ht="16" thickBot="1" x14ac:dyDescent="0.4">
      <c r="A118" s="377" t="s">
        <v>1034</v>
      </c>
      <c r="B118" s="378"/>
      <c r="C118" s="378"/>
      <c r="D118" s="378"/>
      <c r="E118" s="378"/>
      <c r="F118" s="163">
        <f>SUM(F4:F114)</f>
        <v>349</v>
      </c>
      <c r="G118" s="163">
        <f>SUM(G4:G114)</f>
        <v>0</v>
      </c>
      <c r="H118" s="309">
        <f>SUM(H4:H114)</f>
        <v>190637</v>
      </c>
      <c r="I118" s="30"/>
      <c r="J118" s="30"/>
      <c r="K118" s="274">
        <f>SUM(K4:K114)</f>
        <v>100917.04574702181</v>
      </c>
      <c r="L118" s="46"/>
      <c r="M118" s="46"/>
      <c r="N118" s="46"/>
      <c r="O118" s="46"/>
      <c r="P118" s="46"/>
      <c r="Q118" s="46"/>
      <c r="R118" s="46"/>
      <c r="S118" s="46"/>
      <c r="T118" s="46"/>
      <c r="U118" s="30"/>
      <c r="V118" s="275">
        <f>SUM(V4:V114)</f>
        <v>1510987.0000000002</v>
      </c>
      <c r="W118" s="31"/>
      <c r="X118" s="275">
        <f t="shared" ref="X118:AG118" si="0">SUM(X4:X114)</f>
        <v>1602315.7273556327</v>
      </c>
      <c r="Y118" s="275">
        <f t="shared" si="0"/>
        <v>8400</v>
      </c>
      <c r="Z118" s="275">
        <f t="shared" si="0"/>
        <v>0</v>
      </c>
      <c r="AA118" s="275">
        <f t="shared" si="0"/>
        <v>0</v>
      </c>
      <c r="AB118" s="275">
        <f t="shared" si="0"/>
        <v>9481.25</v>
      </c>
      <c r="AC118" s="275">
        <f t="shared" si="0"/>
        <v>0</v>
      </c>
      <c r="AD118" s="275">
        <f t="shared" si="0"/>
        <v>1479.76</v>
      </c>
      <c r="AE118" s="275">
        <f t="shared" si="0"/>
        <v>3204.6314547112661</v>
      </c>
      <c r="AF118" s="275">
        <f t="shared" si="0"/>
        <v>1530348.0100000002</v>
      </c>
      <c r="AG118" s="275">
        <f t="shared" si="0"/>
        <v>1599111.0959009212</v>
      </c>
      <c r="AH118" s="276">
        <f>AH4+AH29+AH14+AH19+AH34+AH39+AH44+AH49+AH54+AH59+AH64+AH69+AH74+AH79+AH84+AH89+AH94+AH99+AH104+AH109+AH114</f>
        <v>80243.846466951276</v>
      </c>
      <c r="AI118" s="275">
        <f>SUM(AI4:AI114)</f>
        <v>4476.8999999999996</v>
      </c>
      <c r="AJ118" s="275">
        <f>SUM(AJ4:AJ114)</f>
        <v>45000.33013064487</v>
      </c>
    </row>
    <row r="130" spans="41:41" x14ac:dyDescent="0.35">
      <c r="AO130" s="21"/>
    </row>
  </sheetData>
  <mergeCells count="1">
    <mergeCell ref="A118:E118"/>
  </mergeCells>
  <pageMargins left="0.511811024" right="0.511811024" top="0.78740157499999996" bottom="0.78740157499999996" header="0.31496062000000002" footer="0.31496062000000002"/>
  <legacy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AO135"/>
  <sheetViews>
    <sheetView zoomScale="85" zoomScaleNormal="85" workbookViewId="0">
      <pane xSplit="7" topLeftCell="AL1" activePane="topRight" state="frozen"/>
      <selection pane="topRight" activeCell="G8" sqref="G8"/>
    </sheetView>
  </sheetViews>
  <sheetFormatPr defaultRowHeight="14.5" x14ac:dyDescent="0.35"/>
  <cols>
    <col min="1" max="1" width="13.26953125" customWidth="1"/>
    <col min="2" max="2" width="36.453125" bestFit="1" customWidth="1"/>
    <col min="3" max="3" width="33.26953125" bestFit="1" customWidth="1"/>
    <col min="4" max="4" width="15.1796875" customWidth="1"/>
    <col min="5" max="5" width="11.26953125" customWidth="1"/>
    <col min="6" max="6" width="13.453125" customWidth="1"/>
    <col min="8" max="8" width="11.54296875" style="310" bestFit="1" customWidth="1"/>
    <col min="10" max="10" width="10.26953125" bestFit="1" customWidth="1"/>
    <col min="11" max="11" width="12.453125" bestFit="1" customWidth="1"/>
    <col min="17" max="17" width="11.1796875" bestFit="1" customWidth="1"/>
    <col min="21" max="21" width="15" bestFit="1" customWidth="1"/>
    <col min="22" max="22" width="18.1796875" bestFit="1" customWidth="1"/>
    <col min="23" max="23" width="13.26953125" bestFit="1" customWidth="1"/>
    <col min="24" max="24" width="16.26953125" bestFit="1" customWidth="1"/>
    <col min="25" max="25" width="15" bestFit="1" customWidth="1"/>
    <col min="26" max="29" width="12.54296875" customWidth="1"/>
    <col min="30" max="30" width="13.81640625" bestFit="1" customWidth="1"/>
    <col min="31" max="31" width="11.81640625" bestFit="1" customWidth="1"/>
    <col min="32" max="34" width="18.1796875" bestFit="1" customWidth="1"/>
    <col min="35" max="35" width="19.7265625" customWidth="1"/>
    <col min="36" max="36" width="18.81640625" customWidth="1"/>
    <col min="38" max="38" width="19" customWidth="1"/>
    <col min="39" max="39" width="20.1796875" customWidth="1"/>
    <col min="40" max="40" width="41" customWidth="1"/>
    <col min="41" max="41" width="13.81640625" customWidth="1"/>
  </cols>
  <sheetData>
    <row r="3" spans="1:41" x14ac:dyDescent="0.35">
      <c r="A3" s="14" t="s">
        <v>1</v>
      </c>
      <c r="B3" s="14" t="s">
        <v>2</v>
      </c>
      <c r="C3" s="14" t="s">
        <v>110</v>
      </c>
      <c r="D3" s="14" t="s">
        <v>66</v>
      </c>
      <c r="E3" s="14" t="s">
        <v>638</v>
      </c>
      <c r="F3" s="14" t="s">
        <v>137</v>
      </c>
      <c r="G3" s="14" t="s">
        <v>138</v>
      </c>
      <c r="H3" s="308" t="s">
        <v>4</v>
      </c>
      <c r="I3" s="14" t="s">
        <v>5</v>
      </c>
      <c r="J3" s="14" t="s">
        <v>6</v>
      </c>
      <c r="K3" s="14" t="s">
        <v>7</v>
      </c>
      <c r="L3" s="14" t="s">
        <v>279</v>
      </c>
      <c r="M3" s="14" t="s">
        <v>280</v>
      </c>
      <c r="N3" s="14" t="s">
        <v>281</v>
      </c>
      <c r="O3" s="14" t="s">
        <v>282</v>
      </c>
      <c r="P3" s="14" t="s">
        <v>283</v>
      </c>
      <c r="Q3" s="14" t="s">
        <v>284</v>
      </c>
      <c r="R3" s="14" t="s">
        <v>904</v>
      </c>
      <c r="S3" s="14" t="s">
        <v>285</v>
      </c>
      <c r="T3" s="14" t="s">
        <v>289</v>
      </c>
      <c r="U3" s="14" t="s">
        <v>8</v>
      </c>
      <c r="V3" s="14" t="s">
        <v>9</v>
      </c>
      <c r="W3" s="14" t="s">
        <v>10</v>
      </c>
      <c r="X3" s="14" t="s">
        <v>100</v>
      </c>
      <c r="Y3" s="14" t="s">
        <v>106</v>
      </c>
      <c r="Z3" s="14" t="s">
        <v>12</v>
      </c>
      <c r="AA3" s="14" t="s">
        <v>258</v>
      </c>
      <c r="AB3" s="14" t="s">
        <v>13</v>
      </c>
      <c r="AC3" s="14" t="s">
        <v>74</v>
      </c>
      <c r="AD3" s="14" t="s">
        <v>21</v>
      </c>
      <c r="AE3" s="14" t="s">
        <v>14</v>
      </c>
      <c r="AF3" s="14" t="s">
        <v>15</v>
      </c>
      <c r="AG3" s="14" t="s">
        <v>16</v>
      </c>
      <c r="AH3" s="15" t="s">
        <v>17</v>
      </c>
      <c r="AI3" s="14" t="s">
        <v>679</v>
      </c>
      <c r="AJ3" s="14" t="s">
        <v>678</v>
      </c>
      <c r="AL3" s="277">
        <f>AF123</f>
        <v>3009193.69</v>
      </c>
      <c r="AM3" s="164">
        <f>AH123-AI123</f>
        <v>215485.06933999964</v>
      </c>
    </row>
    <row r="4" spans="1:41" x14ac:dyDescent="0.35">
      <c r="A4" s="20">
        <v>45374</v>
      </c>
      <c r="B4" s="21" t="s">
        <v>911</v>
      </c>
      <c r="C4" s="21" t="s">
        <v>906</v>
      </c>
      <c r="D4" s="44">
        <v>1926606</v>
      </c>
      <c r="E4" s="44" t="s">
        <v>652</v>
      </c>
      <c r="F4" s="21">
        <v>100</v>
      </c>
      <c r="G4" s="21"/>
      <c r="H4" s="353">
        <v>46380</v>
      </c>
      <c r="I4" s="33">
        <v>0.53</v>
      </c>
      <c r="J4" s="24">
        <f>IFERROR(K4/H4,"")</f>
        <v>0.53041181543768867</v>
      </c>
      <c r="K4" s="22">
        <v>24600.5</v>
      </c>
      <c r="L4" s="21">
        <v>25</v>
      </c>
      <c r="M4" s="21">
        <v>57</v>
      </c>
      <c r="N4" s="21">
        <v>13</v>
      </c>
      <c r="O4" s="21">
        <v>5</v>
      </c>
      <c r="P4" s="21"/>
      <c r="Q4" s="21"/>
      <c r="R4" s="21"/>
      <c r="S4" s="21"/>
      <c r="T4" s="21"/>
      <c r="U4" s="25">
        <v>220</v>
      </c>
      <c r="V4" s="25">
        <f>H4*U4*I4/15</f>
        <v>360527.2</v>
      </c>
      <c r="W4" s="25">
        <f>(1398647.78/88884.5)*15</f>
        <v>236.03346702743448</v>
      </c>
      <c r="X4" s="25">
        <f>IFERROR(IFERROR((H4*W4*J4/15),""),"")</f>
        <v>387102.75370722677</v>
      </c>
      <c r="Y4" s="25">
        <f>IF(B4="FRANCISCO CAMACHO",((F4*42)+(G4*42)),IF(B4="DANILO VIANA",((F4*60)+(G4*60)),IF(B4="ANTONIO MARCUS ALBINO",((F4*60)+(G4*60)),0)))</f>
        <v>6000</v>
      </c>
      <c r="Z4" s="25">
        <v>0</v>
      </c>
      <c r="AA4" s="25">
        <v>0</v>
      </c>
      <c r="AB4" s="307">
        <v>2750</v>
      </c>
      <c r="AC4" s="25">
        <f>38*F4</f>
        <v>3800</v>
      </c>
      <c r="AD4" s="25">
        <f>IF(F4="",G4*4.24,F4*4.24)</f>
        <v>424</v>
      </c>
      <c r="AE4" s="25">
        <f>IFERROR(IFERROR((X4*0.2%),""),"")</f>
        <v>774.20550741445356</v>
      </c>
      <c r="AF4" s="25">
        <f>V4+Y4+Z4+AA4+AB4+AC4+AD4</f>
        <v>373501.2</v>
      </c>
      <c r="AG4" s="25">
        <f>IFERROR(IFERROR((H4*W4*J4/15)-AE4,""),"")</f>
        <v>386328.5481998123</v>
      </c>
      <c r="AH4" s="26">
        <f>IFERROR(AG4-AF4,0)</f>
        <v>12827.348199812288</v>
      </c>
      <c r="AI4" s="25">
        <f>(F4+G4)/$AL$7*$AL$29</f>
        <v>0</v>
      </c>
      <c r="AJ4" s="25">
        <f>(AH4-AI4)*70%</f>
        <v>8979.1437398686012</v>
      </c>
      <c r="AL4" s="166" t="s">
        <v>749</v>
      </c>
      <c r="AM4" s="167">
        <f>AM3/AL3</f>
        <v>7.1608906417718707E-2</v>
      </c>
    </row>
    <row r="5" spans="1:41" x14ac:dyDescent="0.35">
      <c r="A5" s="21"/>
      <c r="B5" s="21"/>
      <c r="C5" s="21"/>
      <c r="D5" s="21"/>
      <c r="E5" s="21"/>
      <c r="F5" s="21"/>
      <c r="G5" s="21"/>
      <c r="H5" s="26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3"/>
      <c r="AA5" s="21"/>
      <c r="AB5" s="21"/>
      <c r="AC5" s="21"/>
      <c r="AD5" s="21"/>
      <c r="AE5" s="25"/>
      <c r="AF5" s="21"/>
      <c r="AG5" s="21"/>
      <c r="AH5" s="26">
        <f>IFERROR(AH4/F4,0)+IFERROR(AH4/G4,0)</f>
        <v>128.27348199812289</v>
      </c>
      <c r="AI5" s="21"/>
      <c r="AJ5" s="21"/>
      <c r="AM5" s="63"/>
    </row>
    <row r="6" spans="1:41" x14ac:dyDescent="0.35">
      <c r="A6" s="21"/>
      <c r="B6" s="21"/>
      <c r="C6" s="21"/>
      <c r="D6" s="21"/>
      <c r="E6" s="21"/>
      <c r="F6" s="21"/>
      <c r="G6" s="21"/>
      <c r="H6" s="26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7">
        <f>IFERROR(AH4/AG4,"")</f>
        <v>3.3203210737555638E-2</v>
      </c>
      <c r="AI6" s="21"/>
      <c r="AJ6" s="21"/>
      <c r="AM6" s="63"/>
    </row>
    <row r="7" spans="1:41" x14ac:dyDescent="0.35">
      <c r="A7" s="21"/>
      <c r="B7" s="21"/>
      <c r="C7" s="21"/>
      <c r="D7" s="21"/>
      <c r="E7" s="21"/>
      <c r="F7" s="21"/>
      <c r="G7" s="21"/>
      <c r="H7" s="26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47"/>
      <c r="AI7" s="21"/>
      <c r="AJ7" s="21"/>
      <c r="AL7" s="290">
        <f>F123+G123</f>
        <v>700</v>
      </c>
      <c r="AM7" s="118" t="s">
        <v>22</v>
      </c>
    </row>
    <row r="8" spans="1:41" x14ac:dyDescent="0.35">
      <c r="A8" s="14" t="s">
        <v>1</v>
      </c>
      <c r="B8" s="14" t="s">
        <v>2</v>
      </c>
      <c r="C8" s="14" t="s">
        <v>110</v>
      </c>
      <c r="D8" s="14" t="s">
        <v>66</v>
      </c>
      <c r="E8" s="14" t="s">
        <v>638</v>
      </c>
      <c r="F8" s="14" t="s">
        <v>137</v>
      </c>
      <c r="G8" s="14" t="s">
        <v>138</v>
      </c>
      <c r="H8" s="308" t="s">
        <v>4</v>
      </c>
      <c r="I8" s="14" t="s">
        <v>5</v>
      </c>
      <c r="J8" s="14" t="s">
        <v>6</v>
      </c>
      <c r="K8" s="14" t="s">
        <v>7</v>
      </c>
      <c r="L8" s="14" t="s">
        <v>279</v>
      </c>
      <c r="M8" s="14" t="s">
        <v>280</v>
      </c>
      <c r="N8" s="14" t="s">
        <v>281</v>
      </c>
      <c r="O8" s="14" t="s">
        <v>282</v>
      </c>
      <c r="P8" s="14" t="s">
        <v>283</v>
      </c>
      <c r="Q8" s="14" t="s">
        <v>284</v>
      </c>
      <c r="R8" s="14" t="s">
        <v>904</v>
      </c>
      <c r="S8" s="14" t="s">
        <v>285</v>
      </c>
      <c r="T8" s="14" t="s">
        <v>289</v>
      </c>
      <c r="U8" s="14" t="s">
        <v>8</v>
      </c>
      <c r="V8" s="14" t="s">
        <v>9</v>
      </c>
      <c r="W8" s="14" t="s">
        <v>10</v>
      </c>
      <c r="X8" s="14" t="s">
        <v>100</v>
      </c>
      <c r="Y8" s="14" t="s">
        <v>106</v>
      </c>
      <c r="Z8" s="14" t="s">
        <v>12</v>
      </c>
      <c r="AA8" s="14" t="s">
        <v>258</v>
      </c>
      <c r="AB8" s="14" t="s">
        <v>13</v>
      </c>
      <c r="AC8" s="14" t="s">
        <v>74</v>
      </c>
      <c r="AD8" s="14" t="s">
        <v>21</v>
      </c>
      <c r="AE8" s="34" t="s">
        <v>14</v>
      </c>
      <c r="AF8" s="14" t="s">
        <v>15</v>
      </c>
      <c r="AG8" s="14" t="s">
        <v>16</v>
      </c>
      <c r="AH8" s="54" t="s">
        <v>17</v>
      </c>
      <c r="AI8" s="14" t="s">
        <v>679</v>
      </c>
      <c r="AJ8" s="14" t="s">
        <v>678</v>
      </c>
      <c r="AL8" s="164">
        <f>AH123</f>
        <v>215485.06933999964</v>
      </c>
      <c r="AM8" s="164">
        <f>AH128-AI128</f>
        <v>0</v>
      </c>
      <c r="AN8" s="350"/>
      <c r="AO8" s="346"/>
    </row>
    <row r="9" spans="1:41" s="63" customFormat="1" x14ac:dyDescent="0.35">
      <c r="A9" s="20">
        <v>45374</v>
      </c>
      <c r="B9" s="21" t="s">
        <v>1038</v>
      </c>
      <c r="C9" s="21" t="s">
        <v>878</v>
      </c>
      <c r="D9" s="44">
        <v>1926606</v>
      </c>
      <c r="E9" s="44" t="s">
        <v>652</v>
      </c>
      <c r="F9" s="21">
        <v>200</v>
      </c>
      <c r="G9" s="21"/>
      <c r="H9" s="353">
        <v>116390</v>
      </c>
      <c r="I9" s="33">
        <v>0.55000000000000004</v>
      </c>
      <c r="J9" s="24">
        <f>IFERROR(K9/H9,"")</f>
        <v>0.55231549102156541</v>
      </c>
      <c r="K9" s="22">
        <v>64284</v>
      </c>
      <c r="L9" s="21">
        <v>7</v>
      </c>
      <c r="M9" s="21">
        <v>74</v>
      </c>
      <c r="N9" s="21">
        <v>89</v>
      </c>
      <c r="O9" s="21">
        <v>25</v>
      </c>
      <c r="P9" s="21">
        <v>5</v>
      </c>
      <c r="Q9" s="21"/>
      <c r="R9" s="21"/>
      <c r="S9" s="21"/>
      <c r="T9" s="21"/>
      <c r="U9" s="25">
        <v>225</v>
      </c>
      <c r="V9" s="25">
        <f>H9*U9*I9/15</f>
        <v>960217.50000000012</v>
      </c>
      <c r="W9" s="25">
        <f>(1398647.78/88884.5)*15</f>
        <v>236.03346702743448</v>
      </c>
      <c r="X9" s="25">
        <f>IFERROR(IFERROR((H9*W9*J9/15),""),"")</f>
        <v>1011545.0262927732</v>
      </c>
      <c r="Y9" s="25">
        <v>0</v>
      </c>
      <c r="Z9" s="25">
        <v>0</v>
      </c>
      <c r="AA9" s="25">
        <v>0</v>
      </c>
      <c r="AB9" s="307">
        <v>5625</v>
      </c>
      <c r="AC9" s="25">
        <v>0</v>
      </c>
      <c r="AD9" s="25">
        <f>IF(F9="",G9*4.24,F9*4.24)</f>
        <v>848</v>
      </c>
      <c r="AE9" s="25">
        <f>IFERROR(IFERROR((X9*0.2%),""),"")</f>
        <v>2023.0900525855463</v>
      </c>
      <c r="AF9" s="25">
        <f>V9+Y9+Z9+AA9+AB9+AC9+AD9</f>
        <v>966690.50000000012</v>
      </c>
      <c r="AG9" s="25">
        <f>IFERROR(IFERROR((H9*W9*J9/15)-AE9,""),"")</f>
        <v>1009521.9362401876</v>
      </c>
      <c r="AH9" s="26">
        <f>IFERROR(AG9-AF9,0)</f>
        <v>42831.436240187497</v>
      </c>
      <c r="AI9" s="25">
        <f>(F9+G9)/$AL$7*$AL$29</f>
        <v>0</v>
      </c>
      <c r="AJ9" s="25">
        <f>(AH9-AI9)*70%</f>
        <v>29982.005368131246</v>
      </c>
      <c r="AL9" s="57"/>
      <c r="AM9" s="294"/>
      <c r="AN9"/>
      <c r="AO9" s="20"/>
    </row>
    <row r="10" spans="1:41" x14ac:dyDescent="0.35">
      <c r="A10" s="21"/>
      <c r="B10" s="21"/>
      <c r="C10" s="21"/>
      <c r="D10" s="21"/>
      <c r="E10" s="21"/>
      <c r="F10" s="21"/>
      <c r="G10" s="21"/>
      <c r="H10" s="26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3"/>
      <c r="AA10" s="21"/>
      <c r="AB10" s="21"/>
      <c r="AC10" s="21"/>
      <c r="AD10" s="21"/>
      <c r="AE10" s="21"/>
      <c r="AF10" s="21"/>
      <c r="AG10" s="21"/>
      <c r="AH10" s="26">
        <f>IFERROR(AH9/F9,0)+IFERROR(AH9/G9,0)</f>
        <v>214.15718120093749</v>
      </c>
      <c r="AI10" s="21"/>
      <c r="AJ10" s="21"/>
      <c r="AL10" s="180" t="s">
        <v>187</v>
      </c>
      <c r="AM10" s="184" t="s">
        <v>680</v>
      </c>
      <c r="AN10" s="191"/>
      <c r="AO10" s="180" t="s">
        <v>1</v>
      </c>
    </row>
    <row r="11" spans="1:41" x14ac:dyDescent="0.35">
      <c r="A11" s="21"/>
      <c r="B11" s="21"/>
      <c r="C11" s="21"/>
      <c r="D11" s="21"/>
      <c r="E11" s="21"/>
      <c r="F11" s="21"/>
      <c r="G11" s="21"/>
      <c r="H11" s="26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7">
        <f>IFERROR(AH9/AG9,"")</f>
        <v>4.2427444815817207E-2</v>
      </c>
      <c r="AI11" s="21"/>
      <c r="AJ11" s="21"/>
      <c r="AL11" s="351"/>
      <c r="AM11" s="6"/>
      <c r="AN11" s="6"/>
      <c r="AO11" s="352"/>
    </row>
    <row r="12" spans="1:41" x14ac:dyDescent="0.35">
      <c r="A12" s="21"/>
      <c r="B12" s="21"/>
      <c r="C12" s="21"/>
      <c r="D12" s="21"/>
      <c r="E12" s="21"/>
      <c r="F12" s="21"/>
      <c r="G12" s="21"/>
      <c r="H12" s="26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47"/>
      <c r="AI12" s="21"/>
      <c r="AJ12" s="21"/>
      <c r="AL12" s="208"/>
      <c r="AM12" s="350"/>
      <c r="AN12" s="350"/>
      <c r="AO12" s="346"/>
    </row>
    <row r="13" spans="1:41" x14ac:dyDescent="0.35">
      <c r="A13" s="14" t="s">
        <v>1</v>
      </c>
      <c r="B13" s="14" t="s">
        <v>2</v>
      </c>
      <c r="C13" s="14" t="s">
        <v>110</v>
      </c>
      <c r="D13" s="14" t="s">
        <v>66</v>
      </c>
      <c r="E13" s="14" t="s">
        <v>638</v>
      </c>
      <c r="F13" s="14" t="s">
        <v>137</v>
      </c>
      <c r="G13" s="14" t="s">
        <v>138</v>
      </c>
      <c r="H13" s="308" t="s">
        <v>4</v>
      </c>
      <c r="I13" s="14" t="s">
        <v>5</v>
      </c>
      <c r="J13" s="14" t="s">
        <v>6</v>
      </c>
      <c r="K13" s="14" t="s">
        <v>7</v>
      </c>
      <c r="L13" s="14" t="s">
        <v>279</v>
      </c>
      <c r="M13" s="14" t="s">
        <v>280</v>
      </c>
      <c r="N13" s="14" t="s">
        <v>281</v>
      </c>
      <c r="O13" s="14" t="s">
        <v>282</v>
      </c>
      <c r="P13" s="14" t="s">
        <v>283</v>
      </c>
      <c r="Q13" s="14" t="s">
        <v>284</v>
      </c>
      <c r="R13" s="14" t="s">
        <v>904</v>
      </c>
      <c r="S13" s="14" t="s">
        <v>285</v>
      </c>
      <c r="T13" s="14" t="s">
        <v>289</v>
      </c>
      <c r="U13" s="14" t="s">
        <v>8</v>
      </c>
      <c r="V13" s="14" t="s">
        <v>9</v>
      </c>
      <c r="W13" s="14" t="s">
        <v>10</v>
      </c>
      <c r="X13" s="14" t="s">
        <v>100</v>
      </c>
      <c r="Y13" s="14" t="s">
        <v>106</v>
      </c>
      <c r="Z13" s="14" t="s">
        <v>12</v>
      </c>
      <c r="AA13" s="14" t="s">
        <v>258</v>
      </c>
      <c r="AB13" s="14" t="s">
        <v>13</v>
      </c>
      <c r="AC13" s="14" t="s">
        <v>74</v>
      </c>
      <c r="AD13" s="14" t="s">
        <v>21</v>
      </c>
      <c r="AE13" s="14" t="s">
        <v>14</v>
      </c>
      <c r="AF13" s="14" t="s">
        <v>15</v>
      </c>
      <c r="AG13" s="14" t="s">
        <v>16</v>
      </c>
      <c r="AH13" s="15" t="s">
        <v>17</v>
      </c>
      <c r="AI13" s="14" t="s">
        <v>679</v>
      </c>
      <c r="AJ13" s="14" t="s">
        <v>678</v>
      </c>
      <c r="AL13" s="208"/>
      <c r="AM13" s="6"/>
      <c r="AO13" s="346"/>
    </row>
    <row r="14" spans="1:41" x14ac:dyDescent="0.35">
      <c r="A14" s="20">
        <v>45374</v>
      </c>
      <c r="B14" s="21" t="s">
        <v>1036</v>
      </c>
      <c r="C14" s="21" t="s">
        <v>1037</v>
      </c>
      <c r="D14" s="44">
        <v>1933347</v>
      </c>
      <c r="E14" s="44" t="s">
        <v>652</v>
      </c>
      <c r="F14" s="21">
        <v>200</v>
      </c>
      <c r="G14" s="21"/>
      <c r="H14" s="353">
        <v>105417</v>
      </c>
      <c r="I14" s="33">
        <v>0.54</v>
      </c>
      <c r="J14" s="24">
        <f>IFERROR(K14/H14,"")</f>
        <v>0.56522667122001191</v>
      </c>
      <c r="K14" s="22">
        <v>59584.5</v>
      </c>
      <c r="L14" s="21"/>
      <c r="M14" s="21">
        <v>53</v>
      </c>
      <c r="N14" s="21">
        <v>107</v>
      </c>
      <c r="O14" s="21">
        <v>39</v>
      </c>
      <c r="P14" s="21">
        <v>1</v>
      </c>
      <c r="Q14" s="21"/>
      <c r="R14" s="21"/>
      <c r="S14" s="21"/>
      <c r="T14" s="21"/>
      <c r="U14" s="25">
        <v>200</v>
      </c>
      <c r="V14" s="25">
        <f>H14*U14*I14/15</f>
        <v>759002.4</v>
      </c>
      <c r="W14" s="25">
        <f>(928950.68/59584.5)*15</f>
        <v>233.85713062961005</v>
      </c>
      <c r="X14" s="25">
        <f>IFERROR(IFERROR((H14*W14*J14/15),""),"")</f>
        <v>928950.67999999993</v>
      </c>
      <c r="Y14" s="25">
        <f>42*F14</f>
        <v>8400</v>
      </c>
      <c r="Z14" s="25">
        <v>0</v>
      </c>
      <c r="AA14" s="25">
        <v>0</v>
      </c>
      <c r="AB14" s="307">
        <v>5000</v>
      </c>
      <c r="AC14" s="25">
        <v>0</v>
      </c>
      <c r="AD14" s="25">
        <f>IF(F14="",G14*4.24,F14*4.24)</f>
        <v>848</v>
      </c>
      <c r="AE14" s="25">
        <f>IFERROR(IFERROR((X14*0.2%),""),"")</f>
        <v>1857.9013599999998</v>
      </c>
      <c r="AF14" s="25">
        <f>V14+Y14+Z14+AA14+AB14+AC14+AD14</f>
        <v>773250.4</v>
      </c>
      <c r="AG14" s="25">
        <f>IFERROR(IFERROR((H14*W14*J14/15)-AE14,""),"")</f>
        <v>927092.77863999992</v>
      </c>
      <c r="AH14" s="26">
        <f>IFERROR(AG14-AF14,0)</f>
        <v>153842.37863999989</v>
      </c>
      <c r="AI14" s="25">
        <f>(F14+G14)/$AL$7*$AL$29</f>
        <v>0</v>
      </c>
      <c r="AJ14" s="25">
        <f>(AH14-AI14)*70%</f>
        <v>107689.66504799992</v>
      </c>
      <c r="AL14" s="208"/>
      <c r="AM14" s="6"/>
      <c r="AO14" s="346"/>
    </row>
    <row r="15" spans="1:41" x14ac:dyDescent="0.35">
      <c r="A15" s="21"/>
      <c r="B15" s="21"/>
      <c r="C15" s="21"/>
      <c r="D15" s="21"/>
      <c r="E15" s="21"/>
      <c r="F15" s="21"/>
      <c r="G15" s="21"/>
      <c r="H15" s="26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3"/>
      <c r="AA15" s="21"/>
      <c r="AB15" s="21"/>
      <c r="AC15" s="21"/>
      <c r="AD15" s="21"/>
      <c r="AE15" s="25"/>
      <c r="AF15" s="21"/>
      <c r="AG15" s="21"/>
      <c r="AH15" s="26">
        <f>IFERROR(AH14/F14,0)+IFERROR(AH14/G14,0)</f>
        <v>769.21189319999951</v>
      </c>
      <c r="AI15" s="21"/>
      <c r="AJ15" s="21"/>
      <c r="AL15" s="208"/>
      <c r="AM15" s="6"/>
      <c r="AO15" s="346"/>
    </row>
    <row r="16" spans="1:41" x14ac:dyDescent="0.35">
      <c r="A16" s="21"/>
      <c r="B16" s="21"/>
      <c r="C16" s="21"/>
      <c r="D16" s="21"/>
      <c r="E16" s="21"/>
      <c r="F16" s="21"/>
      <c r="G16" s="21"/>
      <c r="H16" s="26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7">
        <f>IFERROR(AH14/AG14,"")</f>
        <v>0.16594065036908084</v>
      </c>
      <c r="AI16" s="21"/>
      <c r="AJ16" s="21"/>
      <c r="AL16" s="208"/>
      <c r="AM16" s="6"/>
      <c r="AO16" s="346"/>
    </row>
    <row r="17" spans="1:41" x14ac:dyDescent="0.35">
      <c r="A17" s="21"/>
      <c r="B17" s="21"/>
      <c r="C17" s="21"/>
      <c r="D17" s="21"/>
      <c r="E17" s="21"/>
      <c r="F17" s="21"/>
      <c r="G17" s="21"/>
      <c r="H17" s="26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47"/>
      <c r="AI17" s="21"/>
      <c r="AJ17" s="21"/>
      <c r="AL17" s="351"/>
      <c r="AM17" s="6"/>
      <c r="AN17" s="6"/>
      <c r="AO17" s="352"/>
    </row>
    <row r="18" spans="1:41" ht="15" customHeight="1" x14ac:dyDescent="0.35">
      <c r="A18" s="14" t="s">
        <v>1</v>
      </c>
      <c r="B18" s="14" t="s">
        <v>2</v>
      </c>
      <c r="C18" s="14" t="s">
        <v>110</v>
      </c>
      <c r="D18" s="14" t="s">
        <v>66</v>
      </c>
      <c r="E18" s="14" t="s">
        <v>638</v>
      </c>
      <c r="F18" s="14" t="s">
        <v>137</v>
      </c>
      <c r="G18" s="14" t="s">
        <v>138</v>
      </c>
      <c r="H18" s="308" t="s">
        <v>4</v>
      </c>
      <c r="I18" s="14" t="s">
        <v>5</v>
      </c>
      <c r="J18" s="14" t="s">
        <v>6</v>
      </c>
      <c r="K18" s="14" t="s">
        <v>7</v>
      </c>
      <c r="L18" s="14" t="s">
        <v>279</v>
      </c>
      <c r="M18" s="14" t="s">
        <v>280</v>
      </c>
      <c r="N18" s="14" t="s">
        <v>281</v>
      </c>
      <c r="O18" s="14" t="s">
        <v>282</v>
      </c>
      <c r="P18" s="14" t="s">
        <v>283</v>
      </c>
      <c r="Q18" s="14" t="s">
        <v>284</v>
      </c>
      <c r="R18" s="14" t="s">
        <v>904</v>
      </c>
      <c r="S18" s="14" t="s">
        <v>285</v>
      </c>
      <c r="T18" s="14" t="s">
        <v>289</v>
      </c>
      <c r="U18" s="14" t="s">
        <v>8</v>
      </c>
      <c r="V18" s="14" t="s">
        <v>9</v>
      </c>
      <c r="W18" s="14" t="s">
        <v>10</v>
      </c>
      <c r="X18" s="14" t="s">
        <v>100</v>
      </c>
      <c r="Y18" s="14" t="s">
        <v>106</v>
      </c>
      <c r="Z18" s="14" t="s">
        <v>12</v>
      </c>
      <c r="AA18" s="14" t="s">
        <v>258</v>
      </c>
      <c r="AB18" s="14" t="s">
        <v>13</v>
      </c>
      <c r="AC18" s="14" t="s">
        <v>74</v>
      </c>
      <c r="AD18" s="14" t="s">
        <v>21</v>
      </c>
      <c r="AE18" s="34" t="s">
        <v>14</v>
      </c>
      <c r="AF18" s="14" t="s">
        <v>15</v>
      </c>
      <c r="AG18" s="14" t="s">
        <v>16</v>
      </c>
      <c r="AH18" s="15" t="s">
        <v>17</v>
      </c>
      <c r="AI18" s="14" t="s">
        <v>679</v>
      </c>
      <c r="AJ18" s="14" t="s">
        <v>678</v>
      </c>
      <c r="AL18" s="351"/>
      <c r="AM18" s="6"/>
      <c r="AN18" s="6"/>
      <c r="AO18" s="325"/>
    </row>
    <row r="19" spans="1:41" x14ac:dyDescent="0.35">
      <c r="A19" s="20">
        <v>45375</v>
      </c>
      <c r="B19" s="21" t="s">
        <v>1036</v>
      </c>
      <c r="C19" s="21" t="s">
        <v>1037</v>
      </c>
      <c r="D19" s="44">
        <v>1923779</v>
      </c>
      <c r="E19" s="44" t="s">
        <v>652</v>
      </c>
      <c r="F19" s="21">
        <f>200-50</f>
        <v>150</v>
      </c>
      <c r="G19" s="21"/>
      <c r="H19" s="353">
        <f>106903/200*F19</f>
        <v>80177.25</v>
      </c>
      <c r="I19" s="33">
        <v>0.54</v>
      </c>
      <c r="J19" s="24">
        <f>IFERROR(K19/H19,"")</f>
        <v>0.56351396437268675</v>
      </c>
      <c r="K19" s="22">
        <v>45181</v>
      </c>
      <c r="L19" s="21">
        <v>1</v>
      </c>
      <c r="M19" s="21">
        <v>26</v>
      </c>
      <c r="N19" s="21">
        <v>79</v>
      </c>
      <c r="O19" s="21">
        <v>41</v>
      </c>
      <c r="P19" s="21">
        <v>3</v>
      </c>
      <c r="Q19" s="21"/>
      <c r="R19" s="21"/>
      <c r="S19" s="21"/>
      <c r="T19" s="21"/>
      <c r="U19" s="25">
        <v>210</v>
      </c>
      <c r="V19" s="25">
        <f>H19*U19*I19/15</f>
        <v>606140.01</v>
      </c>
      <c r="W19" s="25">
        <f>697521.87/45181*15</f>
        <v>231.57584050817823</v>
      </c>
      <c r="X19" s="25">
        <f>IFERROR(IFERROR((H19*W19*J19/15),""),"")</f>
        <v>697521.87</v>
      </c>
      <c r="Y19" s="25">
        <f>42*F19</f>
        <v>6300</v>
      </c>
      <c r="Z19" s="307">
        <v>73316.91</v>
      </c>
      <c r="AA19" s="25">
        <v>0</v>
      </c>
      <c r="AB19" s="307">
        <f>5000/200*F19</f>
        <v>3750</v>
      </c>
      <c r="AC19" s="25">
        <v>0</v>
      </c>
      <c r="AD19" s="25">
        <f>IF(F19="",G19*4.24,F19*4.24)</f>
        <v>636</v>
      </c>
      <c r="AE19" s="25">
        <f>IFERROR(IFERROR((X19*0.2%),""),"")</f>
        <v>1395.0437400000001</v>
      </c>
      <c r="AF19" s="25">
        <f>V19+Y19+Z19+AA19+AB19+AC19+AD19</f>
        <v>690142.92</v>
      </c>
      <c r="AG19" s="25">
        <f>IFERROR(IFERROR((H19*W19*J19/15)-AE19,""),"")</f>
        <v>696126.82626</v>
      </c>
      <c r="AH19" s="26">
        <f>IFERROR(AG19-AF19,0)</f>
        <v>5983.9062599999597</v>
      </c>
      <c r="AI19" s="25">
        <f>(F19+G19)/$AL$7*$AL$29</f>
        <v>0</v>
      </c>
      <c r="AJ19" s="25">
        <f>(AH19-AI19)*70%</f>
        <v>4188.7343819999714</v>
      </c>
      <c r="AL19" s="208"/>
      <c r="AM19" s="6"/>
      <c r="AO19" s="346"/>
    </row>
    <row r="20" spans="1:41" x14ac:dyDescent="0.35">
      <c r="A20" s="21"/>
      <c r="B20" s="21"/>
      <c r="C20" s="21"/>
      <c r="D20" s="21"/>
      <c r="E20" s="21"/>
      <c r="F20" s="21"/>
      <c r="G20" s="21"/>
      <c r="H20" s="26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3"/>
      <c r="AA20" s="21"/>
      <c r="AB20" s="21"/>
      <c r="AC20" s="21"/>
      <c r="AD20" s="21"/>
      <c r="AE20" s="316"/>
      <c r="AF20" s="21"/>
      <c r="AG20" s="25"/>
      <c r="AH20" s="26">
        <f>IFERROR(AH19/F19,0)+IFERROR(AH19/G19,0)</f>
        <v>39.892708399999734</v>
      </c>
      <c r="AI20" s="21"/>
      <c r="AJ20" s="21"/>
      <c r="AL20" s="208"/>
      <c r="AM20" s="6"/>
      <c r="AO20" s="346"/>
    </row>
    <row r="21" spans="1:41" x14ac:dyDescent="0.35">
      <c r="A21" s="21"/>
      <c r="B21" s="21"/>
      <c r="C21" s="21"/>
      <c r="D21" s="21"/>
      <c r="E21" s="21"/>
      <c r="F21" s="21"/>
      <c r="G21" s="21"/>
      <c r="H21" s="26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316"/>
      <c r="AF21" s="21"/>
      <c r="AG21" s="21"/>
      <c r="AH21" s="27">
        <f>IFERROR(AH19/AG19,"")</f>
        <v>8.5960000883014386E-3</v>
      </c>
      <c r="AI21" s="21"/>
      <c r="AJ21" s="21"/>
      <c r="AL21" s="208"/>
      <c r="AM21" s="6"/>
      <c r="AO21" s="346"/>
    </row>
    <row r="22" spans="1:41" x14ac:dyDescent="0.35">
      <c r="A22" s="21"/>
      <c r="B22" s="21"/>
      <c r="C22" s="21"/>
      <c r="D22" s="21"/>
      <c r="E22" s="21"/>
      <c r="F22" s="21"/>
      <c r="G22" s="21"/>
      <c r="H22" s="26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316"/>
      <c r="AF22" s="21"/>
      <c r="AG22" s="21"/>
      <c r="AH22" s="47"/>
      <c r="AI22" s="47"/>
      <c r="AJ22" s="47"/>
      <c r="AL22" s="208"/>
      <c r="AO22" s="346"/>
    </row>
    <row r="23" spans="1:41" ht="15" customHeight="1" x14ac:dyDescent="0.35">
      <c r="A23" s="14" t="s">
        <v>1</v>
      </c>
      <c r="B23" s="14" t="s">
        <v>2</v>
      </c>
      <c r="C23" s="14" t="s">
        <v>110</v>
      </c>
      <c r="D23" s="14" t="s">
        <v>66</v>
      </c>
      <c r="E23" s="14" t="s">
        <v>638</v>
      </c>
      <c r="F23" s="14" t="s">
        <v>137</v>
      </c>
      <c r="G23" s="14" t="s">
        <v>138</v>
      </c>
      <c r="H23" s="308" t="s">
        <v>4</v>
      </c>
      <c r="I23" s="14" t="s">
        <v>5</v>
      </c>
      <c r="J23" s="14" t="s">
        <v>6</v>
      </c>
      <c r="K23" s="14" t="s">
        <v>7</v>
      </c>
      <c r="L23" s="14" t="s">
        <v>279</v>
      </c>
      <c r="M23" s="14" t="s">
        <v>280</v>
      </c>
      <c r="N23" s="14" t="s">
        <v>281</v>
      </c>
      <c r="O23" s="14" t="s">
        <v>282</v>
      </c>
      <c r="P23" s="14" t="s">
        <v>283</v>
      </c>
      <c r="Q23" s="14" t="s">
        <v>284</v>
      </c>
      <c r="R23" s="14" t="s">
        <v>904</v>
      </c>
      <c r="S23" s="14" t="s">
        <v>285</v>
      </c>
      <c r="T23" s="14" t="s">
        <v>289</v>
      </c>
      <c r="U23" s="14" t="s">
        <v>8</v>
      </c>
      <c r="V23" s="14" t="s">
        <v>9</v>
      </c>
      <c r="W23" s="14" t="s">
        <v>10</v>
      </c>
      <c r="X23" s="14" t="s">
        <v>100</v>
      </c>
      <c r="Y23" s="14" t="s">
        <v>106</v>
      </c>
      <c r="Z23" s="14" t="s">
        <v>12</v>
      </c>
      <c r="AA23" s="14" t="s">
        <v>258</v>
      </c>
      <c r="AB23" s="14" t="s">
        <v>13</v>
      </c>
      <c r="AC23" s="14" t="s">
        <v>74</v>
      </c>
      <c r="AD23" s="14" t="s">
        <v>21</v>
      </c>
      <c r="AE23" s="34" t="s">
        <v>14</v>
      </c>
      <c r="AF23" s="14" t="s">
        <v>15</v>
      </c>
      <c r="AG23" s="14" t="s">
        <v>16</v>
      </c>
      <c r="AH23" s="15" t="s">
        <v>17</v>
      </c>
      <c r="AI23" s="14" t="s">
        <v>679</v>
      </c>
      <c r="AJ23" s="14" t="s">
        <v>678</v>
      </c>
      <c r="AL23" s="351"/>
      <c r="AM23" s="6"/>
      <c r="AN23" s="6"/>
      <c r="AO23" s="325"/>
    </row>
    <row r="24" spans="1:41" x14ac:dyDescent="0.35">
      <c r="A24" s="20">
        <v>45375</v>
      </c>
      <c r="B24" s="21" t="s">
        <v>1036</v>
      </c>
      <c r="C24" s="21" t="s">
        <v>1037</v>
      </c>
      <c r="D24" s="44"/>
      <c r="E24" s="44" t="s">
        <v>652</v>
      </c>
      <c r="F24" s="21">
        <f>200-150</f>
        <v>50</v>
      </c>
      <c r="G24" s="21"/>
      <c r="H24" s="353">
        <f>106903/200*F24</f>
        <v>26725.75</v>
      </c>
      <c r="I24" s="33">
        <v>0.54</v>
      </c>
      <c r="J24" s="24">
        <f>IFERROR(K24/H24,"")</f>
        <v>0</v>
      </c>
      <c r="K24" s="22">
        <v>0</v>
      </c>
      <c r="L24" s="21"/>
      <c r="M24" s="21"/>
      <c r="N24" s="21"/>
      <c r="O24" s="21"/>
      <c r="P24" s="21"/>
      <c r="Q24" s="21"/>
      <c r="R24" s="21"/>
      <c r="S24" s="21"/>
      <c r="T24" s="21"/>
      <c r="U24" s="25">
        <v>210</v>
      </c>
      <c r="V24" s="25">
        <f>H24*U24*I24/15</f>
        <v>202046.67</v>
      </c>
      <c r="W24" s="25">
        <v>0</v>
      </c>
      <c r="X24" s="25">
        <f>IFERROR(IFERROR((H24*W24*J24/15),""),"")</f>
        <v>0</v>
      </c>
      <c r="Y24" s="25">
        <f>42*F24</f>
        <v>2100</v>
      </c>
      <c r="Z24" s="25">
        <v>0</v>
      </c>
      <c r="AA24" s="25">
        <v>0</v>
      </c>
      <c r="AB24" s="307">
        <f>5000/200*F24</f>
        <v>1250</v>
      </c>
      <c r="AC24" s="25">
        <v>0</v>
      </c>
      <c r="AD24" s="25">
        <f>IF(F24="",G24*4.24,F24*4.24)</f>
        <v>212</v>
      </c>
      <c r="AE24" s="25">
        <f>IFERROR(IFERROR((X24*0.2%),""),"")</f>
        <v>0</v>
      </c>
      <c r="AF24" s="25">
        <f>V24+Y24+Z24+AA24+AB24+AC24+AD24</f>
        <v>205608.67</v>
      </c>
      <c r="AG24" s="25">
        <f>IFERROR(IFERROR((H24*W24*J24/15)-AE24,""),"")</f>
        <v>0</v>
      </c>
      <c r="AH24" s="26">
        <f>IFERROR(AG24-AF24,0)</f>
        <v>-205608.67</v>
      </c>
      <c r="AI24" s="25">
        <f>(F24+G24)/$AL$7*$AL$29</f>
        <v>0</v>
      </c>
      <c r="AJ24" s="25">
        <f>(AH24-AI24)*70%</f>
        <v>-143926.06899999999</v>
      </c>
      <c r="AL24" s="208"/>
      <c r="AM24" s="6"/>
      <c r="AO24" s="346"/>
    </row>
    <row r="25" spans="1:41" x14ac:dyDescent="0.35">
      <c r="A25" s="21"/>
      <c r="B25" s="21"/>
      <c r="C25" s="21"/>
      <c r="D25" s="21"/>
      <c r="E25" s="21"/>
      <c r="F25" s="21"/>
      <c r="G25" s="21"/>
      <c r="H25" s="26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3"/>
      <c r="AA25" s="21"/>
      <c r="AB25" s="21"/>
      <c r="AC25" s="21"/>
      <c r="AD25" s="21"/>
      <c r="AE25" s="316"/>
      <c r="AF25" s="21"/>
      <c r="AG25" s="21"/>
      <c r="AH25" s="26">
        <f>IFERROR(AH24/F24,0)+IFERROR(AH24/G24,0)</f>
        <v>-4112.1734000000006</v>
      </c>
      <c r="AI25" s="21"/>
      <c r="AJ25" s="21"/>
      <c r="AL25" s="208"/>
      <c r="AM25" s="6"/>
      <c r="AO25" s="346"/>
    </row>
    <row r="26" spans="1:41" x14ac:dyDescent="0.35">
      <c r="A26" s="21"/>
      <c r="B26" s="21"/>
      <c r="C26" s="21"/>
      <c r="D26" s="21"/>
      <c r="E26" s="21"/>
      <c r="F26" s="21"/>
      <c r="G26" s="21"/>
      <c r="H26" s="26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316"/>
      <c r="AF26" s="21"/>
      <c r="AG26" s="21"/>
      <c r="AH26" s="27" t="str">
        <f>IFERROR(AH24/AG24,"")</f>
        <v/>
      </c>
      <c r="AI26" s="21"/>
      <c r="AJ26" s="21"/>
      <c r="AL26" s="208"/>
      <c r="AM26" s="6"/>
      <c r="AO26" s="346"/>
    </row>
    <row r="27" spans="1:41" x14ac:dyDescent="0.35">
      <c r="A27" s="21"/>
      <c r="B27" s="21"/>
      <c r="C27" s="21"/>
      <c r="D27" s="21"/>
      <c r="E27" s="21"/>
      <c r="F27" s="21"/>
      <c r="G27" s="21"/>
      <c r="H27" s="26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316"/>
      <c r="AF27" s="21"/>
      <c r="AG27" s="21"/>
      <c r="AH27" s="47"/>
      <c r="AI27" s="47"/>
      <c r="AJ27" s="47"/>
      <c r="AL27" s="208"/>
      <c r="AO27" s="346"/>
    </row>
    <row r="28" spans="1:41" x14ac:dyDescent="0.35">
      <c r="A28" s="14" t="s">
        <v>1</v>
      </c>
      <c r="B28" s="14" t="s">
        <v>2</v>
      </c>
      <c r="C28" s="14" t="s">
        <v>110</v>
      </c>
      <c r="D28" s="14" t="s">
        <v>66</v>
      </c>
      <c r="E28" s="14" t="s">
        <v>638</v>
      </c>
      <c r="F28" s="14" t="s">
        <v>137</v>
      </c>
      <c r="G28" s="14" t="s">
        <v>138</v>
      </c>
      <c r="H28" s="308" t="s">
        <v>4</v>
      </c>
      <c r="I28" s="14" t="s">
        <v>5</v>
      </c>
      <c r="J28" s="14" t="s">
        <v>6</v>
      </c>
      <c r="K28" s="14" t="s">
        <v>7</v>
      </c>
      <c r="L28" s="14" t="s">
        <v>279</v>
      </c>
      <c r="M28" s="14" t="s">
        <v>280</v>
      </c>
      <c r="N28" s="14" t="s">
        <v>281</v>
      </c>
      <c r="O28" s="14" t="s">
        <v>282</v>
      </c>
      <c r="P28" s="14" t="s">
        <v>283</v>
      </c>
      <c r="Q28" s="14" t="s">
        <v>284</v>
      </c>
      <c r="R28" s="14" t="s">
        <v>904</v>
      </c>
      <c r="S28" s="14" t="s">
        <v>285</v>
      </c>
      <c r="T28" s="14" t="s">
        <v>289</v>
      </c>
      <c r="U28" s="14" t="s">
        <v>8</v>
      </c>
      <c r="V28" s="14" t="s">
        <v>9</v>
      </c>
      <c r="W28" s="14" t="s">
        <v>10</v>
      </c>
      <c r="X28" s="14" t="s">
        <v>100</v>
      </c>
      <c r="Y28" s="14" t="s">
        <v>106</v>
      </c>
      <c r="Z28" s="14" t="s">
        <v>12</v>
      </c>
      <c r="AA28" s="14" t="s">
        <v>258</v>
      </c>
      <c r="AB28" s="14" t="s">
        <v>13</v>
      </c>
      <c r="AC28" s="14" t="s">
        <v>74</v>
      </c>
      <c r="AD28" s="14" t="s">
        <v>21</v>
      </c>
      <c r="AE28" s="14" t="s">
        <v>14</v>
      </c>
      <c r="AF28" s="14" t="s">
        <v>15</v>
      </c>
      <c r="AG28" s="14" t="s">
        <v>16</v>
      </c>
      <c r="AH28" s="15" t="s">
        <v>17</v>
      </c>
      <c r="AI28" s="14" t="s">
        <v>679</v>
      </c>
      <c r="AJ28" s="14" t="s">
        <v>678</v>
      </c>
      <c r="AL28" s="208"/>
      <c r="AM28" s="294"/>
      <c r="AO28" s="346"/>
    </row>
    <row r="29" spans="1:41" x14ac:dyDescent="0.35">
      <c r="A29" s="20"/>
      <c r="B29" s="21"/>
      <c r="C29" s="21"/>
      <c r="D29" s="44"/>
      <c r="E29" s="44" t="s">
        <v>652</v>
      </c>
      <c r="F29" s="21"/>
      <c r="G29" s="21"/>
      <c r="H29" s="353"/>
      <c r="I29" s="33">
        <v>0</v>
      </c>
      <c r="J29" s="24" t="str">
        <f>IFERROR(K29/H29,"")</f>
        <v/>
      </c>
      <c r="K29" s="22">
        <v>0</v>
      </c>
      <c r="L29" s="21"/>
      <c r="M29" s="21"/>
      <c r="N29" s="21"/>
      <c r="O29" s="21"/>
      <c r="P29" s="21"/>
      <c r="Q29" s="21"/>
      <c r="R29" s="21"/>
      <c r="S29" s="21"/>
      <c r="T29" s="21"/>
      <c r="U29" s="25">
        <v>0</v>
      </c>
      <c r="V29" s="25">
        <f>H29*U29*I29/15</f>
        <v>0</v>
      </c>
      <c r="W29" s="25">
        <v>0</v>
      </c>
      <c r="X29" s="25" t="str">
        <f>IFERROR(IFERROR((H29*W29*J29/15),""),"")</f>
        <v/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f>IF(F29="",G29*4.24,F29*4.24)</f>
        <v>0</v>
      </c>
      <c r="AE29" s="25" t="str">
        <f>IFERROR(IFERROR((X29*0.2%),""),"")</f>
        <v/>
      </c>
      <c r="AF29" s="25">
        <f>V29+Y29+Z29+AA29+AB29+AC29+AD29</f>
        <v>0</v>
      </c>
      <c r="AG29" s="25" t="str">
        <f>IFERROR(IFERROR((H29*W29*J29/15)-AE29,""),"")</f>
        <v/>
      </c>
      <c r="AH29" s="26">
        <f>IFERROR(AG29-AF29,0)</f>
        <v>0</v>
      </c>
      <c r="AI29" s="25">
        <f>(F29+G29)/$AL$7*$AL$29</f>
        <v>0</v>
      </c>
      <c r="AJ29" s="25">
        <f>(AH29-AI29)*70%</f>
        <v>0</v>
      </c>
      <c r="AL29" s="208"/>
      <c r="AM29" s="6"/>
      <c r="AO29" s="346"/>
    </row>
    <row r="30" spans="1:41" x14ac:dyDescent="0.35">
      <c r="A30" s="21"/>
      <c r="B30" s="21"/>
      <c r="C30" s="21"/>
      <c r="D30" s="21"/>
      <c r="E30" s="21"/>
      <c r="F30" s="21"/>
      <c r="G30" s="21"/>
      <c r="H30" s="26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3"/>
      <c r="AA30" s="21"/>
      <c r="AB30" s="21"/>
      <c r="AC30" s="21"/>
      <c r="AD30" s="21"/>
      <c r="AE30" s="21"/>
      <c r="AF30" s="21"/>
      <c r="AG30" s="21"/>
      <c r="AH30" s="26">
        <f>IFERROR(AH29/#REF!,0)+IFERROR(AH29/#REF!,0)</f>
        <v>0</v>
      </c>
      <c r="AI30" s="21"/>
      <c r="AJ30" s="21"/>
      <c r="AL30" s="219"/>
      <c r="AO30" s="174"/>
    </row>
    <row r="31" spans="1:41" x14ac:dyDescent="0.35">
      <c r="A31" s="21"/>
      <c r="B31" s="21"/>
      <c r="C31" s="21"/>
      <c r="D31" s="21"/>
      <c r="E31" s="21"/>
      <c r="F31" s="21"/>
      <c r="G31" s="21"/>
      <c r="H31" s="26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7" t="str">
        <f>IFERROR(AH29/AG29,"")</f>
        <v/>
      </c>
      <c r="AI31" s="21"/>
      <c r="AJ31" s="21"/>
      <c r="AL31" s="219"/>
      <c r="AO31" s="174"/>
    </row>
    <row r="32" spans="1:41" x14ac:dyDescent="0.35">
      <c r="A32" s="21"/>
      <c r="B32" s="21"/>
      <c r="C32" s="21"/>
      <c r="D32" s="21"/>
      <c r="E32" s="21"/>
      <c r="F32" s="21"/>
      <c r="G32" s="21"/>
      <c r="H32" s="26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47"/>
      <c r="AI32" s="21"/>
      <c r="AJ32" s="21"/>
      <c r="AL32" s="219"/>
      <c r="AO32" s="174"/>
    </row>
    <row r="33" spans="1:41" x14ac:dyDescent="0.35">
      <c r="A33" s="14" t="s">
        <v>1</v>
      </c>
      <c r="B33" s="14" t="s">
        <v>2</v>
      </c>
      <c r="C33" s="14" t="s">
        <v>110</v>
      </c>
      <c r="D33" s="14" t="s">
        <v>66</v>
      </c>
      <c r="E33" s="14" t="s">
        <v>638</v>
      </c>
      <c r="F33" s="14" t="s">
        <v>137</v>
      </c>
      <c r="G33" s="14" t="s">
        <v>138</v>
      </c>
      <c r="H33" s="308" t="s">
        <v>4</v>
      </c>
      <c r="I33" s="14" t="s">
        <v>5</v>
      </c>
      <c r="J33" s="14" t="s">
        <v>6</v>
      </c>
      <c r="K33" s="14" t="s">
        <v>7</v>
      </c>
      <c r="L33" s="14" t="s">
        <v>279</v>
      </c>
      <c r="M33" s="14" t="s">
        <v>280</v>
      </c>
      <c r="N33" s="14" t="s">
        <v>281</v>
      </c>
      <c r="O33" s="14" t="s">
        <v>282</v>
      </c>
      <c r="P33" s="14" t="s">
        <v>283</v>
      </c>
      <c r="Q33" s="14" t="s">
        <v>284</v>
      </c>
      <c r="R33" s="14" t="s">
        <v>904</v>
      </c>
      <c r="S33" s="14" t="s">
        <v>285</v>
      </c>
      <c r="T33" s="14" t="s">
        <v>289</v>
      </c>
      <c r="U33" s="14" t="s">
        <v>8</v>
      </c>
      <c r="V33" s="14" t="s">
        <v>9</v>
      </c>
      <c r="W33" s="14" t="s">
        <v>10</v>
      </c>
      <c r="X33" s="14" t="s">
        <v>100</v>
      </c>
      <c r="Y33" s="14" t="s">
        <v>106</v>
      </c>
      <c r="Z33" s="14" t="s">
        <v>12</v>
      </c>
      <c r="AA33" s="14" t="s">
        <v>258</v>
      </c>
      <c r="AB33" s="14" t="s">
        <v>13</v>
      </c>
      <c r="AC33" s="14" t="s">
        <v>74</v>
      </c>
      <c r="AD33" s="14" t="s">
        <v>21</v>
      </c>
      <c r="AE33" s="14" t="s">
        <v>14</v>
      </c>
      <c r="AF33" s="14" t="s">
        <v>15</v>
      </c>
      <c r="AG33" s="14" t="s">
        <v>16</v>
      </c>
      <c r="AH33" s="15" t="s">
        <v>17</v>
      </c>
      <c r="AI33" s="14" t="s">
        <v>679</v>
      </c>
      <c r="AJ33" s="14" t="s">
        <v>678</v>
      </c>
      <c r="AL33" s="219"/>
      <c r="AO33" s="174"/>
    </row>
    <row r="34" spans="1:41" x14ac:dyDescent="0.35">
      <c r="A34" s="20"/>
      <c r="B34" s="21"/>
      <c r="C34" s="21"/>
      <c r="D34" s="44"/>
      <c r="E34" s="44" t="s">
        <v>652</v>
      </c>
      <c r="F34" s="21"/>
      <c r="G34" s="21"/>
      <c r="H34" s="353"/>
      <c r="I34" s="33">
        <v>0</v>
      </c>
      <c r="J34" s="24" t="str">
        <f>IFERROR(K34/H34,"")</f>
        <v/>
      </c>
      <c r="K34" s="22">
        <v>0</v>
      </c>
      <c r="L34" s="21"/>
      <c r="M34" s="21"/>
      <c r="N34" s="21"/>
      <c r="O34" s="21"/>
      <c r="P34" s="21"/>
      <c r="Q34" s="21"/>
      <c r="R34" s="21"/>
      <c r="S34" s="21"/>
      <c r="T34" s="21"/>
      <c r="U34" s="25">
        <v>0</v>
      </c>
      <c r="V34" s="25">
        <f>H34*U34*I34/15</f>
        <v>0</v>
      </c>
      <c r="W34" s="25">
        <v>0</v>
      </c>
      <c r="X34" s="25" t="str">
        <f>IFERROR(IFERROR((H34*W34*J34/15),""),"")</f>
        <v/>
      </c>
      <c r="Y34" s="25"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f>IF(F34="",G34*4.24,F34*4.24)</f>
        <v>0</v>
      </c>
      <c r="AE34" s="25" t="str">
        <f>IFERROR(IFERROR((X34*0.2%),""),"")</f>
        <v/>
      </c>
      <c r="AF34" s="25">
        <f>V34+Y34+Z34+AA34+AB34+AC34+AD34</f>
        <v>0</v>
      </c>
      <c r="AG34" s="25" t="str">
        <f>IFERROR(IFERROR((H34*W34*J34/15)-AE34,""),"")</f>
        <v/>
      </c>
      <c r="AH34" s="26">
        <f>IFERROR(AG34-AF34,0)</f>
        <v>0</v>
      </c>
      <c r="AI34" s="25">
        <f>(F34+G34)/$AL$7*$AL$29</f>
        <v>0</v>
      </c>
      <c r="AJ34" s="25">
        <f>(AH34-AI34)*70%</f>
        <v>0</v>
      </c>
      <c r="AL34" s="179">
        <f>SUM(AL11:AL33)</f>
        <v>0</v>
      </c>
      <c r="AM34" s="349" t="s">
        <v>673</v>
      </c>
      <c r="AN34" s="176"/>
      <c r="AO34" s="297"/>
    </row>
    <row r="35" spans="1:41" x14ac:dyDescent="0.35">
      <c r="A35" s="21"/>
      <c r="B35" s="21"/>
      <c r="C35" s="21"/>
      <c r="D35" s="21"/>
      <c r="E35" s="21"/>
      <c r="F35" s="21"/>
      <c r="G35" s="21"/>
      <c r="H35" s="26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5"/>
      <c r="Y35" s="21"/>
      <c r="Z35" s="3"/>
      <c r="AA35" s="21"/>
      <c r="AB35" s="21"/>
      <c r="AC35" s="21"/>
      <c r="AD35" s="21"/>
      <c r="AE35" s="316"/>
      <c r="AF35" s="21"/>
      <c r="AG35" s="25"/>
      <c r="AH35" s="26">
        <f>IFERROR(AH34/F34,0)+IFERROR(AH34/G34,0)</f>
        <v>0</v>
      </c>
      <c r="AI35" s="21"/>
      <c r="AJ35" s="21"/>
      <c r="AL35" s="57"/>
      <c r="AM35" s="6"/>
    </row>
    <row r="36" spans="1:41" x14ac:dyDescent="0.35">
      <c r="A36" s="21"/>
      <c r="B36" s="21"/>
      <c r="C36" s="21"/>
      <c r="D36" s="21"/>
      <c r="E36" s="21"/>
      <c r="F36" s="21"/>
      <c r="G36" s="21"/>
      <c r="H36" s="26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316"/>
      <c r="AF36" s="21"/>
      <c r="AG36" s="21"/>
      <c r="AH36" s="27" t="str">
        <f>IFERROR(AH34/AG34,"")</f>
        <v/>
      </c>
      <c r="AI36" s="21"/>
      <c r="AJ36" s="21"/>
    </row>
    <row r="37" spans="1:41" x14ac:dyDescent="0.35">
      <c r="A37" s="21"/>
      <c r="B37" s="21"/>
      <c r="C37" s="21"/>
      <c r="D37" s="21"/>
      <c r="E37" s="21"/>
      <c r="F37" s="21"/>
      <c r="G37" s="21"/>
      <c r="H37" s="26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316"/>
      <c r="AF37" s="21"/>
      <c r="AG37" s="21"/>
      <c r="AH37" s="47"/>
      <c r="AI37" s="21"/>
      <c r="AJ37" s="21"/>
      <c r="AL37" s="57"/>
      <c r="AM37" s="118" t="s">
        <v>22</v>
      </c>
      <c r="AN37" s="12"/>
    </row>
    <row r="38" spans="1:41" x14ac:dyDescent="0.35">
      <c r="A38" s="14" t="s">
        <v>1</v>
      </c>
      <c r="B38" s="14" t="s">
        <v>2</v>
      </c>
      <c r="C38" s="14" t="s">
        <v>110</v>
      </c>
      <c r="D38" s="14" t="s">
        <v>66</v>
      </c>
      <c r="E38" s="14" t="s">
        <v>638</v>
      </c>
      <c r="F38" s="14" t="s">
        <v>137</v>
      </c>
      <c r="G38" s="14" t="s">
        <v>138</v>
      </c>
      <c r="H38" s="308" t="s">
        <v>4</v>
      </c>
      <c r="I38" s="14" t="s">
        <v>5</v>
      </c>
      <c r="J38" s="14" t="s">
        <v>6</v>
      </c>
      <c r="K38" s="14" t="s">
        <v>7</v>
      </c>
      <c r="L38" s="14" t="s">
        <v>279</v>
      </c>
      <c r="M38" s="14" t="s">
        <v>280</v>
      </c>
      <c r="N38" s="14" t="s">
        <v>281</v>
      </c>
      <c r="O38" s="14" t="s">
        <v>282</v>
      </c>
      <c r="P38" s="14" t="s">
        <v>283</v>
      </c>
      <c r="Q38" s="14" t="s">
        <v>284</v>
      </c>
      <c r="R38" s="14" t="s">
        <v>904</v>
      </c>
      <c r="S38" s="14" t="s">
        <v>285</v>
      </c>
      <c r="T38" s="14" t="s">
        <v>289</v>
      </c>
      <c r="U38" s="14" t="s">
        <v>8</v>
      </c>
      <c r="V38" s="14" t="s">
        <v>9</v>
      </c>
      <c r="W38" s="14" t="s">
        <v>10</v>
      </c>
      <c r="X38" s="14" t="s">
        <v>100</v>
      </c>
      <c r="Y38" s="14" t="s">
        <v>106</v>
      </c>
      <c r="Z38" s="14" t="s">
        <v>12</v>
      </c>
      <c r="AA38" s="14" t="s">
        <v>258</v>
      </c>
      <c r="AB38" s="14" t="s">
        <v>13</v>
      </c>
      <c r="AC38" s="14" t="s">
        <v>74</v>
      </c>
      <c r="AD38" s="14" t="s">
        <v>21</v>
      </c>
      <c r="AE38" s="14" t="s">
        <v>14</v>
      </c>
      <c r="AF38" s="14" t="s">
        <v>15</v>
      </c>
      <c r="AG38" s="14" t="s">
        <v>16</v>
      </c>
      <c r="AH38" s="15" t="s">
        <v>17</v>
      </c>
      <c r="AI38" s="14" t="s">
        <v>679</v>
      </c>
      <c r="AJ38" s="14" t="s">
        <v>678</v>
      </c>
      <c r="AL38" s="368">
        <f>AL8-AL34</f>
        <v>215485.06933999964</v>
      </c>
      <c r="AM38" s="370">
        <f>AL38*30%</f>
        <v>64645.52080199989</v>
      </c>
      <c r="AN38" s="12"/>
    </row>
    <row r="39" spans="1:41" x14ac:dyDescent="0.35">
      <c r="A39" s="20"/>
      <c r="B39" s="21"/>
      <c r="C39" s="21"/>
      <c r="D39" s="44"/>
      <c r="E39" s="44" t="s">
        <v>652</v>
      </c>
      <c r="F39" s="21"/>
      <c r="G39" s="21"/>
      <c r="H39" s="353"/>
      <c r="I39" s="33">
        <v>0</v>
      </c>
      <c r="J39" s="24" t="str">
        <f>IFERROR(K39/H39,"")</f>
        <v/>
      </c>
      <c r="K39" s="22">
        <v>0</v>
      </c>
      <c r="L39" s="21"/>
      <c r="M39" s="21"/>
      <c r="N39" s="21"/>
      <c r="O39" s="21"/>
      <c r="P39" s="21"/>
      <c r="Q39" s="21"/>
      <c r="R39" s="21"/>
      <c r="S39" s="21"/>
      <c r="T39" s="21"/>
      <c r="U39" s="25">
        <v>0</v>
      </c>
      <c r="V39" s="25">
        <f>H39*U39*I39/15</f>
        <v>0</v>
      </c>
      <c r="W39" s="25">
        <v>0</v>
      </c>
      <c r="X39" s="25" t="str">
        <f>IFERROR(IFERROR((H39*W39*J39/15),""),"")</f>
        <v/>
      </c>
      <c r="Y39" s="25">
        <v>0</v>
      </c>
      <c r="Z39" s="25">
        <v>0</v>
      </c>
      <c r="AA39" s="25">
        <v>0</v>
      </c>
      <c r="AB39" s="25">
        <v>0</v>
      </c>
      <c r="AC39" s="25">
        <v>0</v>
      </c>
      <c r="AD39" s="25">
        <f>IF(F39="",G39*4.24,F39*4.24)</f>
        <v>0</v>
      </c>
      <c r="AE39" s="25" t="str">
        <f>IFERROR(IFERROR((X39*0.2%),""),"")</f>
        <v/>
      </c>
      <c r="AF39" s="25">
        <f>V39+Y39+Z39+AA39+AB39+AC39+AD39</f>
        <v>0</v>
      </c>
      <c r="AG39" s="25" t="str">
        <f>IFERROR(IFERROR((H39*W39*J39/15)-AE39,""),"")</f>
        <v/>
      </c>
      <c r="AH39" s="26">
        <f>IFERROR(AG39-AF39,0)</f>
        <v>0</v>
      </c>
      <c r="AI39" s="25">
        <f>(F39+G39)/$AL$7*$AL$29</f>
        <v>0</v>
      </c>
      <c r="AJ39" s="25">
        <f>(AH39-AI39)*70%</f>
        <v>0</v>
      </c>
      <c r="AL39" s="57"/>
      <c r="AM39" s="371"/>
      <c r="AN39" s="246"/>
    </row>
    <row r="40" spans="1:41" x14ac:dyDescent="0.35">
      <c r="A40" s="21"/>
      <c r="B40" s="21"/>
      <c r="C40" s="21"/>
      <c r="D40" s="21"/>
      <c r="E40" s="21"/>
      <c r="F40" s="21"/>
      <c r="G40" s="21"/>
      <c r="H40" s="26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3"/>
      <c r="AA40" s="21"/>
      <c r="AB40" s="21"/>
      <c r="AC40" s="21"/>
      <c r="AD40" s="21"/>
      <c r="AE40" s="21"/>
      <c r="AF40" s="21"/>
      <c r="AG40" s="21"/>
      <c r="AH40" s="26">
        <f>IFERROR(AH39/F39,0)+IFERROR(AH39/G39,0)</f>
        <v>0</v>
      </c>
      <c r="AI40" s="21"/>
      <c r="AJ40" s="21"/>
      <c r="AL40" s="57"/>
      <c r="AM40" s="372">
        <v>0</v>
      </c>
      <c r="AN40" s="284" t="s">
        <v>1052</v>
      </c>
    </row>
    <row r="41" spans="1:41" x14ac:dyDescent="0.35">
      <c r="A41" s="21"/>
      <c r="B41" s="21"/>
      <c r="C41" s="21"/>
      <c r="D41" s="21"/>
      <c r="E41" s="21"/>
      <c r="F41" s="21"/>
      <c r="G41" s="21"/>
      <c r="H41" s="26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7" t="str">
        <f>IFERROR(AH39/AG39,"")</f>
        <v/>
      </c>
      <c r="AI41" s="21"/>
      <c r="AJ41" s="21"/>
    </row>
    <row r="42" spans="1:41" x14ac:dyDescent="0.35">
      <c r="A42" s="21"/>
      <c r="B42" s="21"/>
      <c r="C42" s="21"/>
      <c r="D42" s="21"/>
      <c r="E42" s="21"/>
      <c r="F42" s="21"/>
      <c r="G42" s="21"/>
      <c r="H42" s="26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47"/>
      <c r="AI42" s="21"/>
      <c r="AJ42" s="21"/>
      <c r="AM42" s="373">
        <f>AM38+AM40</f>
        <v>64645.52080199989</v>
      </c>
      <c r="AN42" s="369" t="s">
        <v>897</v>
      </c>
    </row>
    <row r="43" spans="1:41" x14ac:dyDescent="0.35">
      <c r="A43" s="14" t="s">
        <v>1</v>
      </c>
      <c r="B43" s="14" t="s">
        <v>2</v>
      </c>
      <c r="C43" s="14" t="s">
        <v>110</v>
      </c>
      <c r="D43" s="14" t="s">
        <v>66</v>
      </c>
      <c r="E43" s="14" t="s">
        <v>638</v>
      </c>
      <c r="F43" s="14" t="s">
        <v>137</v>
      </c>
      <c r="G43" s="14" t="s">
        <v>138</v>
      </c>
      <c r="H43" s="308" t="s">
        <v>4</v>
      </c>
      <c r="I43" s="14" t="s">
        <v>5</v>
      </c>
      <c r="J43" s="14" t="s">
        <v>6</v>
      </c>
      <c r="K43" s="14" t="s">
        <v>7</v>
      </c>
      <c r="L43" s="14" t="s">
        <v>279</v>
      </c>
      <c r="M43" s="14" t="s">
        <v>280</v>
      </c>
      <c r="N43" s="14" t="s">
        <v>281</v>
      </c>
      <c r="O43" s="14" t="s">
        <v>282</v>
      </c>
      <c r="P43" s="14" t="s">
        <v>283</v>
      </c>
      <c r="Q43" s="14" t="s">
        <v>284</v>
      </c>
      <c r="R43" s="14" t="s">
        <v>904</v>
      </c>
      <c r="S43" s="14" t="s">
        <v>285</v>
      </c>
      <c r="T43" s="14" t="s">
        <v>289</v>
      </c>
      <c r="U43" s="14" t="s">
        <v>8</v>
      </c>
      <c r="V43" s="14" t="s">
        <v>9</v>
      </c>
      <c r="W43" s="14" t="s">
        <v>10</v>
      </c>
      <c r="X43" s="14" t="s">
        <v>100</v>
      </c>
      <c r="Y43" s="14" t="s">
        <v>106</v>
      </c>
      <c r="Z43" s="14" t="s">
        <v>12</v>
      </c>
      <c r="AA43" s="14" t="s">
        <v>258</v>
      </c>
      <c r="AB43" s="14" t="s">
        <v>13</v>
      </c>
      <c r="AC43" s="14" t="s">
        <v>74</v>
      </c>
      <c r="AD43" s="14" t="s">
        <v>21</v>
      </c>
      <c r="AE43" s="14" t="s">
        <v>14</v>
      </c>
      <c r="AF43" s="14" t="s">
        <v>15</v>
      </c>
      <c r="AG43" s="14" t="s">
        <v>16</v>
      </c>
      <c r="AH43" s="15" t="s">
        <v>17</v>
      </c>
      <c r="AI43" s="14" t="s">
        <v>679</v>
      </c>
      <c r="AJ43" s="14" t="s">
        <v>678</v>
      </c>
    </row>
    <row r="44" spans="1:41" x14ac:dyDescent="0.35">
      <c r="A44" s="20"/>
      <c r="B44" s="21"/>
      <c r="C44" s="21"/>
      <c r="D44" s="44"/>
      <c r="E44" s="44" t="s">
        <v>652</v>
      </c>
      <c r="F44" s="21"/>
      <c r="G44" s="21"/>
      <c r="H44" s="353"/>
      <c r="I44" s="33">
        <v>0</v>
      </c>
      <c r="J44" s="24" t="str">
        <f>IFERROR(K44/H44,"")</f>
        <v/>
      </c>
      <c r="K44" s="22">
        <v>0</v>
      </c>
      <c r="L44" s="21"/>
      <c r="M44" s="21"/>
      <c r="N44" s="21"/>
      <c r="O44" s="21"/>
      <c r="P44" s="21"/>
      <c r="Q44" s="21"/>
      <c r="R44" s="21"/>
      <c r="S44" s="21"/>
      <c r="T44" s="21"/>
      <c r="U44" s="25">
        <v>0</v>
      </c>
      <c r="V44" s="25">
        <f>H44*U44*I44/15</f>
        <v>0</v>
      </c>
      <c r="W44" s="25">
        <v>0</v>
      </c>
      <c r="X44" s="25" t="str">
        <f>IFERROR(IFERROR((H44*W44*J44/15),""),"")</f>
        <v/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f>IF(F44="",G44*4.24,F44*4.24)</f>
        <v>0</v>
      </c>
      <c r="AE44" s="25" t="str">
        <f>IFERROR(IFERROR((X44*0.2%),""),"")</f>
        <v/>
      </c>
      <c r="AF44" s="25">
        <f>V44+Y44+Z44+AA44+AB44+AC44+AD44</f>
        <v>0</v>
      </c>
      <c r="AG44" s="25" t="str">
        <f>IFERROR(IFERROR((H44*W44*J44/15)-AE44,""),"")</f>
        <v/>
      </c>
      <c r="AH44" s="26">
        <f>IFERROR(AG44-AF44,0)</f>
        <v>0</v>
      </c>
      <c r="AI44" s="25">
        <f>(F44+G44)/$AL$7*$AL$29</f>
        <v>0</v>
      </c>
      <c r="AJ44" s="25">
        <f>(AH44-AI44)*70%</f>
        <v>0</v>
      </c>
    </row>
    <row r="45" spans="1:41" x14ac:dyDescent="0.35">
      <c r="A45" s="21"/>
      <c r="B45" s="21"/>
      <c r="C45" s="21"/>
      <c r="D45" s="21"/>
      <c r="E45" s="21"/>
      <c r="F45" s="21"/>
      <c r="G45" s="21"/>
      <c r="H45" s="26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3"/>
      <c r="AA45" s="21"/>
      <c r="AB45" s="21"/>
      <c r="AC45" s="21"/>
      <c r="AD45" s="21"/>
      <c r="AE45" s="21"/>
      <c r="AF45" s="21"/>
      <c r="AG45" s="21"/>
      <c r="AH45" s="26">
        <f>IFERROR(AH44/F44,0)+IFERROR(AH44/G44,0)</f>
        <v>0</v>
      </c>
      <c r="AI45" s="21"/>
      <c r="AJ45" s="21"/>
    </row>
    <row r="46" spans="1:41" x14ac:dyDescent="0.35">
      <c r="A46" s="21"/>
      <c r="B46" s="21"/>
      <c r="C46" s="21"/>
      <c r="D46" s="21"/>
      <c r="E46" s="21"/>
      <c r="F46" s="21"/>
      <c r="G46" s="21"/>
      <c r="H46" s="26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7" t="str">
        <f>IFERROR(AH44/AG44,"")</f>
        <v/>
      </c>
      <c r="AI46" s="21"/>
      <c r="AJ46" s="21"/>
    </row>
    <row r="47" spans="1:41" x14ac:dyDescent="0.35">
      <c r="A47" s="21"/>
      <c r="B47" s="21"/>
      <c r="C47" s="21"/>
      <c r="D47" s="21"/>
      <c r="E47" s="21"/>
      <c r="F47" s="21"/>
      <c r="G47" s="21"/>
      <c r="H47" s="26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47"/>
      <c r="AI47" s="21"/>
      <c r="AJ47" s="21"/>
    </row>
    <row r="48" spans="1:41" x14ac:dyDescent="0.35">
      <c r="A48" s="14" t="s">
        <v>1</v>
      </c>
      <c r="B48" s="14" t="s">
        <v>2</v>
      </c>
      <c r="C48" s="14" t="s">
        <v>110</v>
      </c>
      <c r="D48" s="14" t="s">
        <v>66</v>
      </c>
      <c r="E48" s="14" t="s">
        <v>638</v>
      </c>
      <c r="F48" s="14" t="s">
        <v>137</v>
      </c>
      <c r="G48" s="14" t="s">
        <v>138</v>
      </c>
      <c r="H48" s="308" t="s">
        <v>4</v>
      </c>
      <c r="I48" s="14" t="s">
        <v>5</v>
      </c>
      <c r="J48" s="14" t="s">
        <v>6</v>
      </c>
      <c r="K48" s="14" t="s">
        <v>7</v>
      </c>
      <c r="L48" s="14" t="s">
        <v>279</v>
      </c>
      <c r="M48" s="14" t="s">
        <v>280</v>
      </c>
      <c r="N48" s="14" t="s">
        <v>281</v>
      </c>
      <c r="O48" s="14" t="s">
        <v>282</v>
      </c>
      <c r="P48" s="14" t="s">
        <v>283</v>
      </c>
      <c r="Q48" s="14" t="s">
        <v>284</v>
      </c>
      <c r="R48" s="14" t="s">
        <v>904</v>
      </c>
      <c r="S48" s="14" t="s">
        <v>285</v>
      </c>
      <c r="T48" s="14" t="s">
        <v>289</v>
      </c>
      <c r="U48" s="14" t="s">
        <v>8</v>
      </c>
      <c r="V48" s="14" t="s">
        <v>9</v>
      </c>
      <c r="W48" s="14" t="s">
        <v>10</v>
      </c>
      <c r="X48" s="14" t="s">
        <v>100</v>
      </c>
      <c r="Y48" s="14" t="s">
        <v>106</v>
      </c>
      <c r="Z48" s="14" t="s">
        <v>12</v>
      </c>
      <c r="AA48" s="14" t="s">
        <v>258</v>
      </c>
      <c r="AB48" s="14" t="s">
        <v>13</v>
      </c>
      <c r="AC48" s="14" t="s">
        <v>74</v>
      </c>
      <c r="AD48" s="14" t="s">
        <v>21</v>
      </c>
      <c r="AE48" s="14" t="s">
        <v>14</v>
      </c>
      <c r="AF48" s="14" t="s">
        <v>15</v>
      </c>
      <c r="AG48" s="14" t="s">
        <v>16</v>
      </c>
      <c r="AH48" s="15" t="s">
        <v>17</v>
      </c>
      <c r="AI48" s="14" t="s">
        <v>679</v>
      </c>
      <c r="AJ48" s="14" t="s">
        <v>678</v>
      </c>
    </row>
    <row r="49" spans="1:40" x14ac:dyDescent="0.35">
      <c r="A49" s="20"/>
      <c r="B49" s="21"/>
      <c r="C49" s="21"/>
      <c r="D49" s="44"/>
      <c r="E49" s="44" t="s">
        <v>652</v>
      </c>
      <c r="F49" s="21"/>
      <c r="G49" s="21"/>
      <c r="H49" s="353"/>
      <c r="I49" s="33">
        <v>0</v>
      </c>
      <c r="J49" s="24" t="str">
        <f>IFERROR(K49/H49,"")</f>
        <v/>
      </c>
      <c r="K49" s="22">
        <v>0</v>
      </c>
      <c r="L49" s="21"/>
      <c r="M49" s="21"/>
      <c r="N49" s="21"/>
      <c r="O49" s="21"/>
      <c r="P49" s="21"/>
      <c r="Q49" s="21"/>
      <c r="R49" s="21"/>
      <c r="S49" s="21"/>
      <c r="T49" s="21"/>
      <c r="U49" s="25">
        <v>0</v>
      </c>
      <c r="V49" s="25">
        <f>H49*U49*I49/15</f>
        <v>0</v>
      </c>
      <c r="W49" s="25">
        <v>0</v>
      </c>
      <c r="X49" s="25" t="str">
        <f>IFERROR(IFERROR((H49*W49*J49/15),""),"")</f>
        <v/>
      </c>
      <c r="Y49" s="25"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f>IF(F49="",G49*4.24,F49*4.24)</f>
        <v>0</v>
      </c>
      <c r="AE49" s="25" t="str">
        <f>IFERROR(IFERROR((X49*0.2%),""),"")</f>
        <v/>
      </c>
      <c r="AF49" s="25">
        <f>V49+Y49+Z49+AA49+AB49+AC49+AD49</f>
        <v>0</v>
      </c>
      <c r="AG49" s="25" t="str">
        <f>IFERROR(IFERROR((H49*W49*J49/15)-AE49,""),"")</f>
        <v/>
      </c>
      <c r="AH49" s="26">
        <f>IFERROR(AG49-AF49,0)</f>
        <v>0</v>
      </c>
      <c r="AI49" s="25">
        <f>(F49+G49)/$AL$7*$AL$29</f>
        <v>0</v>
      </c>
      <c r="AJ49" s="25">
        <f>(AH49-AI49)*70%</f>
        <v>0</v>
      </c>
    </row>
    <row r="50" spans="1:40" x14ac:dyDescent="0.35">
      <c r="A50" s="21"/>
      <c r="B50" s="21"/>
      <c r="C50" s="21"/>
      <c r="D50" s="21"/>
      <c r="E50" s="21"/>
      <c r="F50" s="21"/>
      <c r="G50" s="21"/>
      <c r="H50" s="26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3"/>
      <c r="AA50" s="21"/>
      <c r="AB50" s="21"/>
      <c r="AC50" s="21"/>
      <c r="AD50" s="21"/>
      <c r="AE50" s="21"/>
      <c r="AF50" s="21"/>
      <c r="AG50" s="21"/>
      <c r="AH50" s="26">
        <f>IFERROR(AH49/#REF!,0)+IFERROR(AH49/#REF!,0)</f>
        <v>0</v>
      </c>
      <c r="AI50" s="21"/>
      <c r="AJ50" s="21"/>
    </row>
    <row r="51" spans="1:40" x14ac:dyDescent="0.35">
      <c r="A51" s="21"/>
      <c r="B51" s="21"/>
      <c r="C51" s="21"/>
      <c r="D51" s="21"/>
      <c r="E51" s="21"/>
      <c r="F51" s="21"/>
      <c r="G51" s="21"/>
      <c r="H51" s="26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7" t="str">
        <f>IFERROR(AH49/AG49,"")</f>
        <v/>
      </c>
      <c r="AI51" s="21"/>
      <c r="AJ51" s="21"/>
      <c r="AL51" s="178"/>
      <c r="AM51" s="6"/>
      <c r="AN51" s="174"/>
    </row>
    <row r="52" spans="1:40" x14ac:dyDescent="0.35">
      <c r="A52" s="21"/>
      <c r="B52" s="21"/>
      <c r="C52" s="21"/>
      <c r="D52" s="21"/>
      <c r="E52" s="21"/>
      <c r="F52" s="21"/>
      <c r="G52" s="21"/>
      <c r="H52" s="26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47"/>
      <c r="AI52" s="21"/>
      <c r="AJ52" s="21"/>
    </row>
    <row r="53" spans="1:40" x14ac:dyDescent="0.35">
      <c r="A53" s="14" t="s">
        <v>1</v>
      </c>
      <c r="B53" s="14" t="s">
        <v>2</v>
      </c>
      <c r="C53" s="14" t="s">
        <v>110</v>
      </c>
      <c r="D53" s="14" t="s">
        <v>66</v>
      </c>
      <c r="E53" s="14" t="s">
        <v>638</v>
      </c>
      <c r="F53" s="14" t="s">
        <v>137</v>
      </c>
      <c r="G53" s="14" t="s">
        <v>138</v>
      </c>
      <c r="H53" s="308" t="s">
        <v>4</v>
      </c>
      <c r="I53" s="14" t="s">
        <v>5</v>
      </c>
      <c r="J53" s="14" t="s">
        <v>6</v>
      </c>
      <c r="K53" s="14" t="s">
        <v>7</v>
      </c>
      <c r="L53" s="14" t="s">
        <v>279</v>
      </c>
      <c r="M53" s="14" t="s">
        <v>280</v>
      </c>
      <c r="N53" s="14" t="s">
        <v>281</v>
      </c>
      <c r="O53" s="14" t="s">
        <v>282</v>
      </c>
      <c r="P53" s="14" t="s">
        <v>283</v>
      </c>
      <c r="Q53" s="14" t="s">
        <v>284</v>
      </c>
      <c r="R53" s="14" t="s">
        <v>904</v>
      </c>
      <c r="S53" s="14" t="s">
        <v>285</v>
      </c>
      <c r="T53" s="14" t="s">
        <v>289</v>
      </c>
      <c r="U53" s="14" t="s">
        <v>8</v>
      </c>
      <c r="V53" s="14" t="s">
        <v>9</v>
      </c>
      <c r="W53" s="14" t="s">
        <v>10</v>
      </c>
      <c r="X53" s="14" t="s">
        <v>100</v>
      </c>
      <c r="Y53" s="14" t="s">
        <v>106</v>
      </c>
      <c r="Z53" s="14" t="s">
        <v>12</v>
      </c>
      <c r="AA53" s="14" t="s">
        <v>258</v>
      </c>
      <c r="AB53" s="14" t="s">
        <v>13</v>
      </c>
      <c r="AC53" s="14" t="s">
        <v>74</v>
      </c>
      <c r="AD53" s="14" t="s">
        <v>21</v>
      </c>
      <c r="AE53" s="14" t="s">
        <v>14</v>
      </c>
      <c r="AF53" s="14" t="s">
        <v>15</v>
      </c>
      <c r="AG53" s="14" t="s">
        <v>16</v>
      </c>
      <c r="AH53" s="15" t="s">
        <v>17</v>
      </c>
      <c r="AI53" s="14" t="s">
        <v>679</v>
      </c>
      <c r="AJ53" s="14" t="s">
        <v>678</v>
      </c>
    </row>
    <row r="54" spans="1:40" x14ac:dyDescent="0.35">
      <c r="A54" s="20"/>
      <c r="B54" s="21"/>
      <c r="C54" s="21"/>
      <c r="D54" s="44"/>
      <c r="E54" s="44" t="s">
        <v>652</v>
      </c>
      <c r="F54" s="21"/>
      <c r="G54" s="21"/>
      <c r="H54" s="353"/>
      <c r="I54" s="33">
        <v>0</v>
      </c>
      <c r="J54" s="24" t="str">
        <f>IFERROR(K54/H54,"")</f>
        <v/>
      </c>
      <c r="K54" s="22">
        <v>0</v>
      </c>
      <c r="L54" s="21"/>
      <c r="M54" s="21"/>
      <c r="N54" s="21"/>
      <c r="O54" s="21"/>
      <c r="P54" s="21"/>
      <c r="Q54" s="21"/>
      <c r="R54" s="21"/>
      <c r="S54" s="21"/>
      <c r="T54" s="21"/>
      <c r="U54" s="25">
        <v>0</v>
      </c>
      <c r="V54" s="25">
        <f>H54*U54*I54/15</f>
        <v>0</v>
      </c>
      <c r="W54" s="25">
        <v>0</v>
      </c>
      <c r="X54" s="25" t="str">
        <f>IFERROR(IFERROR((H54*W54*J54/15),""),"")</f>
        <v/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f>IF(F54="",G54*4.24,F54*4.24)</f>
        <v>0</v>
      </c>
      <c r="AE54" s="25" t="str">
        <f>IFERROR(IFERROR((X54*0.2%),""),"")</f>
        <v/>
      </c>
      <c r="AF54" s="25">
        <f>V54+Y54+Z54+AA54+AB54+AC54+AD54</f>
        <v>0</v>
      </c>
      <c r="AG54" s="25" t="str">
        <f>IFERROR(IFERROR((H54*W54*J54/15)-AE54,""),"")</f>
        <v/>
      </c>
      <c r="AH54" s="26">
        <f>IFERROR(AG54-AF54,0)</f>
        <v>0</v>
      </c>
      <c r="AI54" s="25">
        <f>(F54+G54)/$AL$7*$AL$29</f>
        <v>0</v>
      </c>
      <c r="AJ54" s="25">
        <f>(AH54-AI54)*70%</f>
        <v>0</v>
      </c>
      <c r="AM54">
        <f>AM50+(AM52)</f>
        <v>0</v>
      </c>
      <c r="AN54" t="s">
        <v>897</v>
      </c>
    </row>
    <row r="55" spans="1:40" x14ac:dyDescent="0.35">
      <c r="A55" s="21"/>
      <c r="B55" s="21"/>
      <c r="C55" s="21"/>
      <c r="D55" s="21"/>
      <c r="E55" s="21"/>
      <c r="F55" s="21"/>
      <c r="G55" s="21"/>
      <c r="H55" s="26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3"/>
      <c r="AA55" s="21"/>
      <c r="AB55" s="21"/>
      <c r="AC55" s="21"/>
      <c r="AD55" s="21"/>
      <c r="AE55" s="21"/>
      <c r="AF55" s="21"/>
      <c r="AG55" s="21"/>
      <c r="AH55" s="26">
        <f>IFERROR(AH54/F54,0)+IFERROR(AH54/G54,0)</f>
        <v>0</v>
      </c>
      <c r="AI55" s="21"/>
      <c r="AJ55" s="21"/>
    </row>
    <row r="56" spans="1:40" x14ac:dyDescent="0.35">
      <c r="A56" s="21"/>
      <c r="B56" s="21"/>
      <c r="C56" s="21"/>
      <c r="D56" s="21"/>
      <c r="E56" s="21"/>
      <c r="F56" s="21"/>
      <c r="G56" s="21"/>
      <c r="H56" s="26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7" t="str">
        <f>IFERROR(AH54/AG54,"")</f>
        <v/>
      </c>
      <c r="AI56" s="21"/>
      <c r="AJ56" s="21"/>
      <c r="AL56" s="178"/>
      <c r="AM56" s="6"/>
      <c r="AN56" s="174"/>
    </row>
    <row r="57" spans="1:40" x14ac:dyDescent="0.35">
      <c r="A57" s="21"/>
      <c r="B57" s="21"/>
      <c r="C57" s="21"/>
      <c r="D57" s="21"/>
      <c r="E57" s="21"/>
      <c r="F57" s="21"/>
      <c r="G57" s="21"/>
      <c r="H57" s="26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47"/>
      <c r="AI57" s="21"/>
      <c r="AJ57" s="21"/>
    </row>
    <row r="58" spans="1:40" x14ac:dyDescent="0.35">
      <c r="A58" s="14" t="s">
        <v>1</v>
      </c>
      <c r="B58" s="14" t="s">
        <v>2</v>
      </c>
      <c r="C58" s="14" t="s">
        <v>110</v>
      </c>
      <c r="D58" s="14" t="s">
        <v>66</v>
      </c>
      <c r="E58" s="14" t="s">
        <v>638</v>
      </c>
      <c r="F58" s="14" t="s">
        <v>137</v>
      </c>
      <c r="G58" s="14" t="s">
        <v>138</v>
      </c>
      <c r="H58" s="308" t="s">
        <v>4</v>
      </c>
      <c r="I58" s="14" t="s">
        <v>5</v>
      </c>
      <c r="J58" s="14" t="s">
        <v>6</v>
      </c>
      <c r="K58" s="14" t="s">
        <v>7</v>
      </c>
      <c r="L58" s="14" t="s">
        <v>279</v>
      </c>
      <c r="M58" s="14" t="s">
        <v>280</v>
      </c>
      <c r="N58" s="14" t="s">
        <v>281</v>
      </c>
      <c r="O58" s="14" t="s">
        <v>282</v>
      </c>
      <c r="P58" s="14" t="s">
        <v>283</v>
      </c>
      <c r="Q58" s="14" t="s">
        <v>284</v>
      </c>
      <c r="R58" s="14" t="s">
        <v>904</v>
      </c>
      <c r="S58" s="14" t="s">
        <v>285</v>
      </c>
      <c r="T58" s="14" t="s">
        <v>289</v>
      </c>
      <c r="U58" s="14" t="s">
        <v>8</v>
      </c>
      <c r="V58" s="14" t="s">
        <v>9</v>
      </c>
      <c r="W58" s="14" t="s">
        <v>10</v>
      </c>
      <c r="X58" s="14" t="s">
        <v>100</v>
      </c>
      <c r="Y58" s="14" t="s">
        <v>106</v>
      </c>
      <c r="Z58" s="14" t="s">
        <v>12</v>
      </c>
      <c r="AA58" s="14" t="s">
        <v>258</v>
      </c>
      <c r="AB58" s="14" t="s">
        <v>13</v>
      </c>
      <c r="AC58" s="14" t="s">
        <v>74</v>
      </c>
      <c r="AD58" s="14" t="s">
        <v>21</v>
      </c>
      <c r="AE58" s="14" t="s">
        <v>14</v>
      </c>
      <c r="AF58" s="14" t="s">
        <v>15</v>
      </c>
      <c r="AG58" s="14" t="s">
        <v>16</v>
      </c>
      <c r="AH58" s="15" t="s">
        <v>17</v>
      </c>
      <c r="AI58" s="14" t="s">
        <v>679</v>
      </c>
      <c r="AJ58" s="14" t="s">
        <v>678</v>
      </c>
    </row>
    <row r="59" spans="1:40" x14ac:dyDescent="0.35">
      <c r="A59" s="20"/>
      <c r="B59" s="21"/>
      <c r="C59" s="21"/>
      <c r="D59" s="44"/>
      <c r="E59" s="44" t="s">
        <v>652</v>
      </c>
      <c r="F59" s="21"/>
      <c r="G59" s="21"/>
      <c r="H59" s="353"/>
      <c r="I59" s="33">
        <v>0</v>
      </c>
      <c r="J59" s="24" t="str">
        <f>IFERROR(K59/H59,"")</f>
        <v/>
      </c>
      <c r="K59" s="22">
        <v>0</v>
      </c>
      <c r="L59" s="21"/>
      <c r="M59" s="21"/>
      <c r="N59" s="21"/>
      <c r="O59" s="21"/>
      <c r="P59" s="21"/>
      <c r="Q59" s="21"/>
      <c r="R59" s="21"/>
      <c r="S59" s="21"/>
      <c r="T59" s="21"/>
      <c r="U59" s="25">
        <v>0</v>
      </c>
      <c r="V59" s="25">
        <f>H59*U59*I59/15</f>
        <v>0</v>
      </c>
      <c r="W59" s="25">
        <v>0</v>
      </c>
      <c r="X59" s="25" t="str">
        <f>IFERROR(IFERROR((H59*W59*J59/15),""),"")</f>
        <v/>
      </c>
      <c r="Y59" s="25">
        <v>0</v>
      </c>
      <c r="Z59" s="25">
        <v>0</v>
      </c>
      <c r="AA59" s="25">
        <v>0</v>
      </c>
      <c r="AB59" s="25">
        <v>0</v>
      </c>
      <c r="AC59" s="25">
        <v>0</v>
      </c>
      <c r="AD59" s="25">
        <f>IF(F59="",G59*4.24,F59*4.24)</f>
        <v>0</v>
      </c>
      <c r="AE59" s="25" t="str">
        <f>IFERROR(IFERROR((X59*0.2%),""),"")</f>
        <v/>
      </c>
      <c r="AF59" s="25">
        <f>V59+Y59+Z59+AA59+AB59+AC59+AD59</f>
        <v>0</v>
      </c>
      <c r="AG59" s="25" t="str">
        <f>IFERROR(IFERROR((H59*W59*J59/15)-AE59,""),"")</f>
        <v/>
      </c>
      <c r="AH59" s="26">
        <f>IFERROR(AG59-AF59,0)</f>
        <v>0</v>
      </c>
      <c r="AI59" s="25">
        <f>(F59+G59)/$AL$7*$AL$29</f>
        <v>0</v>
      </c>
      <c r="AJ59" s="25">
        <f>(AH59-AI59)*70%</f>
        <v>0</v>
      </c>
    </row>
    <row r="60" spans="1:40" x14ac:dyDescent="0.35">
      <c r="A60" s="21"/>
      <c r="B60" s="21"/>
      <c r="C60" s="21"/>
      <c r="D60" s="21"/>
      <c r="E60" s="21"/>
      <c r="F60" s="21"/>
      <c r="G60" s="21"/>
      <c r="H60" s="261"/>
      <c r="I60" s="21"/>
      <c r="J60" s="21"/>
      <c r="K60" s="22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3"/>
      <c r="AA60" s="21"/>
      <c r="AB60" s="21"/>
      <c r="AC60" s="21"/>
      <c r="AD60" s="21"/>
      <c r="AE60" s="21"/>
      <c r="AF60" s="21"/>
      <c r="AG60" s="21"/>
      <c r="AH60" s="26">
        <f>IFERROR(AH59/F59,0)+IFERROR(AH59/G59,0)</f>
        <v>0</v>
      </c>
      <c r="AI60" s="21"/>
      <c r="AJ60" s="21"/>
    </row>
    <row r="61" spans="1:40" x14ac:dyDescent="0.35">
      <c r="A61" s="21"/>
      <c r="B61" s="21"/>
      <c r="C61" s="21"/>
      <c r="D61" s="21"/>
      <c r="E61" s="21"/>
      <c r="F61" s="21"/>
      <c r="G61" s="21"/>
      <c r="H61" s="26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7" t="str">
        <f>IFERROR(AH59/AG59,"")</f>
        <v/>
      </c>
      <c r="AI61" s="21"/>
      <c r="AJ61" s="21"/>
    </row>
    <row r="62" spans="1:40" x14ac:dyDescent="0.35">
      <c r="A62" s="21"/>
      <c r="B62" s="21"/>
      <c r="C62" s="21"/>
      <c r="D62" s="21"/>
      <c r="E62" s="21"/>
      <c r="F62" s="21"/>
      <c r="G62" s="21"/>
      <c r="H62" s="26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47"/>
      <c r="AI62" s="21"/>
      <c r="AJ62" s="21"/>
    </row>
    <row r="63" spans="1:40" x14ac:dyDescent="0.35">
      <c r="A63" s="14" t="s">
        <v>1</v>
      </c>
      <c r="B63" s="14" t="s">
        <v>2</v>
      </c>
      <c r="C63" s="14" t="s">
        <v>110</v>
      </c>
      <c r="D63" s="14" t="s">
        <v>66</v>
      </c>
      <c r="E63" s="14" t="s">
        <v>638</v>
      </c>
      <c r="F63" s="14" t="s">
        <v>137</v>
      </c>
      <c r="G63" s="14" t="s">
        <v>138</v>
      </c>
      <c r="H63" s="308" t="s">
        <v>4</v>
      </c>
      <c r="I63" s="14" t="s">
        <v>5</v>
      </c>
      <c r="J63" s="14" t="s">
        <v>6</v>
      </c>
      <c r="K63" s="14" t="s">
        <v>7</v>
      </c>
      <c r="L63" s="14" t="s">
        <v>279</v>
      </c>
      <c r="M63" s="14" t="s">
        <v>280</v>
      </c>
      <c r="N63" s="14" t="s">
        <v>281</v>
      </c>
      <c r="O63" s="14" t="s">
        <v>282</v>
      </c>
      <c r="P63" s="14" t="s">
        <v>283</v>
      </c>
      <c r="Q63" s="14" t="s">
        <v>284</v>
      </c>
      <c r="R63" s="14" t="s">
        <v>904</v>
      </c>
      <c r="S63" s="14" t="s">
        <v>285</v>
      </c>
      <c r="T63" s="14" t="s">
        <v>289</v>
      </c>
      <c r="U63" s="14" t="s">
        <v>8</v>
      </c>
      <c r="V63" s="14" t="s">
        <v>9</v>
      </c>
      <c r="W63" s="14" t="s">
        <v>10</v>
      </c>
      <c r="X63" s="14" t="s">
        <v>100</v>
      </c>
      <c r="Y63" s="14" t="s">
        <v>106</v>
      </c>
      <c r="Z63" s="14" t="s">
        <v>12</v>
      </c>
      <c r="AA63" s="14" t="s">
        <v>258</v>
      </c>
      <c r="AB63" s="14" t="s">
        <v>13</v>
      </c>
      <c r="AC63" s="14" t="s">
        <v>74</v>
      </c>
      <c r="AD63" s="14" t="s">
        <v>21</v>
      </c>
      <c r="AE63" s="14" t="s">
        <v>14</v>
      </c>
      <c r="AF63" s="14" t="s">
        <v>15</v>
      </c>
      <c r="AG63" s="14" t="s">
        <v>16</v>
      </c>
      <c r="AH63" s="15" t="s">
        <v>17</v>
      </c>
      <c r="AI63" s="14" t="s">
        <v>679</v>
      </c>
      <c r="AJ63" s="14" t="s">
        <v>678</v>
      </c>
    </row>
    <row r="64" spans="1:40" x14ac:dyDescent="0.35">
      <c r="A64" s="20"/>
      <c r="B64" s="21"/>
      <c r="C64" s="21"/>
      <c r="D64" s="44"/>
      <c r="E64" s="44" t="s">
        <v>652</v>
      </c>
      <c r="F64" s="21"/>
      <c r="G64" s="21"/>
      <c r="H64" s="353"/>
      <c r="I64" s="33">
        <v>0</v>
      </c>
      <c r="J64" s="24" t="str">
        <f>IFERROR(K64/H64,"")</f>
        <v/>
      </c>
      <c r="K64" s="22">
        <v>0</v>
      </c>
      <c r="L64" s="21"/>
      <c r="M64" s="21"/>
      <c r="N64" s="21"/>
      <c r="O64" s="21"/>
      <c r="P64" s="21"/>
      <c r="Q64" s="21"/>
      <c r="R64" s="21"/>
      <c r="S64" s="21"/>
      <c r="T64" s="21"/>
      <c r="U64" s="25">
        <v>0</v>
      </c>
      <c r="V64" s="25">
        <f>H64*U64*I64/15</f>
        <v>0</v>
      </c>
      <c r="W64" s="25">
        <v>0</v>
      </c>
      <c r="X64" s="25" t="str">
        <f>IFERROR(IFERROR((H64*W64*J64/15),""),"")</f>
        <v/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f>IF(F64="",G64*4.24,F64*4.24)</f>
        <v>0</v>
      </c>
      <c r="AE64" s="25" t="str">
        <f>IFERROR(IFERROR((X64*0.2%),""),"")</f>
        <v/>
      </c>
      <c r="AF64" s="25">
        <f>V64+Y64+Z64+AA64+AB64+AC64+AD64</f>
        <v>0</v>
      </c>
      <c r="AG64" s="25" t="str">
        <f>IFERROR(IFERROR((H64*W64*J64/15)-AE64,""),"")</f>
        <v/>
      </c>
      <c r="AH64" s="26">
        <f>IFERROR(AG64-AF64,0)</f>
        <v>0</v>
      </c>
      <c r="AI64" s="25">
        <f>(F64+G64)/$AL$7*$AL$29</f>
        <v>0</v>
      </c>
      <c r="AJ64" s="25">
        <f>(AH64-AI64)*70%</f>
        <v>0</v>
      </c>
    </row>
    <row r="65" spans="1:36" x14ac:dyDescent="0.35">
      <c r="A65" s="21"/>
      <c r="B65" s="21"/>
      <c r="C65" s="21"/>
      <c r="D65" s="21"/>
      <c r="E65" s="21"/>
      <c r="F65" s="21"/>
      <c r="G65" s="21"/>
      <c r="H65" s="26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3"/>
      <c r="AA65" s="21"/>
      <c r="AB65" s="21"/>
      <c r="AC65" s="21"/>
      <c r="AD65" s="21"/>
      <c r="AE65" s="21"/>
      <c r="AF65" s="21"/>
      <c r="AG65" s="21"/>
      <c r="AH65" s="26">
        <f>IFERROR(AH64/F64,0)+IFERROR(AH64/G64,0)</f>
        <v>0</v>
      </c>
      <c r="AI65" s="21"/>
      <c r="AJ65" s="21"/>
    </row>
    <row r="66" spans="1:36" x14ac:dyDescent="0.35">
      <c r="A66" s="21"/>
      <c r="B66" s="21"/>
      <c r="C66" s="21"/>
      <c r="D66" s="21"/>
      <c r="E66" s="21"/>
      <c r="F66" s="21"/>
      <c r="G66" s="21"/>
      <c r="H66" s="26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7" t="str">
        <f>IFERROR(AH64/AG64,"")</f>
        <v/>
      </c>
      <c r="AI66" s="21"/>
      <c r="AJ66" s="21"/>
    </row>
    <row r="67" spans="1:36" x14ac:dyDescent="0.35">
      <c r="A67" s="21"/>
      <c r="B67" s="21"/>
      <c r="C67" s="21"/>
      <c r="D67" s="21"/>
      <c r="E67" s="21"/>
      <c r="F67" s="21"/>
      <c r="G67" s="21"/>
      <c r="H67" s="26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47"/>
      <c r="AI67" s="21"/>
      <c r="AJ67" s="21"/>
    </row>
    <row r="68" spans="1:36" x14ac:dyDescent="0.35">
      <c r="A68" s="14" t="s">
        <v>1</v>
      </c>
      <c r="B68" s="14" t="s">
        <v>2</v>
      </c>
      <c r="C68" s="14" t="s">
        <v>110</v>
      </c>
      <c r="D68" s="14" t="s">
        <v>66</v>
      </c>
      <c r="E68" s="14" t="s">
        <v>638</v>
      </c>
      <c r="F68" s="14" t="s">
        <v>137</v>
      </c>
      <c r="G68" s="14" t="s">
        <v>138</v>
      </c>
      <c r="H68" s="308" t="s">
        <v>4</v>
      </c>
      <c r="I68" s="14" t="s">
        <v>5</v>
      </c>
      <c r="J68" s="14" t="s">
        <v>6</v>
      </c>
      <c r="K68" s="14" t="s">
        <v>7</v>
      </c>
      <c r="L68" s="14" t="s">
        <v>279</v>
      </c>
      <c r="M68" s="14" t="s">
        <v>280</v>
      </c>
      <c r="N68" s="14" t="s">
        <v>281</v>
      </c>
      <c r="O68" s="14" t="s">
        <v>282</v>
      </c>
      <c r="P68" s="14" t="s">
        <v>283</v>
      </c>
      <c r="Q68" s="14" t="s">
        <v>284</v>
      </c>
      <c r="R68" s="14" t="s">
        <v>904</v>
      </c>
      <c r="S68" s="14" t="s">
        <v>285</v>
      </c>
      <c r="T68" s="14" t="s">
        <v>289</v>
      </c>
      <c r="U68" s="14" t="s">
        <v>8</v>
      </c>
      <c r="V68" s="14" t="s">
        <v>9</v>
      </c>
      <c r="W68" s="14" t="s">
        <v>10</v>
      </c>
      <c r="X68" s="14" t="s">
        <v>100</v>
      </c>
      <c r="Y68" s="14" t="s">
        <v>106</v>
      </c>
      <c r="Z68" s="14" t="s">
        <v>12</v>
      </c>
      <c r="AA68" s="14" t="s">
        <v>258</v>
      </c>
      <c r="AB68" s="14" t="s">
        <v>13</v>
      </c>
      <c r="AC68" s="14" t="s">
        <v>74</v>
      </c>
      <c r="AD68" s="14" t="s">
        <v>21</v>
      </c>
      <c r="AE68" s="14" t="s">
        <v>14</v>
      </c>
      <c r="AF68" s="14" t="s">
        <v>15</v>
      </c>
      <c r="AG68" s="14" t="s">
        <v>16</v>
      </c>
      <c r="AH68" s="15" t="s">
        <v>17</v>
      </c>
      <c r="AI68" s="14" t="s">
        <v>679</v>
      </c>
      <c r="AJ68" s="14" t="s">
        <v>678</v>
      </c>
    </row>
    <row r="69" spans="1:36" x14ac:dyDescent="0.35">
      <c r="A69" s="20"/>
      <c r="B69" s="21"/>
      <c r="C69" s="21"/>
      <c r="D69" s="44"/>
      <c r="E69" s="44" t="s">
        <v>652</v>
      </c>
      <c r="F69" s="21"/>
      <c r="G69" s="21"/>
      <c r="H69" s="353"/>
      <c r="I69" s="33">
        <v>0</v>
      </c>
      <c r="J69" s="24" t="str">
        <f>IFERROR(K69/H69,"")</f>
        <v/>
      </c>
      <c r="K69" s="22"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5">
        <v>0</v>
      </c>
      <c r="V69" s="25">
        <f>H69*U69*I69/15</f>
        <v>0</v>
      </c>
      <c r="W69" s="25">
        <v>0</v>
      </c>
      <c r="X69" s="25" t="str">
        <f>IFERROR(IFERROR((H69*W69*J69/15),""),"")</f>
        <v/>
      </c>
      <c r="Y69" s="25"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f>IF(F69="",G69*4.24,F69*4.24)</f>
        <v>0</v>
      </c>
      <c r="AE69" s="25" t="str">
        <f>IFERROR(IFERROR((X69*0.2%),""),"")</f>
        <v/>
      </c>
      <c r="AF69" s="25">
        <f>V69+Y69+Z69+AA69+AB69+AC69+AD69</f>
        <v>0</v>
      </c>
      <c r="AG69" s="25" t="str">
        <f>IFERROR(IFERROR((H69*W69*J69/15)-AE69,""),"")</f>
        <v/>
      </c>
      <c r="AH69" s="26">
        <f>IFERROR(AG69-AF69,0)</f>
        <v>0</v>
      </c>
      <c r="AI69" s="25">
        <f>(F69+G69)/$AL$7*$AL$29</f>
        <v>0</v>
      </c>
      <c r="AJ69" s="25">
        <f>(AH69-AI69)*70%</f>
        <v>0</v>
      </c>
    </row>
    <row r="70" spans="1:36" x14ac:dyDescent="0.35">
      <c r="A70" s="21"/>
      <c r="B70" s="21"/>
      <c r="C70" s="21"/>
      <c r="D70" s="21"/>
      <c r="E70" s="21"/>
      <c r="F70" s="21"/>
      <c r="G70" s="21"/>
      <c r="H70" s="26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3"/>
      <c r="AA70" s="21"/>
      <c r="AB70" s="21"/>
      <c r="AC70" s="21"/>
      <c r="AD70" s="21"/>
      <c r="AE70" s="21"/>
      <c r="AF70" s="21"/>
      <c r="AG70" s="21"/>
      <c r="AH70" s="26">
        <f>IFERROR(AH69/F69,0)+IFERROR(AH69/G69,0)</f>
        <v>0</v>
      </c>
      <c r="AI70" s="21"/>
      <c r="AJ70" s="21"/>
    </row>
    <row r="71" spans="1:36" x14ac:dyDescent="0.35">
      <c r="A71" s="21"/>
      <c r="B71" s="21"/>
      <c r="C71" s="21"/>
      <c r="D71" s="21"/>
      <c r="E71" s="21"/>
      <c r="F71" s="21"/>
      <c r="G71" s="21"/>
      <c r="H71" s="26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7" t="str">
        <f>IFERROR(AH69/AG69,"")</f>
        <v/>
      </c>
      <c r="AI71" s="21"/>
      <c r="AJ71" s="21"/>
    </row>
    <row r="72" spans="1:36" x14ac:dyDescent="0.35">
      <c r="A72" s="21"/>
      <c r="B72" s="21"/>
      <c r="C72" s="21"/>
      <c r="D72" s="21"/>
      <c r="E72" s="21"/>
      <c r="F72" s="21"/>
      <c r="G72" s="21"/>
      <c r="H72" s="26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47"/>
      <c r="AI72" s="47"/>
      <c r="AJ72" s="47"/>
    </row>
    <row r="73" spans="1:36" x14ac:dyDescent="0.35">
      <c r="A73" s="14" t="s">
        <v>1</v>
      </c>
      <c r="B73" s="14" t="s">
        <v>2</v>
      </c>
      <c r="C73" s="14" t="s">
        <v>110</v>
      </c>
      <c r="D73" s="14" t="s">
        <v>66</v>
      </c>
      <c r="E73" s="14" t="s">
        <v>638</v>
      </c>
      <c r="F73" s="14" t="s">
        <v>137</v>
      </c>
      <c r="G73" s="14" t="s">
        <v>138</v>
      </c>
      <c r="H73" s="308" t="s">
        <v>4</v>
      </c>
      <c r="I73" s="14" t="s">
        <v>5</v>
      </c>
      <c r="J73" s="14" t="s">
        <v>6</v>
      </c>
      <c r="K73" s="14" t="s">
        <v>7</v>
      </c>
      <c r="L73" s="14" t="s">
        <v>279</v>
      </c>
      <c r="M73" s="14" t="s">
        <v>280</v>
      </c>
      <c r="N73" s="14" t="s">
        <v>281</v>
      </c>
      <c r="O73" s="14" t="s">
        <v>282</v>
      </c>
      <c r="P73" s="14" t="s">
        <v>283</v>
      </c>
      <c r="Q73" s="14" t="s">
        <v>284</v>
      </c>
      <c r="R73" s="14" t="s">
        <v>904</v>
      </c>
      <c r="S73" s="14" t="s">
        <v>285</v>
      </c>
      <c r="T73" s="14" t="s">
        <v>289</v>
      </c>
      <c r="U73" s="14" t="s">
        <v>8</v>
      </c>
      <c r="V73" s="14" t="s">
        <v>9</v>
      </c>
      <c r="W73" s="14" t="s">
        <v>10</v>
      </c>
      <c r="X73" s="14" t="s">
        <v>100</v>
      </c>
      <c r="Y73" s="14" t="s">
        <v>106</v>
      </c>
      <c r="Z73" s="14" t="s">
        <v>12</v>
      </c>
      <c r="AA73" s="14" t="s">
        <v>258</v>
      </c>
      <c r="AB73" s="14" t="s">
        <v>13</v>
      </c>
      <c r="AC73" s="14" t="s">
        <v>74</v>
      </c>
      <c r="AD73" s="14" t="s">
        <v>21</v>
      </c>
      <c r="AE73" s="14" t="s">
        <v>14</v>
      </c>
      <c r="AF73" s="14" t="s">
        <v>15</v>
      </c>
      <c r="AG73" s="14" t="s">
        <v>16</v>
      </c>
      <c r="AH73" s="15" t="s">
        <v>17</v>
      </c>
      <c r="AI73" s="14" t="s">
        <v>679</v>
      </c>
      <c r="AJ73" s="14" t="s">
        <v>678</v>
      </c>
    </row>
    <row r="74" spans="1:36" x14ac:dyDescent="0.35">
      <c r="A74" s="20"/>
      <c r="B74" s="21"/>
      <c r="C74" s="21"/>
      <c r="D74" s="44"/>
      <c r="E74" s="44" t="s">
        <v>652</v>
      </c>
      <c r="F74" s="21"/>
      <c r="G74" s="21"/>
      <c r="H74" s="353"/>
      <c r="I74" s="33">
        <v>0</v>
      </c>
      <c r="J74" s="24" t="str">
        <f>IFERROR(K74/H74,"")</f>
        <v/>
      </c>
      <c r="K74" s="22"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5">
        <v>0</v>
      </c>
      <c r="V74" s="25">
        <f>H74*U74*I74/15</f>
        <v>0</v>
      </c>
      <c r="W74" s="25">
        <v>0</v>
      </c>
      <c r="X74" s="25" t="str">
        <f>IFERROR(IFERROR((H74*W74*J74/15),""),"")</f>
        <v/>
      </c>
      <c r="Y74" s="25">
        <v>0</v>
      </c>
      <c r="Z74" s="25">
        <v>0</v>
      </c>
      <c r="AA74" s="25">
        <v>0</v>
      </c>
      <c r="AB74" s="25">
        <v>0</v>
      </c>
      <c r="AC74" s="25">
        <v>0</v>
      </c>
      <c r="AD74" s="25">
        <f>IF(F74="",G74*4.24,F74*4.24)</f>
        <v>0</v>
      </c>
      <c r="AE74" s="25" t="str">
        <f>IFERROR(IFERROR((X74*0.2%),""),"")</f>
        <v/>
      </c>
      <c r="AF74" s="25">
        <f>V74+Y74+Z74+AA74+AB74+AC74+AD74</f>
        <v>0</v>
      </c>
      <c r="AG74" s="25" t="str">
        <f>IFERROR(IFERROR((H74*W74*J74/15)-AE74,""),"")</f>
        <v/>
      </c>
      <c r="AH74" s="26">
        <f>IFERROR(AG74-AF74,0)</f>
        <v>0</v>
      </c>
      <c r="AI74" s="25">
        <f>(F74+G74)/$AL$7*$AL$29</f>
        <v>0</v>
      </c>
      <c r="AJ74" s="25">
        <f>(AH74-AI74)*70%</f>
        <v>0</v>
      </c>
    </row>
    <row r="75" spans="1:36" x14ac:dyDescent="0.35">
      <c r="A75" s="21"/>
      <c r="B75" s="21"/>
      <c r="C75" s="21"/>
      <c r="D75" s="21"/>
      <c r="E75" s="21"/>
      <c r="F75" s="21"/>
      <c r="G75" s="21"/>
      <c r="H75" s="26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3"/>
      <c r="AA75" s="21"/>
      <c r="AB75" s="21"/>
      <c r="AC75" s="21"/>
      <c r="AD75" s="21"/>
      <c r="AE75" s="21"/>
      <c r="AF75" s="21"/>
      <c r="AG75" s="21"/>
      <c r="AH75" s="26">
        <f>IFERROR(AH74/F74,0)+IFERROR(AH74/G74,0)</f>
        <v>0</v>
      </c>
      <c r="AI75" s="21"/>
      <c r="AJ75" s="21"/>
    </row>
    <row r="76" spans="1:36" x14ac:dyDescent="0.35">
      <c r="A76" s="21"/>
      <c r="B76" s="21"/>
      <c r="C76" s="21"/>
      <c r="D76" s="21"/>
      <c r="E76" s="21"/>
      <c r="F76" s="21"/>
      <c r="G76" s="21"/>
      <c r="H76" s="26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7" t="str">
        <f>IFERROR(AH74/AG74,"")</f>
        <v/>
      </c>
      <c r="AI76" s="21"/>
      <c r="AJ76" s="21"/>
    </row>
    <row r="77" spans="1:36" x14ac:dyDescent="0.35">
      <c r="A77" s="21"/>
      <c r="B77" s="21"/>
      <c r="C77" s="21"/>
      <c r="D77" s="21"/>
      <c r="E77" s="21"/>
      <c r="F77" s="21"/>
      <c r="G77" s="21"/>
      <c r="H77" s="26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47"/>
      <c r="AI77" s="21"/>
      <c r="AJ77" s="21"/>
    </row>
    <row r="78" spans="1:36" x14ac:dyDescent="0.35">
      <c r="A78" s="14" t="s">
        <v>1</v>
      </c>
      <c r="B78" s="14" t="s">
        <v>2</v>
      </c>
      <c r="C78" s="14" t="s">
        <v>110</v>
      </c>
      <c r="D78" s="14" t="s">
        <v>66</v>
      </c>
      <c r="E78" s="14" t="s">
        <v>638</v>
      </c>
      <c r="F78" s="14" t="s">
        <v>137</v>
      </c>
      <c r="G78" s="14" t="s">
        <v>138</v>
      </c>
      <c r="H78" s="308" t="s">
        <v>4</v>
      </c>
      <c r="I78" s="14" t="s">
        <v>5</v>
      </c>
      <c r="J78" s="14" t="s">
        <v>6</v>
      </c>
      <c r="K78" s="14" t="s">
        <v>7</v>
      </c>
      <c r="L78" s="14" t="s">
        <v>279</v>
      </c>
      <c r="M78" s="14" t="s">
        <v>280</v>
      </c>
      <c r="N78" s="14" t="s">
        <v>281</v>
      </c>
      <c r="O78" s="14" t="s">
        <v>282</v>
      </c>
      <c r="P78" s="14" t="s">
        <v>283</v>
      </c>
      <c r="Q78" s="14" t="s">
        <v>284</v>
      </c>
      <c r="R78" s="14" t="s">
        <v>904</v>
      </c>
      <c r="S78" s="14" t="s">
        <v>285</v>
      </c>
      <c r="T78" s="14" t="s">
        <v>289</v>
      </c>
      <c r="U78" s="14" t="s">
        <v>8</v>
      </c>
      <c r="V78" s="14" t="s">
        <v>9</v>
      </c>
      <c r="W78" s="14" t="s">
        <v>10</v>
      </c>
      <c r="X78" s="14" t="s">
        <v>100</v>
      </c>
      <c r="Y78" s="14" t="s">
        <v>106</v>
      </c>
      <c r="Z78" s="14" t="s">
        <v>12</v>
      </c>
      <c r="AA78" s="14" t="s">
        <v>258</v>
      </c>
      <c r="AB78" s="14" t="s">
        <v>13</v>
      </c>
      <c r="AC78" s="14" t="s">
        <v>74</v>
      </c>
      <c r="AD78" s="14" t="s">
        <v>21</v>
      </c>
      <c r="AE78" s="14" t="s">
        <v>14</v>
      </c>
      <c r="AF78" s="14" t="s">
        <v>15</v>
      </c>
      <c r="AG78" s="14" t="s">
        <v>16</v>
      </c>
      <c r="AH78" s="15" t="s">
        <v>17</v>
      </c>
      <c r="AI78" s="14" t="s">
        <v>679</v>
      </c>
      <c r="AJ78" s="14" t="s">
        <v>678</v>
      </c>
    </row>
    <row r="79" spans="1:36" x14ac:dyDescent="0.35">
      <c r="A79" s="20"/>
      <c r="B79" s="21"/>
      <c r="C79" s="21"/>
      <c r="D79" s="44"/>
      <c r="E79" s="44" t="s">
        <v>652</v>
      </c>
      <c r="F79" s="21"/>
      <c r="G79" s="21"/>
      <c r="H79" s="353"/>
      <c r="I79" s="33">
        <v>0</v>
      </c>
      <c r="J79" s="24" t="str">
        <f>IFERROR(K79/H79,"")</f>
        <v/>
      </c>
      <c r="K79" s="22"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5">
        <v>0</v>
      </c>
      <c r="V79" s="25">
        <f>H79*U79*I79/15</f>
        <v>0</v>
      </c>
      <c r="W79" s="25">
        <v>0</v>
      </c>
      <c r="X79" s="25" t="str">
        <f>IFERROR(IFERROR((H79*W79*J79/15),""),"")</f>
        <v/>
      </c>
      <c r="Y79" s="25"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f>IF(F79="",G79*4.24,F79*4.24)</f>
        <v>0</v>
      </c>
      <c r="AE79" s="25" t="str">
        <f>IFERROR(IFERROR((X79*0.2%),""),"")</f>
        <v/>
      </c>
      <c r="AF79" s="25">
        <f>V79+Y79+Z79+AA79+AB79+AC79+AD79</f>
        <v>0</v>
      </c>
      <c r="AG79" s="25" t="str">
        <f>IFERROR(IFERROR((H79*W79*J79/15)-AE79,""),"")</f>
        <v/>
      </c>
      <c r="AH79" s="26">
        <f>IFERROR(AG79-AF79,0)</f>
        <v>0</v>
      </c>
      <c r="AI79" s="25">
        <f>(F79+G79)/$AL$7*$AL$29</f>
        <v>0</v>
      </c>
      <c r="AJ79" s="25">
        <f>(AH79-AI79)*70%</f>
        <v>0</v>
      </c>
    </row>
    <row r="80" spans="1:36" x14ac:dyDescent="0.35">
      <c r="A80" s="21"/>
      <c r="B80" s="21"/>
      <c r="C80" s="21"/>
      <c r="D80" s="21"/>
      <c r="E80" s="21"/>
      <c r="F80" s="21"/>
      <c r="G80" s="21"/>
      <c r="H80" s="26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3"/>
      <c r="AA80" s="21"/>
      <c r="AB80" s="21"/>
      <c r="AC80" s="21"/>
      <c r="AD80" s="21"/>
      <c r="AE80" s="21"/>
      <c r="AF80" s="21"/>
      <c r="AG80" s="21"/>
      <c r="AH80" s="26">
        <f>IFERROR(AH79/F79,0)+IFERROR(AH79/G79,0)</f>
        <v>0</v>
      </c>
      <c r="AI80" s="21"/>
      <c r="AJ80" s="21"/>
    </row>
    <row r="81" spans="1:36" x14ac:dyDescent="0.35">
      <c r="A81" s="21"/>
      <c r="B81" s="21"/>
      <c r="C81" s="21"/>
      <c r="D81" s="21"/>
      <c r="E81" s="21"/>
      <c r="F81" s="21"/>
      <c r="G81" s="21"/>
      <c r="H81" s="26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7" t="str">
        <f>IFERROR(AH79/AG79,"")</f>
        <v/>
      </c>
      <c r="AI81" s="21"/>
      <c r="AJ81" s="21"/>
    </row>
    <row r="82" spans="1:36" x14ac:dyDescent="0.35">
      <c r="A82" s="21"/>
      <c r="B82" s="21"/>
      <c r="C82" s="21"/>
      <c r="D82" s="21"/>
      <c r="E82" s="21"/>
      <c r="F82" s="21"/>
      <c r="G82" s="21"/>
      <c r="H82" s="26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47"/>
      <c r="AI82" s="21"/>
      <c r="AJ82" s="21"/>
    </row>
    <row r="83" spans="1:36" x14ac:dyDescent="0.35">
      <c r="A83" s="14" t="s">
        <v>1</v>
      </c>
      <c r="B83" s="14" t="s">
        <v>2</v>
      </c>
      <c r="C83" s="14" t="s">
        <v>110</v>
      </c>
      <c r="D83" s="14" t="s">
        <v>66</v>
      </c>
      <c r="E83" s="14" t="s">
        <v>638</v>
      </c>
      <c r="F83" s="14" t="s">
        <v>137</v>
      </c>
      <c r="G83" s="14" t="s">
        <v>138</v>
      </c>
      <c r="H83" s="308" t="s">
        <v>4</v>
      </c>
      <c r="I83" s="14" t="s">
        <v>5</v>
      </c>
      <c r="J83" s="14" t="s">
        <v>6</v>
      </c>
      <c r="K83" s="14" t="s">
        <v>7</v>
      </c>
      <c r="L83" s="14" t="s">
        <v>279</v>
      </c>
      <c r="M83" s="14" t="s">
        <v>280</v>
      </c>
      <c r="N83" s="14" t="s">
        <v>281</v>
      </c>
      <c r="O83" s="14" t="s">
        <v>282</v>
      </c>
      <c r="P83" s="14" t="s">
        <v>283</v>
      </c>
      <c r="Q83" s="14" t="s">
        <v>284</v>
      </c>
      <c r="R83" s="14" t="s">
        <v>904</v>
      </c>
      <c r="S83" s="14" t="s">
        <v>285</v>
      </c>
      <c r="T83" s="14" t="s">
        <v>289</v>
      </c>
      <c r="U83" s="14" t="s">
        <v>8</v>
      </c>
      <c r="V83" s="14" t="s">
        <v>9</v>
      </c>
      <c r="W83" s="14" t="s">
        <v>10</v>
      </c>
      <c r="X83" s="14" t="s">
        <v>100</v>
      </c>
      <c r="Y83" s="14" t="s">
        <v>106</v>
      </c>
      <c r="Z83" s="14" t="s">
        <v>12</v>
      </c>
      <c r="AA83" s="14" t="s">
        <v>258</v>
      </c>
      <c r="AB83" s="14" t="s">
        <v>13</v>
      </c>
      <c r="AC83" s="14" t="s">
        <v>74</v>
      </c>
      <c r="AD83" s="14" t="s">
        <v>21</v>
      </c>
      <c r="AE83" s="14" t="s">
        <v>14</v>
      </c>
      <c r="AF83" s="14" t="s">
        <v>15</v>
      </c>
      <c r="AG83" s="14" t="s">
        <v>16</v>
      </c>
      <c r="AH83" s="15" t="s">
        <v>17</v>
      </c>
      <c r="AI83" s="14" t="s">
        <v>679</v>
      </c>
      <c r="AJ83" s="14" t="s">
        <v>678</v>
      </c>
    </row>
    <row r="84" spans="1:36" x14ac:dyDescent="0.35">
      <c r="A84" s="20"/>
      <c r="B84" s="21"/>
      <c r="C84" s="21"/>
      <c r="D84" s="44"/>
      <c r="E84" s="44" t="s">
        <v>652</v>
      </c>
      <c r="F84" s="21"/>
      <c r="G84" s="21"/>
      <c r="H84" s="353"/>
      <c r="I84" s="33">
        <v>0</v>
      </c>
      <c r="J84" s="24" t="str">
        <f>IFERROR(K84/H84,"")</f>
        <v/>
      </c>
      <c r="K84" s="22"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5">
        <v>0</v>
      </c>
      <c r="V84" s="25">
        <f>H84*U84*I84/15</f>
        <v>0</v>
      </c>
      <c r="W84" s="25">
        <v>0</v>
      </c>
      <c r="X84" s="25" t="str">
        <f>IFERROR(IFERROR((H84*W84*J84/15),""),"")</f>
        <v/>
      </c>
      <c r="Y84" s="25"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f>IF(F84="",G84*4.24,F84*4.24)</f>
        <v>0</v>
      </c>
      <c r="AE84" s="25" t="str">
        <f>IFERROR(IFERROR((X84*0.2%),""),"")</f>
        <v/>
      </c>
      <c r="AF84" s="25">
        <f>V84+Y84+Z84+AA84+AB84+AC84+AD84</f>
        <v>0</v>
      </c>
      <c r="AG84" s="25" t="str">
        <f>IFERROR(IFERROR((H84*W84*J84/15)-AE84,""),"")</f>
        <v/>
      </c>
      <c r="AH84" s="26">
        <f>IFERROR(AG84-AF84,0)</f>
        <v>0</v>
      </c>
      <c r="AI84" s="25">
        <f>(F84+G84)/$AL$7*$AL$29</f>
        <v>0</v>
      </c>
      <c r="AJ84" s="25">
        <f>(AH84-AI84)*70%</f>
        <v>0</v>
      </c>
    </row>
    <row r="85" spans="1:36" x14ac:dyDescent="0.35">
      <c r="A85" s="21"/>
      <c r="B85" s="21"/>
      <c r="C85" s="21"/>
      <c r="D85" s="21"/>
      <c r="E85" s="21"/>
      <c r="F85" s="21"/>
      <c r="G85" s="21"/>
      <c r="H85" s="26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3"/>
      <c r="AA85" s="21"/>
      <c r="AB85" s="21"/>
      <c r="AC85" s="21"/>
      <c r="AD85" s="21"/>
      <c r="AE85" s="21"/>
      <c r="AF85" s="21"/>
      <c r="AG85" s="21"/>
      <c r="AH85" s="26">
        <f>IFERROR(AH84/F84,0)+IFERROR(AH84/G84,0)</f>
        <v>0</v>
      </c>
      <c r="AI85" s="21"/>
      <c r="AJ85" s="21"/>
    </row>
    <row r="86" spans="1:36" x14ac:dyDescent="0.35">
      <c r="A86" s="21"/>
      <c r="B86" s="21"/>
      <c r="C86" s="21"/>
      <c r="D86" s="21"/>
      <c r="E86" s="21"/>
      <c r="F86" s="21"/>
      <c r="G86" s="21"/>
      <c r="H86" s="26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7" t="str">
        <f>IFERROR(AH84/AG84,"")</f>
        <v/>
      </c>
      <c r="AI86" s="21"/>
      <c r="AJ86" s="21"/>
    </row>
    <row r="87" spans="1:36" x14ac:dyDescent="0.35">
      <c r="A87" s="21"/>
      <c r="B87" s="21"/>
      <c r="C87" s="21"/>
      <c r="D87" s="21"/>
      <c r="E87" s="21"/>
      <c r="F87" s="21"/>
      <c r="G87" s="21"/>
      <c r="H87" s="26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47"/>
      <c r="AI87" s="47"/>
      <c r="AJ87" s="47"/>
    </row>
    <row r="88" spans="1:36" x14ac:dyDescent="0.35">
      <c r="A88" s="14" t="s">
        <v>1</v>
      </c>
      <c r="B88" s="14" t="s">
        <v>2</v>
      </c>
      <c r="C88" s="14" t="s">
        <v>110</v>
      </c>
      <c r="D88" s="14" t="s">
        <v>66</v>
      </c>
      <c r="E88" s="14" t="s">
        <v>638</v>
      </c>
      <c r="F88" s="14" t="s">
        <v>137</v>
      </c>
      <c r="G88" s="14" t="s">
        <v>138</v>
      </c>
      <c r="H88" s="308" t="s">
        <v>4</v>
      </c>
      <c r="I88" s="14" t="s">
        <v>5</v>
      </c>
      <c r="J88" s="14" t="s">
        <v>6</v>
      </c>
      <c r="K88" s="14" t="s">
        <v>7</v>
      </c>
      <c r="L88" s="14" t="s">
        <v>279</v>
      </c>
      <c r="M88" s="14" t="s">
        <v>280</v>
      </c>
      <c r="N88" s="14" t="s">
        <v>281</v>
      </c>
      <c r="O88" s="14" t="s">
        <v>282</v>
      </c>
      <c r="P88" s="14" t="s">
        <v>283</v>
      </c>
      <c r="Q88" s="14" t="s">
        <v>284</v>
      </c>
      <c r="R88" s="14" t="s">
        <v>904</v>
      </c>
      <c r="S88" s="14" t="s">
        <v>285</v>
      </c>
      <c r="T88" s="14" t="s">
        <v>289</v>
      </c>
      <c r="U88" s="14" t="s">
        <v>8</v>
      </c>
      <c r="V88" s="14" t="s">
        <v>9</v>
      </c>
      <c r="W88" s="14" t="s">
        <v>10</v>
      </c>
      <c r="X88" s="14" t="s">
        <v>100</v>
      </c>
      <c r="Y88" s="14" t="s">
        <v>106</v>
      </c>
      <c r="Z88" s="14" t="s">
        <v>12</v>
      </c>
      <c r="AA88" s="14" t="s">
        <v>258</v>
      </c>
      <c r="AB88" s="14" t="s">
        <v>13</v>
      </c>
      <c r="AC88" s="14" t="s">
        <v>74</v>
      </c>
      <c r="AD88" s="14" t="s">
        <v>21</v>
      </c>
      <c r="AE88" s="14" t="s">
        <v>14</v>
      </c>
      <c r="AF88" s="14" t="s">
        <v>15</v>
      </c>
      <c r="AG88" s="14" t="s">
        <v>16</v>
      </c>
      <c r="AH88" s="15" t="s">
        <v>17</v>
      </c>
      <c r="AI88" s="14" t="s">
        <v>679</v>
      </c>
      <c r="AJ88" s="14" t="s">
        <v>678</v>
      </c>
    </row>
    <row r="89" spans="1:36" x14ac:dyDescent="0.35">
      <c r="A89" s="20"/>
      <c r="B89" s="21"/>
      <c r="C89" s="21"/>
      <c r="D89" s="44"/>
      <c r="E89" s="44" t="s">
        <v>652</v>
      </c>
      <c r="F89" s="21"/>
      <c r="G89" s="21"/>
      <c r="H89" s="353"/>
      <c r="I89" s="33">
        <v>0</v>
      </c>
      <c r="J89" s="24" t="str">
        <f>IFERROR(K89/H89,"")</f>
        <v/>
      </c>
      <c r="K89" s="22"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5">
        <v>0</v>
      </c>
      <c r="V89" s="25">
        <f>H89*U89*I89/15</f>
        <v>0</v>
      </c>
      <c r="W89" s="25">
        <v>0</v>
      </c>
      <c r="X89" s="25" t="str">
        <f>IFERROR(IFERROR((H89*W89*J89/15),""),"")</f>
        <v/>
      </c>
      <c r="Y89" s="25"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f>IF(F89="",G89*4.24,F89*4.24)</f>
        <v>0</v>
      </c>
      <c r="AE89" s="25" t="str">
        <f>IFERROR(IFERROR((X89*0.2%),""),"")</f>
        <v/>
      </c>
      <c r="AF89" s="25">
        <f>V89+Y89+Z89+AA89+AB89+AC89+AD89</f>
        <v>0</v>
      </c>
      <c r="AG89" s="25" t="str">
        <f>IFERROR(IFERROR((H89*W89*J89/15)-AE89,""),"")</f>
        <v/>
      </c>
      <c r="AH89" s="26">
        <f>IFERROR(AG89-AF89,0)</f>
        <v>0</v>
      </c>
      <c r="AI89" s="25">
        <f>(F89+G89)/$AL$7*$AL$29</f>
        <v>0</v>
      </c>
      <c r="AJ89" s="25">
        <f>(AH89-AI89)*70%</f>
        <v>0</v>
      </c>
    </row>
    <row r="90" spans="1:36" x14ac:dyDescent="0.35">
      <c r="A90" s="21"/>
      <c r="B90" s="21"/>
      <c r="C90" s="21"/>
      <c r="D90" s="21"/>
      <c r="E90" s="21"/>
      <c r="F90" s="21"/>
      <c r="G90" s="21"/>
      <c r="H90" s="26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3"/>
      <c r="AA90" s="21"/>
      <c r="AB90" s="21"/>
      <c r="AC90" s="21"/>
      <c r="AD90" s="21"/>
      <c r="AE90" s="21"/>
      <c r="AF90" s="21"/>
      <c r="AG90" s="21"/>
      <c r="AH90" s="26">
        <f>IFERROR(AH89/F89,0)+IFERROR(AH89/G89,0)</f>
        <v>0</v>
      </c>
      <c r="AI90" s="21"/>
      <c r="AJ90" s="21"/>
    </row>
    <row r="91" spans="1:36" x14ac:dyDescent="0.35">
      <c r="A91" s="21"/>
      <c r="B91" s="21"/>
      <c r="C91" s="21"/>
      <c r="D91" s="21"/>
      <c r="E91" s="21"/>
      <c r="F91" s="21"/>
      <c r="G91" s="21"/>
      <c r="H91" s="26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7" t="str">
        <f>IFERROR(AH89/AG89,"")</f>
        <v/>
      </c>
      <c r="AI91" s="21"/>
      <c r="AJ91" s="21"/>
    </row>
    <row r="92" spans="1:36" x14ac:dyDescent="0.35">
      <c r="A92" s="21"/>
      <c r="B92" s="21"/>
      <c r="C92" s="21"/>
      <c r="D92" s="21"/>
      <c r="E92" s="21"/>
      <c r="F92" s="21"/>
      <c r="G92" s="21"/>
      <c r="H92" s="26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47"/>
      <c r="AI92" s="47"/>
      <c r="AJ92" s="47"/>
    </row>
    <row r="93" spans="1:36" x14ac:dyDescent="0.35">
      <c r="A93" s="14" t="s">
        <v>1</v>
      </c>
      <c r="B93" s="14" t="s">
        <v>2</v>
      </c>
      <c r="C93" s="14" t="s">
        <v>110</v>
      </c>
      <c r="D93" s="14" t="s">
        <v>66</v>
      </c>
      <c r="E93" s="14" t="s">
        <v>638</v>
      </c>
      <c r="F93" s="14" t="s">
        <v>137</v>
      </c>
      <c r="G93" s="14" t="s">
        <v>138</v>
      </c>
      <c r="H93" s="308" t="s">
        <v>4</v>
      </c>
      <c r="I93" s="14" t="s">
        <v>5</v>
      </c>
      <c r="J93" s="14" t="s">
        <v>6</v>
      </c>
      <c r="K93" s="14" t="s">
        <v>7</v>
      </c>
      <c r="L93" s="14" t="s">
        <v>279</v>
      </c>
      <c r="M93" s="14" t="s">
        <v>280</v>
      </c>
      <c r="N93" s="14" t="s">
        <v>281</v>
      </c>
      <c r="O93" s="14" t="s">
        <v>282</v>
      </c>
      <c r="P93" s="14" t="s">
        <v>283</v>
      </c>
      <c r="Q93" s="14" t="s">
        <v>284</v>
      </c>
      <c r="R93" s="14" t="s">
        <v>904</v>
      </c>
      <c r="S93" s="14" t="s">
        <v>285</v>
      </c>
      <c r="T93" s="14" t="s">
        <v>289</v>
      </c>
      <c r="U93" s="14" t="s">
        <v>8</v>
      </c>
      <c r="V93" s="14" t="s">
        <v>9</v>
      </c>
      <c r="W93" s="14" t="s">
        <v>10</v>
      </c>
      <c r="X93" s="14" t="s">
        <v>100</v>
      </c>
      <c r="Y93" s="14" t="s">
        <v>106</v>
      </c>
      <c r="Z93" s="14" t="s">
        <v>12</v>
      </c>
      <c r="AA93" s="14" t="s">
        <v>258</v>
      </c>
      <c r="AB93" s="14" t="s">
        <v>13</v>
      </c>
      <c r="AC93" s="14" t="s">
        <v>74</v>
      </c>
      <c r="AD93" s="14" t="s">
        <v>21</v>
      </c>
      <c r="AE93" s="14" t="s">
        <v>14</v>
      </c>
      <c r="AF93" s="14" t="s">
        <v>15</v>
      </c>
      <c r="AG93" s="14" t="s">
        <v>16</v>
      </c>
      <c r="AH93" s="15" t="s">
        <v>17</v>
      </c>
      <c r="AI93" s="14" t="s">
        <v>679</v>
      </c>
      <c r="AJ93" s="14" t="s">
        <v>678</v>
      </c>
    </row>
    <row r="94" spans="1:36" x14ac:dyDescent="0.35">
      <c r="A94" s="20"/>
      <c r="B94" s="21"/>
      <c r="C94" s="21"/>
      <c r="D94" s="44"/>
      <c r="E94" s="44" t="s">
        <v>652</v>
      </c>
      <c r="F94" s="21"/>
      <c r="G94" s="21"/>
      <c r="H94" s="353"/>
      <c r="I94" s="33">
        <v>0</v>
      </c>
      <c r="J94" s="24" t="str">
        <f>IFERROR(K94/H94,"")</f>
        <v/>
      </c>
      <c r="K94" s="22"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5">
        <v>0</v>
      </c>
      <c r="V94" s="25">
        <f>H94*U94*I94/15</f>
        <v>0</v>
      </c>
      <c r="W94" s="25">
        <v>0</v>
      </c>
      <c r="X94" s="25" t="str">
        <f>IFERROR(IFERROR((H94*W94*J94/15),""),"")</f>
        <v/>
      </c>
      <c r="Y94" s="25"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f>IF(F94="",G94*4.24,F94*4.24)</f>
        <v>0</v>
      </c>
      <c r="AE94" s="25" t="str">
        <f>IFERROR(IFERROR((X94*0.2%),""),"")</f>
        <v/>
      </c>
      <c r="AF94" s="25">
        <f>V94+Y94+Z94+AA94+AB94+AC94+AD94</f>
        <v>0</v>
      </c>
      <c r="AG94" s="25" t="str">
        <f>IFERROR(IFERROR((H94*W94*J94/15)-AE94,""),"")</f>
        <v/>
      </c>
      <c r="AH94" s="26">
        <f>IFERROR(AG94-AF94,0)</f>
        <v>0</v>
      </c>
      <c r="AI94" s="25">
        <f>(F94+G94)/$AL$7*$AL$29</f>
        <v>0</v>
      </c>
      <c r="AJ94" s="25">
        <f>(AH94-AI94)*70%</f>
        <v>0</v>
      </c>
    </row>
    <row r="95" spans="1:36" x14ac:dyDescent="0.35">
      <c r="A95" s="21"/>
      <c r="B95" s="21"/>
      <c r="C95" s="21"/>
      <c r="D95" s="21"/>
      <c r="E95" s="21"/>
      <c r="F95" s="21"/>
      <c r="G95" s="21"/>
      <c r="H95" s="26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3"/>
      <c r="AA95" s="21"/>
      <c r="AB95" s="21"/>
      <c r="AC95" s="21"/>
      <c r="AD95" s="21"/>
      <c r="AE95" s="21"/>
      <c r="AF95" s="21"/>
      <c r="AG95" s="21"/>
      <c r="AH95" s="26">
        <f>IFERROR(AH94/F94,0)+IFERROR(AH94/G94,0)</f>
        <v>0</v>
      </c>
      <c r="AI95" s="21"/>
      <c r="AJ95" s="21"/>
    </row>
    <row r="96" spans="1:36" x14ac:dyDescent="0.35">
      <c r="A96" s="21"/>
      <c r="B96" s="21"/>
      <c r="C96" s="21"/>
      <c r="D96" s="21"/>
      <c r="E96" s="21"/>
      <c r="F96" s="21"/>
      <c r="G96" s="21"/>
      <c r="H96" s="26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7" t="str">
        <f>IFERROR(AH94/AG94,"")</f>
        <v/>
      </c>
      <c r="AI96" s="21"/>
      <c r="AJ96" s="21"/>
    </row>
    <row r="97" spans="1:36" x14ac:dyDescent="0.35">
      <c r="A97" s="21"/>
      <c r="B97" s="21"/>
      <c r="C97" s="21"/>
      <c r="D97" s="21"/>
      <c r="E97" s="21"/>
      <c r="F97" s="21"/>
      <c r="G97" s="21"/>
      <c r="H97" s="26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47"/>
      <c r="AI97" s="21"/>
      <c r="AJ97" s="21"/>
    </row>
    <row r="98" spans="1:36" x14ac:dyDescent="0.35">
      <c r="A98" s="14" t="s">
        <v>1</v>
      </c>
      <c r="B98" s="14" t="s">
        <v>2</v>
      </c>
      <c r="C98" s="14" t="s">
        <v>110</v>
      </c>
      <c r="D98" s="14" t="s">
        <v>66</v>
      </c>
      <c r="E98" s="14" t="s">
        <v>638</v>
      </c>
      <c r="F98" s="14" t="s">
        <v>137</v>
      </c>
      <c r="G98" s="14" t="s">
        <v>138</v>
      </c>
      <c r="H98" s="308" t="s">
        <v>4</v>
      </c>
      <c r="I98" s="14" t="s">
        <v>5</v>
      </c>
      <c r="J98" s="14" t="s">
        <v>6</v>
      </c>
      <c r="K98" s="14" t="s">
        <v>7</v>
      </c>
      <c r="L98" s="14" t="s">
        <v>279</v>
      </c>
      <c r="M98" s="14" t="s">
        <v>280</v>
      </c>
      <c r="N98" s="14" t="s">
        <v>281</v>
      </c>
      <c r="O98" s="14" t="s">
        <v>282</v>
      </c>
      <c r="P98" s="14" t="s">
        <v>283</v>
      </c>
      <c r="Q98" s="14" t="s">
        <v>284</v>
      </c>
      <c r="R98" s="14" t="s">
        <v>904</v>
      </c>
      <c r="S98" s="14" t="s">
        <v>285</v>
      </c>
      <c r="T98" s="14" t="s">
        <v>289</v>
      </c>
      <c r="U98" s="14" t="s">
        <v>8</v>
      </c>
      <c r="V98" s="14" t="s">
        <v>9</v>
      </c>
      <c r="W98" s="14" t="s">
        <v>10</v>
      </c>
      <c r="X98" s="14" t="s">
        <v>100</v>
      </c>
      <c r="Y98" s="14" t="s">
        <v>106</v>
      </c>
      <c r="Z98" s="14" t="s">
        <v>12</v>
      </c>
      <c r="AA98" s="14" t="s">
        <v>258</v>
      </c>
      <c r="AB98" s="14" t="s">
        <v>13</v>
      </c>
      <c r="AC98" s="14" t="s">
        <v>74</v>
      </c>
      <c r="AD98" s="14" t="s">
        <v>21</v>
      </c>
      <c r="AE98" s="14" t="s">
        <v>14</v>
      </c>
      <c r="AF98" s="14" t="s">
        <v>15</v>
      </c>
      <c r="AG98" s="14" t="s">
        <v>16</v>
      </c>
      <c r="AH98" s="15" t="s">
        <v>17</v>
      </c>
      <c r="AI98" s="14" t="s">
        <v>679</v>
      </c>
      <c r="AJ98" s="14" t="s">
        <v>678</v>
      </c>
    </row>
    <row r="99" spans="1:36" x14ac:dyDescent="0.35">
      <c r="A99" s="20"/>
      <c r="B99" s="21"/>
      <c r="C99" s="21"/>
      <c r="D99" s="44"/>
      <c r="E99" s="44" t="s">
        <v>652</v>
      </c>
      <c r="F99" s="21"/>
      <c r="G99" s="21"/>
      <c r="H99" s="353"/>
      <c r="I99" s="33">
        <v>0</v>
      </c>
      <c r="J99" s="24" t="str">
        <f>IFERROR(K99/H99,"")</f>
        <v/>
      </c>
      <c r="K99" s="22">
        <v>0</v>
      </c>
      <c r="L99" s="21"/>
      <c r="M99" s="21"/>
      <c r="N99" s="21"/>
      <c r="O99" s="21"/>
      <c r="P99" s="21"/>
      <c r="Q99" s="21"/>
      <c r="R99" s="21"/>
      <c r="S99" s="21"/>
      <c r="T99" s="21"/>
      <c r="U99" s="25">
        <v>0</v>
      </c>
      <c r="V99" s="25">
        <f>H99*U99*I99/15</f>
        <v>0</v>
      </c>
      <c r="W99" s="25">
        <v>0</v>
      </c>
      <c r="X99" s="25" t="str">
        <f>IFERROR(IFERROR((H99*W99*J99/15),""),"")</f>
        <v/>
      </c>
      <c r="Y99" s="25"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f>IF(F99="",G99*4.24,F99*4.24)</f>
        <v>0</v>
      </c>
      <c r="AE99" s="25" t="str">
        <f>IFERROR(IFERROR((X99*0.2%),""),"")</f>
        <v/>
      </c>
      <c r="AF99" s="25">
        <f>V99+Y99+Z99+AA99+AB99+AC99+AD99</f>
        <v>0</v>
      </c>
      <c r="AG99" s="25" t="str">
        <f>IFERROR(IFERROR((H99*W99*J99/15)-AE99,""),"")</f>
        <v/>
      </c>
      <c r="AH99" s="26">
        <f>IFERROR(AG99-AF99,0)</f>
        <v>0</v>
      </c>
      <c r="AI99" s="25">
        <f>(F99+G99)/$AL$7*$AL$29</f>
        <v>0</v>
      </c>
      <c r="AJ99" s="25">
        <f>(AH99-AI99)*70%</f>
        <v>0</v>
      </c>
    </row>
    <row r="100" spans="1:36" x14ac:dyDescent="0.35">
      <c r="A100" s="21"/>
      <c r="B100" s="21"/>
      <c r="C100" s="21"/>
      <c r="D100" s="21"/>
      <c r="E100" s="21"/>
      <c r="F100" s="21"/>
      <c r="G100" s="21"/>
      <c r="H100" s="26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3"/>
      <c r="AA100" s="21"/>
      <c r="AB100" s="21"/>
      <c r="AC100" s="21"/>
      <c r="AD100" s="21"/>
      <c r="AE100" s="21"/>
      <c r="AF100" s="21"/>
      <c r="AG100" s="21"/>
      <c r="AH100" s="26">
        <f>IFERROR(AH99/F99,0)+IFERROR(AH99/G99,0)</f>
        <v>0</v>
      </c>
      <c r="AI100" s="21"/>
      <c r="AJ100" s="21"/>
    </row>
    <row r="101" spans="1:36" x14ac:dyDescent="0.35">
      <c r="A101" s="21"/>
      <c r="B101" s="21"/>
      <c r="C101" s="21"/>
      <c r="D101" s="21"/>
      <c r="E101" s="21"/>
      <c r="F101" s="21"/>
      <c r="G101" s="21"/>
      <c r="H101" s="26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7" t="str">
        <f>IFERROR(AH99/AG99,"")</f>
        <v/>
      </c>
      <c r="AI101" s="21"/>
      <c r="AJ101" s="21"/>
    </row>
    <row r="102" spans="1:36" x14ac:dyDescent="0.35">
      <c r="A102" s="21"/>
      <c r="B102" s="21"/>
      <c r="C102" s="21"/>
      <c r="D102" s="21"/>
      <c r="E102" s="21"/>
      <c r="F102" s="21"/>
      <c r="G102" s="21"/>
      <c r="H102" s="26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47"/>
      <c r="AI102" s="21"/>
      <c r="AJ102" s="21"/>
    </row>
    <row r="103" spans="1:36" x14ac:dyDescent="0.35">
      <c r="A103" s="14" t="s">
        <v>1</v>
      </c>
      <c r="B103" s="14" t="s">
        <v>2</v>
      </c>
      <c r="C103" s="14" t="s">
        <v>110</v>
      </c>
      <c r="D103" s="14" t="s">
        <v>66</v>
      </c>
      <c r="E103" s="14" t="s">
        <v>638</v>
      </c>
      <c r="F103" s="14" t="s">
        <v>137</v>
      </c>
      <c r="G103" s="14" t="s">
        <v>138</v>
      </c>
      <c r="H103" s="308" t="s">
        <v>4</v>
      </c>
      <c r="I103" s="14" t="s">
        <v>5</v>
      </c>
      <c r="J103" s="14" t="s">
        <v>6</v>
      </c>
      <c r="K103" s="14" t="s">
        <v>7</v>
      </c>
      <c r="L103" s="14" t="s">
        <v>279</v>
      </c>
      <c r="M103" s="14" t="s">
        <v>280</v>
      </c>
      <c r="N103" s="14" t="s">
        <v>281</v>
      </c>
      <c r="O103" s="14" t="s">
        <v>282</v>
      </c>
      <c r="P103" s="14" t="s">
        <v>283</v>
      </c>
      <c r="Q103" s="14" t="s">
        <v>284</v>
      </c>
      <c r="R103" s="14" t="s">
        <v>904</v>
      </c>
      <c r="S103" s="14" t="s">
        <v>285</v>
      </c>
      <c r="T103" s="14" t="s">
        <v>289</v>
      </c>
      <c r="U103" s="14" t="s">
        <v>8</v>
      </c>
      <c r="V103" s="14" t="s">
        <v>9</v>
      </c>
      <c r="W103" s="14" t="s">
        <v>10</v>
      </c>
      <c r="X103" s="14" t="s">
        <v>100</v>
      </c>
      <c r="Y103" s="14" t="s">
        <v>106</v>
      </c>
      <c r="Z103" s="14" t="s">
        <v>12</v>
      </c>
      <c r="AA103" s="14" t="s">
        <v>258</v>
      </c>
      <c r="AB103" s="14" t="s">
        <v>13</v>
      </c>
      <c r="AC103" s="14" t="s">
        <v>74</v>
      </c>
      <c r="AD103" s="14" t="s">
        <v>21</v>
      </c>
      <c r="AE103" s="14" t="s">
        <v>14</v>
      </c>
      <c r="AF103" s="14" t="s">
        <v>15</v>
      </c>
      <c r="AG103" s="14" t="s">
        <v>16</v>
      </c>
      <c r="AH103" s="15" t="s">
        <v>17</v>
      </c>
      <c r="AI103" s="14" t="s">
        <v>679</v>
      </c>
      <c r="AJ103" s="14" t="s">
        <v>678</v>
      </c>
    </row>
    <row r="104" spans="1:36" x14ac:dyDescent="0.35">
      <c r="A104" s="20"/>
      <c r="B104" s="21"/>
      <c r="C104" s="21"/>
      <c r="D104" s="44"/>
      <c r="E104" s="44" t="s">
        <v>652</v>
      </c>
      <c r="F104" s="21"/>
      <c r="G104" s="21"/>
      <c r="H104" s="353"/>
      <c r="I104" s="33">
        <v>0</v>
      </c>
      <c r="J104" s="24" t="str">
        <f>IFERROR(K104/H104,"")</f>
        <v/>
      </c>
      <c r="K104" s="22">
        <v>0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5">
        <v>0</v>
      </c>
      <c r="V104" s="25">
        <f>H104*U104*I104/15</f>
        <v>0</v>
      </c>
      <c r="W104" s="25">
        <v>0</v>
      </c>
      <c r="X104" s="25" t="str">
        <f>IFERROR(IFERROR((H104*W104*J104/15),""),"")</f>
        <v/>
      </c>
      <c r="Y104" s="25"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f>IF(F104="",G104*4.24,F104*4.24)</f>
        <v>0</v>
      </c>
      <c r="AE104" s="25" t="str">
        <f>IFERROR(IFERROR((X104*0.2%),""),"")</f>
        <v/>
      </c>
      <c r="AF104" s="25">
        <f>V104+Y104+Z104+AA104+AB104+AC104+AD104</f>
        <v>0</v>
      </c>
      <c r="AG104" s="25" t="str">
        <f>IFERROR(IFERROR((H104*W104*J104/15)-AE104,""),"")</f>
        <v/>
      </c>
      <c r="AH104" s="26">
        <f>IFERROR(AG104-AF104,0)</f>
        <v>0</v>
      </c>
      <c r="AI104" s="25">
        <f>(F104+G104)/$AL$7*$AL$29</f>
        <v>0</v>
      </c>
      <c r="AJ104" s="25">
        <f>(AH104-AI104)*70%</f>
        <v>0</v>
      </c>
    </row>
    <row r="105" spans="1:36" x14ac:dyDescent="0.35">
      <c r="A105" s="21"/>
      <c r="B105" s="21"/>
      <c r="C105" s="21"/>
      <c r="D105" s="21"/>
      <c r="E105" s="21"/>
      <c r="F105" s="21"/>
      <c r="G105" s="21"/>
      <c r="H105" s="26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3"/>
      <c r="AA105" s="21"/>
      <c r="AB105" s="21"/>
      <c r="AC105" s="21"/>
      <c r="AD105" s="21"/>
      <c r="AE105" s="21"/>
      <c r="AF105" s="21"/>
      <c r="AG105" s="21"/>
      <c r="AH105" s="26">
        <f>IFERROR(AH104/F104,0)+IFERROR(AH104/G104,0)</f>
        <v>0</v>
      </c>
      <c r="AI105" s="21"/>
      <c r="AJ105" s="21"/>
    </row>
    <row r="106" spans="1:36" x14ac:dyDescent="0.35">
      <c r="A106" s="21"/>
      <c r="B106" s="21"/>
      <c r="C106" s="21"/>
      <c r="D106" s="21"/>
      <c r="E106" s="21"/>
      <c r="F106" s="21"/>
      <c r="G106" s="21"/>
      <c r="H106" s="26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7" t="str">
        <f>IFERROR(AH104/AG104,"")</f>
        <v/>
      </c>
      <c r="AI106" s="21"/>
      <c r="AJ106" s="21"/>
    </row>
    <row r="107" spans="1:36" x14ac:dyDescent="0.35">
      <c r="A107" s="21"/>
      <c r="B107" s="21"/>
      <c r="C107" s="21"/>
      <c r="D107" s="21"/>
      <c r="E107" s="21"/>
      <c r="F107" s="21"/>
      <c r="G107" s="21"/>
      <c r="H107" s="26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47"/>
      <c r="AI107" s="47"/>
      <c r="AJ107" s="47"/>
    </row>
    <row r="108" spans="1:36" x14ac:dyDescent="0.35">
      <c r="A108" s="14" t="s">
        <v>1</v>
      </c>
      <c r="B108" s="14" t="s">
        <v>2</v>
      </c>
      <c r="C108" s="14" t="s">
        <v>110</v>
      </c>
      <c r="D108" s="14" t="s">
        <v>66</v>
      </c>
      <c r="E108" s="14" t="s">
        <v>638</v>
      </c>
      <c r="F108" s="14" t="s">
        <v>137</v>
      </c>
      <c r="G108" s="14" t="s">
        <v>138</v>
      </c>
      <c r="H108" s="308" t="s">
        <v>4</v>
      </c>
      <c r="I108" s="14" t="s">
        <v>5</v>
      </c>
      <c r="J108" s="14" t="s">
        <v>6</v>
      </c>
      <c r="K108" s="14" t="s">
        <v>7</v>
      </c>
      <c r="L108" s="14" t="s">
        <v>279</v>
      </c>
      <c r="M108" s="14" t="s">
        <v>280</v>
      </c>
      <c r="N108" s="14" t="s">
        <v>281</v>
      </c>
      <c r="O108" s="14" t="s">
        <v>282</v>
      </c>
      <c r="P108" s="14" t="s">
        <v>283</v>
      </c>
      <c r="Q108" s="14" t="s">
        <v>284</v>
      </c>
      <c r="R108" s="14" t="s">
        <v>904</v>
      </c>
      <c r="S108" s="14" t="s">
        <v>285</v>
      </c>
      <c r="T108" s="14" t="s">
        <v>289</v>
      </c>
      <c r="U108" s="14" t="s">
        <v>8</v>
      </c>
      <c r="V108" s="14" t="s">
        <v>9</v>
      </c>
      <c r="W108" s="14" t="s">
        <v>10</v>
      </c>
      <c r="X108" s="14" t="s">
        <v>100</v>
      </c>
      <c r="Y108" s="14" t="s">
        <v>106</v>
      </c>
      <c r="Z108" s="14" t="s">
        <v>12</v>
      </c>
      <c r="AA108" s="14" t="s">
        <v>258</v>
      </c>
      <c r="AB108" s="14" t="s">
        <v>13</v>
      </c>
      <c r="AC108" s="14" t="s">
        <v>74</v>
      </c>
      <c r="AD108" s="14" t="s">
        <v>21</v>
      </c>
      <c r="AE108" s="14" t="s">
        <v>14</v>
      </c>
      <c r="AF108" s="14" t="s">
        <v>15</v>
      </c>
      <c r="AG108" s="14" t="s">
        <v>16</v>
      </c>
      <c r="AH108" s="15" t="s">
        <v>17</v>
      </c>
      <c r="AI108" s="14" t="s">
        <v>679</v>
      </c>
      <c r="AJ108" s="14" t="s">
        <v>678</v>
      </c>
    </row>
    <row r="109" spans="1:36" x14ac:dyDescent="0.35">
      <c r="A109" s="20"/>
      <c r="B109" s="21"/>
      <c r="C109" s="21"/>
      <c r="D109" s="44"/>
      <c r="E109" s="44" t="s">
        <v>652</v>
      </c>
      <c r="F109" s="21"/>
      <c r="G109" s="21"/>
      <c r="H109" s="353"/>
      <c r="I109" s="33">
        <v>0</v>
      </c>
      <c r="J109" s="24" t="str">
        <f>IFERROR(K109/H109,"")</f>
        <v/>
      </c>
      <c r="K109" s="22">
        <v>0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5">
        <v>0</v>
      </c>
      <c r="V109" s="25">
        <f>H109*U109*I109/15</f>
        <v>0</v>
      </c>
      <c r="W109" s="25">
        <v>0</v>
      </c>
      <c r="X109" s="25" t="str">
        <f>IFERROR(IFERROR((H109*W109*J109/15),""),"")</f>
        <v/>
      </c>
      <c r="Y109" s="25"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f>IF(F109="",G109*4.24,F109*4.24)</f>
        <v>0</v>
      </c>
      <c r="AE109" s="25" t="str">
        <f>IFERROR(IFERROR((X109*0.2%),""),"")</f>
        <v/>
      </c>
      <c r="AF109" s="25">
        <f>V109+Y109+Z109+AA109+AB109+AC109+AD109</f>
        <v>0</v>
      </c>
      <c r="AG109" s="25" t="str">
        <f>IFERROR(IFERROR((H109*W109*J109/15)-AE109,""),"")</f>
        <v/>
      </c>
      <c r="AH109" s="26">
        <f>IFERROR(AG109-AF109,0)</f>
        <v>0</v>
      </c>
      <c r="AI109" s="25">
        <f>(F109+G109)/$AL$7*$AL$29</f>
        <v>0</v>
      </c>
      <c r="AJ109" s="25">
        <f>(AH109-AI109)*70%</f>
        <v>0</v>
      </c>
    </row>
    <row r="110" spans="1:36" x14ac:dyDescent="0.35">
      <c r="A110" s="21"/>
      <c r="B110" s="21"/>
      <c r="C110" s="21"/>
      <c r="D110" s="21"/>
      <c r="E110" s="21"/>
      <c r="F110" s="21"/>
      <c r="G110" s="21"/>
      <c r="H110" s="26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3"/>
      <c r="AA110" s="21"/>
      <c r="AB110" s="21"/>
      <c r="AC110" s="21"/>
      <c r="AD110" s="21"/>
      <c r="AE110" s="21"/>
      <c r="AF110" s="21"/>
      <c r="AG110" s="21"/>
      <c r="AH110" s="26">
        <f>IFERROR(AH109/F109,0)+IFERROR(AH109/G109,0)</f>
        <v>0</v>
      </c>
      <c r="AI110" s="21"/>
      <c r="AJ110" s="21"/>
    </row>
    <row r="111" spans="1:36" x14ac:dyDescent="0.35">
      <c r="A111" s="21"/>
      <c r="B111" s="21"/>
      <c r="C111" s="21"/>
      <c r="D111" s="21"/>
      <c r="E111" s="21"/>
      <c r="F111" s="21"/>
      <c r="G111" s="21"/>
      <c r="H111" s="26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7" t="str">
        <f>IFERROR(AH109/AG109,"")</f>
        <v/>
      </c>
      <c r="AI111" s="21"/>
      <c r="AJ111" s="21"/>
    </row>
    <row r="112" spans="1:36" x14ac:dyDescent="0.35">
      <c r="A112" s="21"/>
      <c r="B112" s="21"/>
      <c r="C112" s="21"/>
      <c r="D112" s="21"/>
      <c r="E112" s="21"/>
      <c r="F112" s="21"/>
      <c r="G112" s="21"/>
      <c r="H112" s="26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47"/>
      <c r="AI112" s="21"/>
      <c r="AJ112" s="21"/>
    </row>
    <row r="113" spans="1:36" x14ac:dyDescent="0.35">
      <c r="A113" s="14" t="s">
        <v>1</v>
      </c>
      <c r="B113" s="14" t="s">
        <v>2</v>
      </c>
      <c r="C113" s="14" t="s">
        <v>110</v>
      </c>
      <c r="D113" s="14" t="s">
        <v>66</v>
      </c>
      <c r="E113" s="14" t="s">
        <v>638</v>
      </c>
      <c r="F113" s="14" t="s">
        <v>137</v>
      </c>
      <c r="G113" s="14" t="s">
        <v>138</v>
      </c>
      <c r="H113" s="308" t="s">
        <v>4</v>
      </c>
      <c r="I113" s="14" t="s">
        <v>5</v>
      </c>
      <c r="J113" s="14" t="s">
        <v>6</v>
      </c>
      <c r="K113" s="14" t="s">
        <v>7</v>
      </c>
      <c r="L113" s="14" t="s">
        <v>279</v>
      </c>
      <c r="M113" s="14" t="s">
        <v>280</v>
      </c>
      <c r="N113" s="14" t="s">
        <v>281</v>
      </c>
      <c r="O113" s="14" t="s">
        <v>282</v>
      </c>
      <c r="P113" s="14" t="s">
        <v>283</v>
      </c>
      <c r="Q113" s="14" t="s">
        <v>284</v>
      </c>
      <c r="R113" s="14" t="s">
        <v>904</v>
      </c>
      <c r="S113" s="14" t="s">
        <v>285</v>
      </c>
      <c r="T113" s="14" t="s">
        <v>289</v>
      </c>
      <c r="U113" s="14" t="s">
        <v>8</v>
      </c>
      <c r="V113" s="14" t="s">
        <v>9</v>
      </c>
      <c r="W113" s="14" t="s">
        <v>10</v>
      </c>
      <c r="X113" s="14" t="s">
        <v>100</v>
      </c>
      <c r="Y113" s="14" t="s">
        <v>106</v>
      </c>
      <c r="Z113" s="14" t="s">
        <v>12</v>
      </c>
      <c r="AA113" s="14" t="s">
        <v>258</v>
      </c>
      <c r="AB113" s="14" t="s">
        <v>13</v>
      </c>
      <c r="AC113" s="14" t="s">
        <v>74</v>
      </c>
      <c r="AD113" s="14" t="s">
        <v>21</v>
      </c>
      <c r="AE113" s="14" t="s">
        <v>14</v>
      </c>
      <c r="AF113" s="14" t="s">
        <v>15</v>
      </c>
      <c r="AG113" s="14" t="s">
        <v>16</v>
      </c>
      <c r="AH113" s="15" t="s">
        <v>17</v>
      </c>
      <c r="AI113" s="14" t="s">
        <v>679</v>
      </c>
      <c r="AJ113" s="14" t="s">
        <v>678</v>
      </c>
    </row>
    <row r="114" spans="1:36" x14ac:dyDescent="0.35">
      <c r="A114" s="20"/>
      <c r="B114" s="21"/>
      <c r="C114" s="21"/>
      <c r="D114" s="44"/>
      <c r="E114" s="44" t="s">
        <v>652</v>
      </c>
      <c r="F114" s="21"/>
      <c r="G114" s="21"/>
      <c r="H114" s="353"/>
      <c r="I114" s="33">
        <v>0</v>
      </c>
      <c r="J114" s="24" t="str">
        <f>IFERROR(K114/H114,"")</f>
        <v/>
      </c>
      <c r="K114" s="22">
        <v>0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5">
        <v>0</v>
      </c>
      <c r="V114" s="25">
        <f>H114*U114*I114/15</f>
        <v>0</v>
      </c>
      <c r="W114" s="25">
        <v>0</v>
      </c>
      <c r="X114" s="25" t="str">
        <f>IFERROR(IFERROR((H114*W114*J114/15),""),"")</f>
        <v/>
      </c>
      <c r="Y114" s="25"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f>IF(F114="",G114*4.24,F114*4.24)</f>
        <v>0</v>
      </c>
      <c r="AE114" s="25" t="str">
        <f>IFERROR(IFERROR((X114*0.2%),""),"")</f>
        <v/>
      </c>
      <c r="AF114" s="25">
        <f>V114+Y114+Z114+AA114+AB114+AC114+AD114</f>
        <v>0</v>
      </c>
      <c r="AG114" s="25" t="str">
        <f>IFERROR(IFERROR((H114*W114*J114/15)-AE114,""),"")</f>
        <v/>
      </c>
      <c r="AH114" s="26">
        <f>IFERROR(AG114-AF114,0)</f>
        <v>0</v>
      </c>
      <c r="AI114" s="25">
        <f>(F114+G114)/$AL$7*$AL$29</f>
        <v>0</v>
      </c>
      <c r="AJ114" s="25">
        <f>(AH114-AI114)*70%</f>
        <v>0</v>
      </c>
    </row>
    <row r="115" spans="1:36" x14ac:dyDescent="0.35">
      <c r="A115" s="21"/>
      <c r="B115" s="21"/>
      <c r="C115" s="21"/>
      <c r="D115" s="21"/>
      <c r="E115" s="21"/>
      <c r="F115" s="21"/>
      <c r="G115" s="21"/>
      <c r="H115" s="26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3"/>
      <c r="AA115" s="21"/>
      <c r="AB115" s="21"/>
      <c r="AC115" s="21"/>
      <c r="AD115" s="21"/>
      <c r="AE115" s="21"/>
      <c r="AF115" s="21"/>
      <c r="AG115" s="21"/>
      <c r="AH115" s="26">
        <f>IFERROR(AH114/F114,0)+IFERROR(AH114/G114,0)</f>
        <v>0</v>
      </c>
      <c r="AI115" s="21"/>
      <c r="AJ115" s="21"/>
    </row>
    <row r="116" spans="1:36" x14ac:dyDescent="0.35">
      <c r="A116" s="21"/>
      <c r="B116" s="21"/>
      <c r="C116" s="21"/>
      <c r="D116" s="21"/>
      <c r="E116" s="21"/>
      <c r="F116" s="21"/>
      <c r="G116" s="21"/>
      <c r="H116" s="26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7" t="str">
        <f>IFERROR(AH114/AG114,"")</f>
        <v/>
      </c>
      <c r="AI116" s="21"/>
      <c r="AJ116" s="21"/>
    </row>
    <row r="117" spans="1:36" x14ac:dyDescent="0.35">
      <c r="A117" s="21"/>
      <c r="B117" s="21"/>
      <c r="C117" s="21"/>
      <c r="D117" s="21"/>
      <c r="E117" s="21"/>
      <c r="F117" s="21"/>
      <c r="G117" s="21"/>
      <c r="H117" s="26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47"/>
      <c r="AI117" s="21"/>
      <c r="AJ117" s="21"/>
    </row>
    <row r="118" spans="1:36" x14ac:dyDescent="0.35">
      <c r="A118" s="14" t="s">
        <v>1</v>
      </c>
      <c r="B118" s="14" t="s">
        <v>2</v>
      </c>
      <c r="C118" s="14" t="s">
        <v>110</v>
      </c>
      <c r="D118" s="14" t="s">
        <v>66</v>
      </c>
      <c r="E118" s="14" t="s">
        <v>638</v>
      </c>
      <c r="F118" s="14" t="s">
        <v>137</v>
      </c>
      <c r="G118" s="14" t="s">
        <v>138</v>
      </c>
      <c r="H118" s="308" t="s">
        <v>4</v>
      </c>
      <c r="I118" s="14" t="s">
        <v>5</v>
      </c>
      <c r="J118" s="14" t="s">
        <v>6</v>
      </c>
      <c r="K118" s="14" t="s">
        <v>7</v>
      </c>
      <c r="L118" s="14" t="s">
        <v>279</v>
      </c>
      <c r="M118" s="14" t="s">
        <v>280</v>
      </c>
      <c r="N118" s="14" t="s">
        <v>281</v>
      </c>
      <c r="O118" s="14" t="s">
        <v>282</v>
      </c>
      <c r="P118" s="14" t="s">
        <v>283</v>
      </c>
      <c r="Q118" s="14" t="s">
        <v>284</v>
      </c>
      <c r="R118" s="14" t="s">
        <v>904</v>
      </c>
      <c r="S118" s="14" t="s">
        <v>285</v>
      </c>
      <c r="T118" s="14" t="s">
        <v>289</v>
      </c>
      <c r="U118" s="14" t="s">
        <v>8</v>
      </c>
      <c r="V118" s="14" t="s">
        <v>9</v>
      </c>
      <c r="W118" s="14" t="s">
        <v>10</v>
      </c>
      <c r="X118" s="14" t="s">
        <v>100</v>
      </c>
      <c r="Y118" s="14" t="s">
        <v>106</v>
      </c>
      <c r="Z118" s="14" t="s">
        <v>12</v>
      </c>
      <c r="AA118" s="14" t="s">
        <v>258</v>
      </c>
      <c r="AB118" s="14" t="s">
        <v>13</v>
      </c>
      <c r="AC118" s="14" t="s">
        <v>74</v>
      </c>
      <c r="AD118" s="14" t="s">
        <v>21</v>
      </c>
      <c r="AE118" s="14" t="s">
        <v>14</v>
      </c>
      <c r="AF118" s="14" t="s">
        <v>15</v>
      </c>
      <c r="AG118" s="14" t="s">
        <v>16</v>
      </c>
      <c r="AH118" s="15" t="s">
        <v>17</v>
      </c>
      <c r="AI118" s="14" t="s">
        <v>679</v>
      </c>
      <c r="AJ118" s="14" t="s">
        <v>678</v>
      </c>
    </row>
    <row r="119" spans="1:36" x14ac:dyDescent="0.35">
      <c r="A119" s="20"/>
      <c r="B119" s="21"/>
      <c r="C119" s="21"/>
      <c r="D119" s="44"/>
      <c r="E119" s="44" t="s">
        <v>652</v>
      </c>
      <c r="F119" s="21"/>
      <c r="G119" s="21"/>
      <c r="H119" s="353"/>
      <c r="I119" s="33">
        <v>0</v>
      </c>
      <c r="J119" s="24" t="str">
        <f>IFERROR(K119/H119,"")</f>
        <v/>
      </c>
      <c r="K119" s="22">
        <v>0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5">
        <v>0</v>
      </c>
      <c r="V119" s="25">
        <f>H119*U119*I119/15</f>
        <v>0</v>
      </c>
      <c r="W119" s="25">
        <v>0</v>
      </c>
      <c r="X119" s="25" t="str">
        <f>IFERROR(IFERROR((H119*W119*J119/15),""),"")</f>
        <v/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f>IF(F119="",G119*4.24,F119*4.24)</f>
        <v>0</v>
      </c>
      <c r="AE119" s="25" t="str">
        <f>IFERROR(IFERROR((X119*0.2%),""),"")</f>
        <v/>
      </c>
      <c r="AF119" s="25">
        <f>V119+Y119+Z119+AA119+AB119+AC119+AD119</f>
        <v>0</v>
      </c>
      <c r="AG119" s="25" t="str">
        <f>IFERROR(IFERROR((H119*W119*J119/15)-AE119,""),"")</f>
        <v/>
      </c>
      <c r="AH119" s="26">
        <f>IFERROR(AG119-AF119,0)</f>
        <v>0</v>
      </c>
      <c r="AI119" s="25">
        <f>(F119+G119)/$AL$7*$AL$29</f>
        <v>0</v>
      </c>
      <c r="AJ119" s="25">
        <f>(AH119-AI119)*70%</f>
        <v>0</v>
      </c>
    </row>
    <row r="120" spans="1:36" x14ac:dyDescent="0.35">
      <c r="A120" s="21"/>
      <c r="B120" s="21"/>
      <c r="C120" s="21"/>
      <c r="D120" s="21"/>
      <c r="E120" s="21"/>
      <c r="F120" s="21"/>
      <c r="G120" s="21"/>
      <c r="H120" s="26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3"/>
      <c r="AA120" s="21"/>
      <c r="AB120" s="21"/>
      <c r="AC120" s="21"/>
      <c r="AD120" s="21"/>
      <c r="AE120" s="21"/>
      <c r="AF120" s="21"/>
      <c r="AG120" s="21"/>
      <c r="AH120" s="26">
        <f>IFERROR(AH119/F119,0)+IFERROR(AH119/G119,0)</f>
        <v>0</v>
      </c>
      <c r="AI120" s="21"/>
      <c r="AJ120" s="21"/>
    </row>
    <row r="121" spans="1:36" x14ac:dyDescent="0.35">
      <c r="A121" s="21"/>
      <c r="B121" s="21"/>
      <c r="C121" s="21"/>
      <c r="D121" s="21"/>
      <c r="E121" s="21"/>
      <c r="F121" s="21"/>
      <c r="G121" s="21"/>
      <c r="H121" s="26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7" t="str">
        <f>IFERROR(AH119/AG119,"")</f>
        <v/>
      </c>
      <c r="AI121" s="21"/>
      <c r="AJ121" s="21"/>
    </row>
    <row r="122" spans="1:36" ht="15" thickBot="1" x14ac:dyDescent="0.4">
      <c r="A122" s="21"/>
      <c r="B122" s="21"/>
      <c r="C122" s="21"/>
      <c r="D122" s="21"/>
      <c r="E122" s="21"/>
      <c r="F122" s="21"/>
      <c r="G122" s="21"/>
      <c r="H122" s="26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47"/>
      <c r="AI122" s="47"/>
      <c r="AJ122" s="47"/>
    </row>
    <row r="123" spans="1:36" ht="16" thickBot="1" x14ac:dyDescent="0.4">
      <c r="A123" s="377" t="s">
        <v>1033</v>
      </c>
      <c r="B123" s="378"/>
      <c r="C123" s="378"/>
      <c r="D123" s="378"/>
      <c r="E123" s="378"/>
      <c r="F123" s="163">
        <f>SUM(F4:F119)</f>
        <v>700</v>
      </c>
      <c r="G123" s="163">
        <f>SUM(G4:G119)</f>
        <v>0</v>
      </c>
      <c r="H123" s="309">
        <f>SUM(H4:H119)</f>
        <v>375090</v>
      </c>
      <c r="I123" s="30"/>
      <c r="J123" s="30"/>
      <c r="K123" s="274">
        <f>SUM(K4:K119)</f>
        <v>193650</v>
      </c>
      <c r="L123" s="46"/>
      <c r="M123" s="46"/>
      <c r="N123" s="46"/>
      <c r="O123" s="46"/>
      <c r="P123" s="46"/>
      <c r="Q123" s="46"/>
      <c r="R123" s="46"/>
      <c r="S123" s="46"/>
      <c r="T123" s="46"/>
      <c r="U123" s="30"/>
      <c r="V123" s="275">
        <f>SUM(V4:V119)</f>
        <v>2887933.7800000003</v>
      </c>
      <c r="W123" s="31"/>
      <c r="X123" s="275">
        <f t="shared" ref="X123:AG123" si="0">SUM(X4:X119)</f>
        <v>3025120.33</v>
      </c>
      <c r="Y123" s="275">
        <f t="shared" si="0"/>
        <v>22800</v>
      </c>
      <c r="Z123" s="275">
        <f t="shared" si="0"/>
        <v>73316.91</v>
      </c>
      <c r="AA123" s="275">
        <f t="shared" si="0"/>
        <v>0</v>
      </c>
      <c r="AB123" s="275">
        <f t="shared" si="0"/>
        <v>18375</v>
      </c>
      <c r="AC123" s="275">
        <f t="shared" si="0"/>
        <v>3800</v>
      </c>
      <c r="AD123" s="275">
        <f t="shared" si="0"/>
        <v>2968</v>
      </c>
      <c r="AE123" s="275">
        <f t="shared" si="0"/>
        <v>6050.2406600000004</v>
      </c>
      <c r="AF123" s="275">
        <f t="shared" si="0"/>
        <v>3009193.69</v>
      </c>
      <c r="AG123" s="275">
        <f t="shared" si="0"/>
        <v>3019070.0893399999</v>
      </c>
      <c r="AH123" s="276">
        <f>AH4+AH9+AH14+AH19+AH29+AH34+AH39+AH44+AH49+AH54+AH59+AH64+AH69+AH74+AH79+AH84+AH89+AH94+AH99+AH104+AH109+AH114+AH119</f>
        <v>215485.06933999964</v>
      </c>
      <c r="AI123" s="275">
        <f>SUM(AI4:AI119)</f>
        <v>0</v>
      </c>
      <c r="AJ123" s="275">
        <f>SUM(AJ4:AJ119)</f>
        <v>6913.4795379997522</v>
      </c>
    </row>
    <row r="135" spans="41:41" x14ac:dyDescent="0.35">
      <c r="AO135" s="21"/>
    </row>
  </sheetData>
  <mergeCells count="1">
    <mergeCell ref="A123:E123"/>
  </mergeCells>
  <pageMargins left="0.511811024" right="0.511811024" top="0.78740157499999996" bottom="0.78740157499999996" header="0.31496062000000002" footer="0.31496062000000002"/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C2:G74"/>
  <sheetViews>
    <sheetView showGridLines="0" topLeftCell="A40" workbookViewId="0">
      <selection activeCell="D68" sqref="D68"/>
    </sheetView>
  </sheetViews>
  <sheetFormatPr defaultRowHeight="14.5" x14ac:dyDescent="0.35"/>
  <cols>
    <col min="3" max="3" width="23" customWidth="1"/>
    <col min="4" max="4" width="21.81640625" customWidth="1"/>
    <col min="5" max="5" width="18.7265625" customWidth="1"/>
    <col min="6" max="6" width="7.81640625" bestFit="1" customWidth="1"/>
    <col min="8" max="8" width="24.26953125" customWidth="1"/>
  </cols>
  <sheetData>
    <row r="2" spans="3:7" ht="46.9" customHeight="1" x14ac:dyDescent="0.35">
      <c r="C2" s="393" t="s">
        <v>916</v>
      </c>
      <c r="D2" s="394"/>
    </row>
    <row r="3" spans="3:7" ht="46.9" customHeight="1" x14ac:dyDescent="0.35">
      <c r="C3" s="203" t="s">
        <v>683</v>
      </c>
      <c r="D3" s="203" t="s">
        <v>684</v>
      </c>
    </row>
    <row r="4" spans="3:7" s="169" customFormat="1" ht="35.5" customHeight="1" x14ac:dyDescent="0.35">
      <c r="C4" s="168">
        <f>SUM('16.12:Resumo 17.02'!AL3)</f>
        <v>289891088.49171174</v>
      </c>
      <c r="D4" s="168">
        <f>SUM('16.12:Resumo 17.02'!AM3)</f>
        <v>17713865.510998331</v>
      </c>
      <c r="F4" s="232"/>
    </row>
    <row r="5" spans="3:7" s="169" customFormat="1" ht="35.5" customHeight="1" x14ac:dyDescent="0.35">
      <c r="C5" s="170" t="s">
        <v>749</v>
      </c>
      <c r="D5" s="171">
        <f>D4/C4</f>
        <v>6.1105243362818265E-2</v>
      </c>
    </row>
    <row r="8" spans="3:7" ht="29" x14ac:dyDescent="0.35">
      <c r="C8" s="233" t="s">
        <v>685</v>
      </c>
      <c r="D8" s="234" t="s">
        <v>686</v>
      </c>
      <c r="E8" s="233" t="s">
        <v>687</v>
      </c>
      <c r="F8" s="235" t="s">
        <v>675</v>
      </c>
      <c r="G8" s="236"/>
    </row>
    <row r="9" spans="3:7" x14ac:dyDescent="0.35">
      <c r="C9" s="239">
        <v>44911</v>
      </c>
      <c r="D9" s="279">
        <f>'16.12'!AL3</f>
        <v>7483650.7158333333</v>
      </c>
      <c r="E9" s="279">
        <f>'16.12'!AM3</f>
        <v>492165.25316666649</v>
      </c>
      <c r="F9" s="237">
        <f>E9/D9</f>
        <v>6.5765396041985377E-2</v>
      </c>
      <c r="G9" s="236"/>
    </row>
    <row r="10" spans="3:7" x14ac:dyDescent="0.35">
      <c r="C10" s="239">
        <v>44932</v>
      </c>
      <c r="D10" s="279">
        <f>'06.01'!AL3</f>
        <v>4778181.4426666666</v>
      </c>
      <c r="E10" s="279">
        <f>'06.01'!AM3</f>
        <v>137091.22948000033</v>
      </c>
      <c r="F10" s="237">
        <f t="shared" ref="F10:F72" si="0">E10/D10</f>
        <v>2.869108909424142E-2</v>
      </c>
      <c r="G10" s="236"/>
    </row>
    <row r="11" spans="3:7" x14ac:dyDescent="0.35">
      <c r="C11" s="239">
        <v>44939</v>
      </c>
      <c r="D11" s="279">
        <f>'13.01'!AL3</f>
        <v>6402961.6546666659</v>
      </c>
      <c r="E11" s="279">
        <f>'13.01'!AM3</f>
        <v>224442.68533333315</v>
      </c>
      <c r="F11" s="237">
        <f t="shared" si="0"/>
        <v>3.5052948531989529E-2</v>
      </c>
      <c r="G11" s="236"/>
    </row>
    <row r="12" spans="3:7" x14ac:dyDescent="0.35">
      <c r="C12" s="239">
        <v>44946</v>
      </c>
      <c r="D12" s="279">
        <f>'20.01'!AL3</f>
        <v>3392903.4233333333</v>
      </c>
      <c r="E12" s="279">
        <f>'20.01'!AM3</f>
        <v>210072.9346133334</v>
      </c>
      <c r="F12" s="237">
        <f t="shared" si="0"/>
        <v>6.1915388799056587E-2</v>
      </c>
      <c r="G12" s="236"/>
    </row>
    <row r="13" spans="3:7" x14ac:dyDescent="0.35">
      <c r="C13" s="239">
        <v>44953</v>
      </c>
      <c r="D13" s="279">
        <f>'27.01'!AL3</f>
        <v>2688421.4766666675</v>
      </c>
      <c r="E13" s="279">
        <f>'27.01'!AM3</f>
        <v>56328.533333333078</v>
      </c>
      <c r="F13" s="237">
        <f t="shared" si="0"/>
        <v>2.0952270253090658E-2</v>
      </c>
      <c r="G13" s="236"/>
    </row>
    <row r="14" spans="3:7" x14ac:dyDescent="0.35">
      <c r="C14" s="239">
        <v>44960</v>
      </c>
      <c r="D14" s="279">
        <f>'03.02'!AL3</f>
        <v>1736622.1233333335</v>
      </c>
      <c r="E14" s="279">
        <f>'03.02'!AM3</f>
        <v>138405.88909333327</v>
      </c>
      <c r="F14" s="237">
        <f t="shared" si="0"/>
        <v>7.9698333468004048E-2</v>
      </c>
      <c r="G14" s="236"/>
    </row>
    <row r="15" spans="3:7" x14ac:dyDescent="0.35">
      <c r="C15" s="239">
        <v>44967</v>
      </c>
      <c r="D15" s="279">
        <f>'10.02'!AL3</f>
        <v>3736876.5666666664</v>
      </c>
      <c r="E15" s="279">
        <f>'10.02'!AM3</f>
        <v>254581.05533333332</v>
      </c>
      <c r="F15" s="237">
        <f t="shared" si="0"/>
        <v>6.8126696397794673E-2</v>
      </c>
      <c r="G15" s="236"/>
    </row>
    <row r="16" spans="3:7" x14ac:dyDescent="0.35">
      <c r="C16" s="239">
        <v>44974</v>
      </c>
      <c r="D16" s="279">
        <f>'17.02'!AL3</f>
        <v>3663915.7133333334</v>
      </c>
      <c r="E16" s="279">
        <f>'17.02'!AM3</f>
        <v>450457.50581999979</v>
      </c>
      <c r="F16" s="237">
        <f t="shared" si="0"/>
        <v>0.12294428722274986</v>
      </c>
      <c r="G16" s="236"/>
    </row>
    <row r="17" spans="3:7" x14ac:dyDescent="0.35">
      <c r="C17" s="239">
        <v>44981</v>
      </c>
      <c r="D17" s="279">
        <f>'24.02'!AL3</f>
        <v>2733142.3000000003</v>
      </c>
      <c r="E17" s="279">
        <f>'24.02'!AM3</f>
        <v>118437.33499999973</v>
      </c>
      <c r="F17" s="237">
        <f t="shared" si="0"/>
        <v>4.3333760924193269E-2</v>
      </c>
      <c r="G17" s="236"/>
    </row>
    <row r="18" spans="3:7" x14ac:dyDescent="0.35">
      <c r="C18" s="239">
        <v>44988</v>
      </c>
      <c r="D18" s="279">
        <f>'03.03'!AL3</f>
        <v>1506062.0666666669</v>
      </c>
      <c r="E18" s="279">
        <f>'03.03'!AM3</f>
        <v>1450.3751999998931</v>
      </c>
      <c r="F18" s="237">
        <f t="shared" si="0"/>
        <v>9.6302485276053443E-4</v>
      </c>
      <c r="G18" s="236"/>
    </row>
    <row r="19" spans="3:7" x14ac:dyDescent="0.35">
      <c r="C19" s="239">
        <v>44995</v>
      </c>
      <c r="D19" s="279">
        <f>'10.03'!AL3</f>
        <v>2384465.8417333337</v>
      </c>
      <c r="E19" s="279">
        <f>'10.03'!AM3</f>
        <v>110987.27573333289</v>
      </c>
      <c r="F19" s="237">
        <f t="shared" si="0"/>
        <v>4.6545970083032601E-2</v>
      </c>
      <c r="G19" s="236"/>
    </row>
    <row r="20" spans="3:7" x14ac:dyDescent="0.35">
      <c r="C20" s="239">
        <v>45002</v>
      </c>
      <c r="D20" s="279">
        <f>'17.03'!AL3</f>
        <v>4812404.2166666668</v>
      </c>
      <c r="E20" s="279">
        <f>'17.03'!AM3</f>
        <v>217830.81553333308</v>
      </c>
      <c r="F20" s="237">
        <f t="shared" si="0"/>
        <v>4.5264446984508412E-2</v>
      </c>
      <c r="G20" s="236"/>
    </row>
    <row r="21" spans="3:7" x14ac:dyDescent="0.35">
      <c r="C21" s="239">
        <v>45009</v>
      </c>
      <c r="D21" s="279">
        <f>'24.03'!AL3</f>
        <v>4675480.790000001</v>
      </c>
      <c r="E21" s="279">
        <f>'24.03'!AM3</f>
        <v>171422.55806666613</v>
      </c>
      <c r="F21" s="237">
        <f t="shared" si="0"/>
        <v>3.6664156215400916E-2</v>
      </c>
      <c r="G21" s="236"/>
    </row>
    <row r="22" spans="3:7" x14ac:dyDescent="0.35">
      <c r="C22" s="239">
        <v>45016</v>
      </c>
      <c r="D22" s="279">
        <f>'31.03'!AL3</f>
        <v>5076980.8966666656</v>
      </c>
      <c r="E22" s="279">
        <f>'31.03'!AM3</f>
        <v>580631.81134000013</v>
      </c>
      <c r="F22" s="237">
        <f t="shared" si="0"/>
        <v>0.11436556945117103</v>
      </c>
      <c r="G22" s="236"/>
    </row>
    <row r="23" spans="3:7" x14ac:dyDescent="0.35">
      <c r="C23" s="239">
        <v>45023</v>
      </c>
      <c r="D23" s="279">
        <f>'07.04'!AL3</f>
        <v>3399530.9933333336</v>
      </c>
      <c r="E23" s="279">
        <f>'07.04'!AM3</f>
        <v>362939.30879999977</v>
      </c>
      <c r="F23" s="237">
        <f t="shared" si="0"/>
        <v>0.1067615825570479</v>
      </c>
      <c r="G23" s="236"/>
    </row>
    <row r="24" spans="3:7" x14ac:dyDescent="0.35">
      <c r="C24" s="239">
        <v>45030</v>
      </c>
      <c r="D24" s="279">
        <f>'14.04'!AL3</f>
        <v>2691519.4416666669</v>
      </c>
      <c r="E24" s="279">
        <f>'14.04'!AM3</f>
        <v>248757.38052000001</v>
      </c>
      <c r="F24" s="237">
        <f t="shared" si="0"/>
        <v>9.2422657874602687E-2</v>
      </c>
      <c r="G24" s="236"/>
    </row>
    <row r="25" spans="3:7" x14ac:dyDescent="0.35">
      <c r="C25" s="239">
        <v>45037</v>
      </c>
      <c r="D25" s="279">
        <f>'21.04'!AL3</f>
        <v>5632640.9491666667</v>
      </c>
      <c r="E25" s="279">
        <f>'21.04'!AM3</f>
        <v>323203.36950666649</v>
      </c>
      <c r="F25" s="237">
        <f t="shared" si="0"/>
        <v>5.738043174125692E-2</v>
      </c>
      <c r="G25" s="236"/>
    </row>
    <row r="26" spans="3:7" x14ac:dyDescent="0.35">
      <c r="C26" s="239">
        <v>45044</v>
      </c>
      <c r="D26" s="279">
        <f>'28.04'!AL3</f>
        <v>4777482.206666667</v>
      </c>
      <c r="E26" s="279">
        <f>'28.04'!AM3</f>
        <v>438810.57133333292</v>
      </c>
      <c r="F26" s="237">
        <f t="shared" si="0"/>
        <v>9.1849755237392861E-2</v>
      </c>
      <c r="G26" s="236"/>
    </row>
    <row r="27" spans="3:7" x14ac:dyDescent="0.35">
      <c r="C27" s="239">
        <v>45051</v>
      </c>
      <c r="D27" s="279">
        <f>'05.05'!AL3</f>
        <v>4010734.2233333341</v>
      </c>
      <c r="E27" s="279">
        <f>'05.05'!AM3</f>
        <v>321889.09547999973</v>
      </c>
      <c r="F27" s="237">
        <f t="shared" si="0"/>
        <v>8.0256899997845452E-2</v>
      </c>
      <c r="G27" s="236"/>
    </row>
    <row r="28" spans="3:7" x14ac:dyDescent="0.35">
      <c r="C28" s="239">
        <v>45058</v>
      </c>
      <c r="D28" s="279">
        <f>'12.05'!AL3</f>
        <v>3686684.1753666657</v>
      </c>
      <c r="E28" s="279">
        <f>'12.05'!AM3</f>
        <v>513290.55812</v>
      </c>
      <c r="F28" s="237">
        <f t="shared" si="0"/>
        <v>0.13922824242707196</v>
      </c>
      <c r="G28" s="236"/>
    </row>
    <row r="29" spans="3:7" x14ac:dyDescent="0.35">
      <c r="C29" s="239">
        <v>45065</v>
      </c>
      <c r="D29" s="279">
        <f>'19.05'!AL3</f>
        <v>2510859.1533333329</v>
      </c>
      <c r="E29" s="279">
        <f>'19.05'!AM3</f>
        <v>432186.28373333352</v>
      </c>
      <c r="F29" s="237">
        <f t="shared" si="0"/>
        <v>0.17212685273866415</v>
      </c>
      <c r="G29" s="236"/>
    </row>
    <row r="30" spans="3:7" x14ac:dyDescent="0.35">
      <c r="C30" s="239">
        <v>45072</v>
      </c>
      <c r="D30" s="279">
        <f>'26.05'!AL3</f>
        <v>4697905.5580000011</v>
      </c>
      <c r="E30" s="279">
        <f>'26.05'!AM3</f>
        <v>676779.45100000035</v>
      </c>
      <c r="F30" s="237">
        <f t="shared" si="0"/>
        <v>0.14405982466963849</v>
      </c>
      <c r="G30" s="236"/>
    </row>
    <row r="31" spans="3:7" x14ac:dyDescent="0.35">
      <c r="C31" s="239">
        <v>45079</v>
      </c>
      <c r="D31" s="279">
        <f>'02.06'!AL3</f>
        <v>3472686.9899999993</v>
      </c>
      <c r="E31" s="279">
        <f>'02.06'!AM3</f>
        <v>373743.40066666662</v>
      </c>
      <c r="F31" s="237">
        <f t="shared" si="0"/>
        <v>0.10762369362482241</v>
      </c>
      <c r="G31" s="236"/>
    </row>
    <row r="32" spans="3:7" x14ac:dyDescent="0.35">
      <c r="C32" s="239">
        <v>45086</v>
      </c>
      <c r="D32" s="279">
        <f>'09.06'!AL3</f>
        <v>2797707.1599999997</v>
      </c>
      <c r="E32" s="279">
        <f>'09.06'!AM3</f>
        <v>407084.56500000024</v>
      </c>
      <c r="F32" s="237">
        <f t="shared" si="0"/>
        <v>0.14550649575490249</v>
      </c>
      <c r="G32" s="236"/>
    </row>
    <row r="33" spans="3:7" x14ac:dyDescent="0.35">
      <c r="C33" s="239">
        <v>45093</v>
      </c>
      <c r="D33" s="279">
        <f>'16.06'!AL3</f>
        <v>2760178.2024666667</v>
      </c>
      <c r="E33" s="279">
        <f>'16.06'!AM3</f>
        <v>339970.83686666703</v>
      </c>
      <c r="F33" s="237">
        <f t="shared" si="0"/>
        <v>0.12316988684384507</v>
      </c>
      <c r="G33" s="236"/>
    </row>
    <row r="34" spans="3:7" x14ac:dyDescent="0.35">
      <c r="C34" s="239">
        <v>45100</v>
      </c>
      <c r="D34" s="279">
        <f>'23.06'!AL3</f>
        <v>4090109.0563440872</v>
      </c>
      <c r="E34" s="279">
        <f>'23.06'!AM3</f>
        <v>353860.87246591377</v>
      </c>
      <c r="F34" s="237">
        <f t="shared" si="0"/>
        <v>8.6516243843681173E-2</v>
      </c>
      <c r="G34" s="236"/>
    </row>
    <row r="35" spans="3:7" x14ac:dyDescent="0.35">
      <c r="C35" s="239">
        <v>45107</v>
      </c>
      <c r="D35" s="279">
        <f>'30.06'!AL3</f>
        <v>3947696.3700000006</v>
      </c>
      <c r="E35" s="279">
        <f>'30.06'!AM3</f>
        <v>454615.04244999954</v>
      </c>
      <c r="F35" s="237">
        <f t="shared" si="0"/>
        <v>0.1151595765836468</v>
      </c>
      <c r="G35" s="236"/>
    </row>
    <row r="36" spans="3:7" x14ac:dyDescent="0.35">
      <c r="C36" s="239">
        <v>45114</v>
      </c>
      <c r="D36" s="279">
        <f>'07.07'!AL3</f>
        <v>3465389.7899999996</v>
      </c>
      <c r="E36" s="279">
        <f>'07.07'!AM3</f>
        <v>380786.05732333334</v>
      </c>
      <c r="F36" s="237">
        <f t="shared" si="0"/>
        <v>0.10988260495894558</v>
      </c>
      <c r="G36" s="236"/>
    </row>
    <row r="37" spans="3:7" x14ac:dyDescent="0.35">
      <c r="C37" s="239">
        <v>45121</v>
      </c>
      <c r="D37" s="279">
        <f>'14.07'!AL3</f>
        <v>2797374.4053166667</v>
      </c>
      <c r="E37" s="279">
        <f>'14.07'!AM3</f>
        <v>189406.90337000007</v>
      </c>
      <c r="F37" s="237">
        <f t="shared" si="0"/>
        <v>6.7708814025757472E-2</v>
      </c>
      <c r="G37" s="236"/>
    </row>
    <row r="38" spans="3:7" x14ac:dyDescent="0.35">
      <c r="C38" s="239">
        <v>45128</v>
      </c>
      <c r="D38" s="279">
        <f>'21.07'!AL3</f>
        <v>4034504.3253999995</v>
      </c>
      <c r="E38" s="279">
        <f>'21.07'!AM3</f>
        <v>244680.20593333329</v>
      </c>
      <c r="F38" s="237">
        <f t="shared" si="0"/>
        <v>6.0646906335656128E-2</v>
      </c>
      <c r="G38" s="236"/>
    </row>
    <row r="39" spans="3:7" x14ac:dyDescent="0.35">
      <c r="C39" s="239">
        <v>45135</v>
      </c>
      <c r="D39" s="279">
        <f>'28.07'!AL3</f>
        <v>4761656.1352222217</v>
      </c>
      <c r="E39" s="279">
        <f>'28.07'!AM3</f>
        <v>413913.68293777801</v>
      </c>
      <c r="F39" s="237">
        <f t="shared" si="0"/>
        <v>8.6926411984275101E-2</v>
      </c>
      <c r="G39" s="236"/>
    </row>
    <row r="40" spans="3:7" x14ac:dyDescent="0.35">
      <c r="C40" s="239">
        <v>45142</v>
      </c>
      <c r="D40" s="279">
        <f>'04.08'!AL3</f>
        <v>3165831.0237666671</v>
      </c>
      <c r="E40" s="279">
        <f>'04.08'!AM3</f>
        <v>283152.29167333321</v>
      </c>
      <c r="F40" s="237">
        <f t="shared" si="0"/>
        <v>8.9440115264409176E-2</v>
      </c>
      <c r="G40" s="236"/>
    </row>
    <row r="41" spans="3:7" x14ac:dyDescent="0.35">
      <c r="C41" s="239">
        <v>45149</v>
      </c>
      <c r="D41" s="279">
        <f>'11.08'!AL3</f>
        <v>1403514.554</v>
      </c>
      <c r="E41" s="279">
        <f>'11.08'!AM3</f>
        <v>117914.35466666677</v>
      </c>
      <c r="F41" s="237">
        <f t="shared" si="0"/>
        <v>8.4013631586941681E-2</v>
      </c>
      <c r="G41" s="236"/>
    </row>
    <row r="42" spans="3:7" x14ac:dyDescent="0.35">
      <c r="C42" s="241" t="s">
        <v>688</v>
      </c>
      <c r="D42" s="279">
        <f>'11.08 (N)'!AL3</f>
        <v>3389130.1599750007</v>
      </c>
      <c r="E42" s="279">
        <f>'11.08 (N)'!AM3</f>
        <v>103691.41954499963</v>
      </c>
      <c r="F42" s="237">
        <f t="shared" si="0"/>
        <v>3.0595289838547982E-2</v>
      </c>
      <c r="G42" s="236"/>
    </row>
    <row r="43" spans="3:7" x14ac:dyDescent="0.35">
      <c r="C43" s="239">
        <v>45156</v>
      </c>
      <c r="D43" s="279">
        <f>'18.08'!AL3</f>
        <v>3764421.3100000005</v>
      </c>
      <c r="E43" s="279">
        <f>'18.08'!AM3</f>
        <v>85610.355479999766</v>
      </c>
      <c r="F43" s="237">
        <f t="shared" si="0"/>
        <v>2.2741969729206467E-2</v>
      </c>
      <c r="G43" s="236"/>
    </row>
    <row r="44" spans="3:7" x14ac:dyDescent="0.35">
      <c r="C44" s="239">
        <v>45163</v>
      </c>
      <c r="D44" s="279">
        <f>'25.08'!AL3</f>
        <v>9607060.1388888899</v>
      </c>
      <c r="E44" s="279">
        <f>'25.08'!AM3</f>
        <v>230672.9856511112</v>
      </c>
      <c r="F44" s="237">
        <f t="shared" si="0"/>
        <v>2.4010777731822319E-2</v>
      </c>
      <c r="G44" s="236"/>
    </row>
    <row r="45" spans="3:7" x14ac:dyDescent="0.35">
      <c r="C45" s="239">
        <v>45170</v>
      </c>
      <c r="D45" s="279">
        <f>'01.09'!AL3</f>
        <v>3556256.0300000007</v>
      </c>
      <c r="E45" s="279">
        <f>'01.09'!AM3</f>
        <v>-69732.937673333756</v>
      </c>
      <c r="F45" s="242">
        <f t="shared" si="0"/>
        <v>-1.9608525675620082E-2</v>
      </c>
      <c r="G45" s="236"/>
    </row>
    <row r="46" spans="3:7" x14ac:dyDescent="0.35">
      <c r="C46" s="239">
        <v>45177</v>
      </c>
      <c r="D46" s="279">
        <f>'08.09'!AL3</f>
        <v>6094211.9400000004</v>
      </c>
      <c r="E46" s="279">
        <f>'08.09'!AM3</f>
        <v>154637.20053333227</v>
      </c>
      <c r="F46" s="237">
        <f t="shared" si="0"/>
        <v>2.537443759025753E-2</v>
      </c>
      <c r="G46" s="236"/>
    </row>
    <row r="47" spans="3:7" x14ac:dyDescent="0.35">
      <c r="C47" s="239">
        <v>45185</v>
      </c>
      <c r="D47" s="279">
        <f>'16.09.23'!AL3</f>
        <v>4730832.7366666654</v>
      </c>
      <c r="E47" s="279">
        <f>'16.09.23'!AM3</f>
        <v>118481.39515333288</v>
      </c>
      <c r="F47" s="237">
        <f t="shared" ref="F47:F66" si="1">E47/D47</f>
        <v>2.5044511558194427E-2</v>
      </c>
      <c r="G47" s="236"/>
    </row>
    <row r="48" spans="3:7" x14ac:dyDescent="0.35">
      <c r="C48" s="239">
        <v>45192</v>
      </c>
      <c r="D48" s="279">
        <f>'23.09.23'!AL3</f>
        <v>5065600.3466666667</v>
      </c>
      <c r="E48" s="279">
        <f>'23.09.23'!AM3</f>
        <v>-237.83801333372503</v>
      </c>
      <c r="F48" s="237">
        <f t="shared" si="1"/>
        <v>-4.6951594491703307E-5</v>
      </c>
      <c r="G48" s="236"/>
    </row>
    <row r="49" spans="3:7" x14ac:dyDescent="0.35">
      <c r="C49" s="239">
        <v>45199</v>
      </c>
      <c r="D49" s="279">
        <f>'30.09.23'!AL3</f>
        <v>6631897.7200000007</v>
      </c>
      <c r="E49" s="279">
        <f>'30.09.23'!AM3</f>
        <v>164007.56760159141</v>
      </c>
      <c r="F49" s="237">
        <f t="shared" si="1"/>
        <v>2.4730111127466453E-2</v>
      </c>
      <c r="G49" s="236"/>
    </row>
    <row r="50" spans="3:7" x14ac:dyDescent="0.35">
      <c r="C50" s="239">
        <v>45206</v>
      </c>
      <c r="D50" s="279">
        <f>'07.10.23'!AL3</f>
        <v>7888392.6246666685</v>
      </c>
      <c r="E50" s="279">
        <f>'07.10.23'!AM3</f>
        <v>318885.8796517406</v>
      </c>
      <c r="F50" s="237">
        <f t="shared" si="1"/>
        <v>4.0424696744251545E-2</v>
      </c>
      <c r="G50" s="236"/>
    </row>
    <row r="51" spans="3:7" x14ac:dyDescent="0.35">
      <c r="C51" s="239">
        <v>45213</v>
      </c>
      <c r="D51" s="279">
        <f>'14.10.23'!AL3</f>
        <v>6174826.0353333335</v>
      </c>
      <c r="E51" s="279">
        <f>'14.10.23'!AM3</f>
        <v>178565.5560133328</v>
      </c>
      <c r="F51" s="237">
        <f t="shared" si="1"/>
        <v>2.8918313648279705E-2</v>
      </c>
      <c r="G51" s="236"/>
    </row>
    <row r="52" spans="3:7" x14ac:dyDescent="0.35">
      <c r="C52" s="239">
        <v>45220</v>
      </c>
      <c r="D52" s="279">
        <f>'21.10.23'!AL3</f>
        <v>5402016.6114000008</v>
      </c>
      <c r="E52" s="279">
        <f>'21.10.23'!AM3</f>
        <v>163034.95892333242</v>
      </c>
      <c r="F52" s="237">
        <f t="shared" si="1"/>
        <v>3.0180388297821218E-2</v>
      </c>
      <c r="G52" s="236"/>
    </row>
    <row r="53" spans="3:7" x14ac:dyDescent="0.35">
      <c r="C53" s="239">
        <v>45227</v>
      </c>
      <c r="D53" s="279">
        <f>'28.10.23'!AL3</f>
        <v>6275296.7256666673</v>
      </c>
      <c r="E53" s="279">
        <f>'28.10.23'!AM3</f>
        <v>183421.99039693398</v>
      </c>
      <c r="F53" s="237">
        <f t="shared" si="1"/>
        <v>2.9229213918557425E-2</v>
      </c>
      <c r="G53" s="236"/>
    </row>
    <row r="54" spans="3:7" x14ac:dyDescent="0.35">
      <c r="C54" s="239">
        <v>45234</v>
      </c>
      <c r="D54" s="279">
        <f>'04.11.23'!AL3</f>
        <v>2766079.3766666674</v>
      </c>
      <c r="E54" s="279">
        <f>'04.11.23'!AM3</f>
        <v>-63044.400220268275</v>
      </c>
      <c r="F54" s="237">
        <f t="shared" si="1"/>
        <v>-2.2791970740999302E-2</v>
      </c>
      <c r="G54" s="236"/>
    </row>
    <row r="55" spans="3:7" x14ac:dyDescent="0.35">
      <c r="C55" s="239">
        <v>45241</v>
      </c>
      <c r="D55" s="279">
        <f>'11.11.23'!AL3</f>
        <v>5056801.7953290604</v>
      </c>
      <c r="E55" s="279">
        <f>'11.11.23'!AM3</f>
        <v>110655.52517093965</v>
      </c>
      <c r="F55" s="237">
        <f t="shared" si="1"/>
        <v>2.1882511842396424E-2</v>
      </c>
      <c r="G55" s="236"/>
    </row>
    <row r="56" spans="3:7" x14ac:dyDescent="0.35">
      <c r="C56" s="239">
        <v>45248</v>
      </c>
      <c r="D56" s="279">
        <f>'18.11.23'!AL3</f>
        <v>1235948.3599999999</v>
      </c>
      <c r="E56" s="279">
        <f>'18.11.23'!AM3</f>
        <v>19174.271000000121</v>
      </c>
      <c r="F56" s="237">
        <f t="shared" si="1"/>
        <v>1.5513812405560474E-2</v>
      </c>
      <c r="G56" s="236"/>
    </row>
    <row r="57" spans="3:7" x14ac:dyDescent="0.35">
      <c r="C57" s="239">
        <v>45255</v>
      </c>
      <c r="D57" s="279">
        <f>'25.11.23'!AL3</f>
        <v>7026554.5550000006</v>
      </c>
      <c r="E57" s="279">
        <f>'25.11.23'!AM3</f>
        <v>91874.128034837966</v>
      </c>
      <c r="F57" s="237">
        <f t="shared" si="1"/>
        <v>1.3075274277840991E-2</v>
      </c>
      <c r="G57" s="236"/>
    </row>
    <row r="58" spans="3:7" x14ac:dyDescent="0.35">
      <c r="C58" s="239">
        <v>45262</v>
      </c>
      <c r="D58" s="279">
        <f>'02.12.23'!AL3</f>
        <v>5849614.3872400001</v>
      </c>
      <c r="E58" s="279">
        <f>'02.12.23'!AM3</f>
        <v>160448.89487449441</v>
      </c>
      <c r="F58" s="237">
        <f t="shared" si="1"/>
        <v>2.742896954446913E-2</v>
      </c>
      <c r="G58" s="236"/>
    </row>
    <row r="59" spans="3:7" x14ac:dyDescent="0.35">
      <c r="C59" s="239">
        <v>45269</v>
      </c>
      <c r="D59" s="279">
        <f>'09.12.23'!AL3</f>
        <v>12019427.741246035</v>
      </c>
      <c r="E59" s="279">
        <f>'09.12.23'!AM3</f>
        <v>500516.16069652699</v>
      </c>
      <c r="F59" s="237">
        <f t="shared" si="1"/>
        <v>4.1642262133574692E-2</v>
      </c>
      <c r="G59" s="236"/>
    </row>
    <row r="60" spans="3:7" x14ac:dyDescent="0.35">
      <c r="C60" s="239">
        <v>45276</v>
      </c>
      <c r="D60" s="279">
        <f>'16.12.23'!AL3</f>
        <v>6149033.3909333339</v>
      </c>
      <c r="E60" s="279">
        <f>'16.12.23'!AM3</f>
        <v>229627.49485904703</v>
      </c>
      <c r="F60" s="237">
        <f t="shared" si="1"/>
        <v>3.7343673429653133E-2</v>
      </c>
      <c r="G60" s="236"/>
    </row>
    <row r="61" spans="3:7" x14ac:dyDescent="0.35">
      <c r="C61" s="239">
        <v>45283</v>
      </c>
      <c r="D61" s="279">
        <f>'23.12.23'!AL3</f>
        <v>4234850.4589688489</v>
      </c>
      <c r="E61" s="279">
        <f>'23.12.23'!AM3</f>
        <v>35173.837811596939</v>
      </c>
      <c r="F61" s="237">
        <f t="shared" si="1"/>
        <v>8.3058039834921302E-3</v>
      </c>
      <c r="G61" s="236"/>
    </row>
    <row r="62" spans="3:7" x14ac:dyDescent="0.35">
      <c r="C62" s="239">
        <v>45290</v>
      </c>
      <c r="D62" s="279">
        <f>'30.12.23'!AL3</f>
        <v>4943661.6833333336</v>
      </c>
      <c r="E62" s="279">
        <f>'30.12.23'!AM3</f>
        <v>34371.717182834895</v>
      </c>
      <c r="F62" s="237">
        <f t="shared" si="1"/>
        <v>6.9526839384484902E-3</v>
      </c>
      <c r="G62" s="236"/>
    </row>
    <row r="63" spans="3:7" x14ac:dyDescent="0.35">
      <c r="C63" s="239">
        <v>45297</v>
      </c>
      <c r="D63" s="279">
        <f>'06.01.24'!AL3</f>
        <v>1945065.8399999999</v>
      </c>
      <c r="E63" s="279">
        <f>'06.01.24'!AM3</f>
        <v>-239803.40359488505</v>
      </c>
      <c r="F63" s="237">
        <f t="shared" si="1"/>
        <v>-0.12328806494020021</v>
      </c>
      <c r="G63" s="236"/>
    </row>
    <row r="64" spans="3:7" x14ac:dyDescent="0.35">
      <c r="C64" s="239">
        <v>45304</v>
      </c>
      <c r="D64" s="279">
        <f>'13.01.24'!AL3</f>
        <v>6298304.5071111126</v>
      </c>
      <c r="E64" s="279">
        <f>'13.01.24'!AM3</f>
        <v>63049.474137106838</v>
      </c>
      <c r="F64" s="237">
        <f t="shared" si="1"/>
        <v>1.0010547134696443E-2</v>
      </c>
      <c r="G64" s="236"/>
    </row>
    <row r="65" spans="3:7" x14ac:dyDescent="0.35">
      <c r="C65" s="239">
        <v>45311</v>
      </c>
      <c r="D65" s="279">
        <f>'20.01.24'!AL3</f>
        <v>3621338.4066666667</v>
      </c>
      <c r="E65" s="279">
        <f>'20.01.24'!AM3</f>
        <v>85518.497666666182</v>
      </c>
      <c r="F65" s="237">
        <f t="shared" si="1"/>
        <v>2.3615163252689048E-2</v>
      </c>
      <c r="G65" s="236"/>
    </row>
    <row r="66" spans="3:7" x14ac:dyDescent="0.35">
      <c r="C66" s="239">
        <v>45318</v>
      </c>
      <c r="D66" s="279">
        <f>'27.01.24'!AL3</f>
        <v>5782271.0200000005</v>
      </c>
      <c r="E66" s="279">
        <f>'27.01.24'!AM3</f>
        <v>65925.917666666355</v>
      </c>
      <c r="F66" s="237">
        <f t="shared" si="1"/>
        <v>1.1401388388513541E-2</v>
      </c>
      <c r="G66" s="236"/>
    </row>
    <row r="67" spans="3:7" x14ac:dyDescent="0.35">
      <c r="C67" s="239">
        <v>45325</v>
      </c>
      <c r="D67" s="279" t="e">
        <f>'03.02.24'!#REF!</f>
        <v>#REF!</v>
      </c>
      <c r="E67" s="279" t="e">
        <f>'03.02.24'!#REF!</f>
        <v>#REF!</v>
      </c>
      <c r="F67" s="237" t="e">
        <f>E67/D67</f>
        <v>#REF!</v>
      </c>
      <c r="G67" s="236"/>
    </row>
    <row r="68" spans="3:7" x14ac:dyDescent="0.35">
      <c r="C68" s="239">
        <v>45332</v>
      </c>
      <c r="D68" s="278">
        <f>'10.02.24'!AL3</f>
        <v>4967517.0485031446</v>
      </c>
      <c r="E68" s="278">
        <f>'10.02.24'!AM3</f>
        <v>-7493.9319684787533</v>
      </c>
      <c r="F68" s="237">
        <f>E68/D68</f>
        <v>-1.508587065793139E-3</v>
      </c>
      <c r="G68" s="236"/>
    </row>
    <row r="69" spans="3:7" x14ac:dyDescent="0.35">
      <c r="C69" s="239">
        <v>45339</v>
      </c>
      <c r="D69" s="278"/>
      <c r="E69" s="240"/>
      <c r="F69" s="237"/>
      <c r="G69" s="236"/>
    </row>
    <row r="70" spans="3:7" x14ac:dyDescent="0.35">
      <c r="C70" s="239"/>
      <c r="D70" s="240"/>
      <c r="E70" s="240"/>
      <c r="F70" s="237"/>
      <c r="G70" s="236"/>
    </row>
    <row r="71" spans="3:7" x14ac:dyDescent="0.35">
      <c r="C71" s="241"/>
      <c r="D71" s="241"/>
      <c r="E71" s="238"/>
      <c r="F71" s="237"/>
      <c r="G71" s="236"/>
    </row>
    <row r="72" spans="3:7" x14ac:dyDescent="0.35">
      <c r="C72" s="241"/>
      <c r="D72" s="243" t="e">
        <f>SUM(D9:D71)</f>
        <v>#REF!</v>
      </c>
      <c r="E72" s="243" t="e">
        <f>SUM(E9:E71)</f>
        <v>#REF!</v>
      </c>
      <c r="F72" s="244" t="e">
        <f t="shared" si="0"/>
        <v>#REF!</v>
      </c>
      <c r="G72" s="236"/>
    </row>
    <row r="74" spans="3:7" x14ac:dyDescent="0.35">
      <c r="D74" s="6" t="e">
        <f>D72-C4</f>
        <v>#REF!</v>
      </c>
      <c r="E74" s="6" t="e">
        <f>E72-D4</f>
        <v>#REF!</v>
      </c>
    </row>
  </sheetData>
  <autoFilter ref="C8:F8"/>
  <mergeCells count="1">
    <mergeCell ref="C2:D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109</vt:i4>
      </vt:variant>
    </vt:vector>
  </HeadingPairs>
  <TitlesOfParts>
    <vt:vector size="109" baseType="lpstr">
      <vt:lpstr>Ñ ABATIDOS</vt:lpstr>
      <vt:lpstr>01 04</vt:lpstr>
      <vt:lpstr>08 04</vt:lpstr>
      <vt:lpstr>15 04</vt:lpstr>
      <vt:lpstr>22 04</vt:lpstr>
      <vt:lpstr>29 04</vt:lpstr>
      <vt:lpstr>06 05</vt:lpstr>
      <vt:lpstr>13 05</vt:lpstr>
      <vt:lpstr>20.05</vt:lpstr>
      <vt:lpstr>27.05</vt:lpstr>
      <vt:lpstr>03.06</vt:lpstr>
      <vt:lpstr>10.06</vt:lpstr>
      <vt:lpstr>17.06</vt:lpstr>
      <vt:lpstr>24.06</vt:lpstr>
      <vt:lpstr>01.07</vt:lpstr>
      <vt:lpstr>08.07</vt:lpstr>
      <vt:lpstr>15.07</vt:lpstr>
      <vt:lpstr>22.07</vt:lpstr>
      <vt:lpstr>29.07</vt:lpstr>
      <vt:lpstr>05.08</vt:lpstr>
      <vt:lpstr>12.08</vt:lpstr>
      <vt:lpstr>19.08</vt:lpstr>
      <vt:lpstr>26.08</vt:lpstr>
      <vt:lpstr>02.09</vt:lpstr>
      <vt:lpstr>09.09</vt:lpstr>
      <vt:lpstr>16.09</vt:lpstr>
      <vt:lpstr>23.09</vt:lpstr>
      <vt:lpstr>30.09</vt:lpstr>
      <vt:lpstr>07.10</vt:lpstr>
      <vt:lpstr>14.10</vt:lpstr>
      <vt:lpstr>21.10</vt:lpstr>
      <vt:lpstr>28.10</vt:lpstr>
      <vt:lpstr>04.11</vt:lpstr>
      <vt:lpstr>11.11</vt:lpstr>
      <vt:lpstr>18.11</vt:lpstr>
      <vt:lpstr>25.11</vt:lpstr>
      <vt:lpstr>02.12</vt:lpstr>
      <vt:lpstr>09.12</vt:lpstr>
      <vt:lpstr>16.12</vt:lpstr>
      <vt:lpstr>23.12</vt:lpstr>
      <vt:lpstr>30.12</vt:lpstr>
      <vt:lpstr>06.01</vt:lpstr>
      <vt:lpstr>13.01</vt:lpstr>
      <vt:lpstr>20.01</vt:lpstr>
      <vt:lpstr>27.01</vt:lpstr>
      <vt:lpstr>03.02</vt:lpstr>
      <vt:lpstr>10.02</vt:lpstr>
      <vt:lpstr>17.02</vt:lpstr>
      <vt:lpstr>24.02</vt:lpstr>
      <vt:lpstr>03.03</vt:lpstr>
      <vt:lpstr>10.03</vt:lpstr>
      <vt:lpstr>17.03</vt:lpstr>
      <vt:lpstr>24.03</vt:lpstr>
      <vt:lpstr>31.03</vt:lpstr>
      <vt:lpstr>07.04</vt:lpstr>
      <vt:lpstr>14.04</vt:lpstr>
      <vt:lpstr>21.04</vt:lpstr>
      <vt:lpstr>28.04</vt:lpstr>
      <vt:lpstr>05.05</vt:lpstr>
      <vt:lpstr>12.05</vt:lpstr>
      <vt:lpstr>19.05</vt:lpstr>
      <vt:lpstr>26.05</vt:lpstr>
      <vt:lpstr>02.06</vt:lpstr>
      <vt:lpstr>09.06</vt:lpstr>
      <vt:lpstr>16.06</vt:lpstr>
      <vt:lpstr>23.06</vt:lpstr>
      <vt:lpstr>30.06</vt:lpstr>
      <vt:lpstr>07.07</vt:lpstr>
      <vt:lpstr>14.07</vt:lpstr>
      <vt:lpstr>21.07</vt:lpstr>
      <vt:lpstr>28.07</vt:lpstr>
      <vt:lpstr>04.08</vt:lpstr>
      <vt:lpstr>11.08</vt:lpstr>
      <vt:lpstr>11.08 (N)</vt:lpstr>
      <vt:lpstr>18.08</vt:lpstr>
      <vt:lpstr>25.08</vt:lpstr>
      <vt:lpstr>01.09</vt:lpstr>
      <vt:lpstr>08.09</vt:lpstr>
      <vt:lpstr>16.09.23</vt:lpstr>
      <vt:lpstr>23.09.23</vt:lpstr>
      <vt:lpstr>30.09.23</vt:lpstr>
      <vt:lpstr>07.10.23</vt:lpstr>
      <vt:lpstr>14.10.23</vt:lpstr>
      <vt:lpstr>21.10.23</vt:lpstr>
      <vt:lpstr>28.10.23</vt:lpstr>
      <vt:lpstr>04.11.23</vt:lpstr>
      <vt:lpstr>11.11.23</vt:lpstr>
      <vt:lpstr>18.11.23</vt:lpstr>
      <vt:lpstr>25.11.23</vt:lpstr>
      <vt:lpstr>02.12.23</vt:lpstr>
      <vt:lpstr>09.12.23</vt:lpstr>
      <vt:lpstr>16.12.23</vt:lpstr>
      <vt:lpstr>23.12.23</vt:lpstr>
      <vt:lpstr>30.12.23</vt:lpstr>
      <vt:lpstr>06.01.24</vt:lpstr>
      <vt:lpstr>13.01.24</vt:lpstr>
      <vt:lpstr>20.01.24</vt:lpstr>
      <vt:lpstr>27.01.24</vt:lpstr>
      <vt:lpstr>Plan1</vt:lpstr>
      <vt:lpstr>03.02.24</vt:lpstr>
      <vt:lpstr>10.02.24</vt:lpstr>
      <vt:lpstr>17.02.24</vt:lpstr>
      <vt:lpstr>24.02.24</vt:lpstr>
      <vt:lpstr>02.03.24</vt:lpstr>
      <vt:lpstr>09.03.24</vt:lpstr>
      <vt:lpstr>16.03.24</vt:lpstr>
      <vt:lpstr>23.03.24</vt:lpstr>
      <vt:lpstr>30.03.24</vt:lpstr>
      <vt:lpstr>Resumo 17.02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Joaquim</dc:creator>
  <cp:lastModifiedBy>Thales</cp:lastModifiedBy>
  <cp:lastPrinted>2023-09-06T02:50:08Z</cp:lastPrinted>
  <dcterms:created xsi:type="dcterms:W3CDTF">2022-03-28T21:34:28Z</dcterms:created>
  <dcterms:modified xsi:type="dcterms:W3CDTF">2024-04-01T03:06:21Z</dcterms:modified>
</cp:coreProperties>
</file>