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5.xml" ContentType="application/vnd.openxmlformats-officedocument.drawing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Users\Prof. Marco Mesquita\Dropbox\PRO3515\2020\"/>
    </mc:Choice>
  </mc:AlternateContent>
  <xr:revisionPtr revIDLastSave="0" documentId="13_ncr:1_{AB753950-45D8-43F7-9E39-D3E624E5A005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M1" sheetId="30" r:id="rId1"/>
    <sheet name="MP3" sheetId="31" r:id="rId2"/>
    <sheet name="FS2" sheetId="32" r:id="rId3"/>
    <sheet name="JS3" sheetId="24" r:id="rId4"/>
    <sheet name="AS2" sheetId="33" r:id="rId5"/>
  </sheets>
  <definedNames>
    <definedName name="_xlnm._FilterDatabase" localSheetId="4" hidden="1">'AS2'!$B$28:$Z$28</definedName>
    <definedName name="_xlnm._FilterDatabase" localSheetId="2" hidden="1">'FS2'!$B$20:$T$20</definedName>
    <definedName name="_xlnm._FilterDatabase" localSheetId="0" hidden="1">'M1'!$B$14:$O$14</definedName>
    <definedName name="_xlnm._FilterDatabase" localSheetId="1" hidden="1">'MP3'!$C$28:$AC$28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S30" i="24" l="1"/>
  <c r="AS31" i="24"/>
  <c r="AS32" i="24"/>
  <c r="AS33" i="24"/>
  <c r="BH30" i="24" l="1"/>
  <c r="BH31" i="24"/>
  <c r="BH32" i="24"/>
  <c r="BH33" i="24"/>
  <c r="BH34" i="24"/>
  <c r="BH35" i="24"/>
  <c r="BH36" i="24"/>
  <c r="BH37" i="24"/>
  <c r="BH38" i="24"/>
  <c r="BH39" i="24"/>
  <c r="BA30" i="24"/>
  <c r="BA31" i="24"/>
  <c r="BA32" i="24"/>
  <c r="BA33" i="24"/>
  <c r="BA34" i="24"/>
  <c r="BA35" i="24"/>
  <c r="BA36" i="24"/>
  <c r="BA37" i="24"/>
  <c r="BA38" i="24"/>
  <c r="BA39" i="24"/>
  <c r="AT30" i="24"/>
  <c r="AT31" i="24"/>
  <c r="AT32" i="24"/>
  <c r="AT33" i="24"/>
  <c r="AT34" i="24"/>
  <c r="AT35" i="24"/>
  <c r="AT36" i="24"/>
  <c r="AT37" i="24"/>
  <c r="AT38" i="24"/>
  <c r="AT39" i="24"/>
  <c r="AJ31" i="24" l="1"/>
  <c r="AJ32" i="24"/>
  <c r="AJ33" i="24"/>
  <c r="AJ34" i="24"/>
  <c r="AJ30" i="24"/>
  <c r="AA33" i="24"/>
  <c r="Z32" i="24"/>
  <c r="AC32" i="24" s="1"/>
  <c r="Z31" i="24"/>
  <c r="Y32" i="24"/>
  <c r="AF32" i="24" s="1"/>
  <c r="X30" i="24"/>
  <c r="AE32" i="24" l="1"/>
  <c r="Y30" i="24"/>
  <c r="AF30" i="24" s="1"/>
  <c r="X31" i="24"/>
  <c r="X32" i="24"/>
  <c r="X33" i="24"/>
  <c r="X34" i="24"/>
  <c r="X35" i="24"/>
  <c r="X36" i="24"/>
  <c r="X37" i="24"/>
  <c r="X38" i="24"/>
  <c r="X39" i="24"/>
  <c r="X40" i="24"/>
  <c r="N29" i="33"/>
  <c r="AI29" i="33" s="1"/>
  <c r="J29" i="33"/>
  <c r="AE29" i="33" s="1"/>
  <c r="AD33" i="24"/>
  <c r="AC31" i="24" l="1"/>
  <c r="W30" i="33"/>
  <c r="W31" i="33"/>
  <c r="W32" i="33"/>
  <c r="W33" i="33"/>
  <c r="W29" i="33"/>
  <c r="K29" i="33" l="1"/>
  <c r="O29" i="33"/>
  <c r="I33" i="33"/>
  <c r="AD33" i="33" s="1"/>
  <c r="I32" i="33"/>
  <c r="AD32" i="33" s="1"/>
  <c r="I31" i="33"/>
  <c r="AD31" i="33" s="1"/>
  <c r="I30" i="33"/>
  <c r="I29" i="33"/>
  <c r="N30" i="33" l="1"/>
  <c r="AI30" i="33" s="1"/>
  <c r="AJ29" i="33"/>
  <c r="J30" i="33"/>
  <c r="AE30" i="33" s="1"/>
  <c r="AF29" i="33"/>
  <c r="AD30" i="33"/>
  <c r="M29" i="33"/>
  <c r="AH29" i="33" s="1"/>
  <c r="AD29" i="33"/>
  <c r="O30" i="33"/>
  <c r="K30" i="33"/>
  <c r="R29" i="33"/>
  <c r="AM29" i="33" s="1"/>
  <c r="M30" i="33"/>
  <c r="AH30" i="33" s="1"/>
  <c r="M32" i="33"/>
  <c r="AH32" i="33" s="1"/>
  <c r="M33" i="33"/>
  <c r="AH33" i="33" s="1"/>
  <c r="M31" i="33"/>
  <c r="AH31" i="33" s="1"/>
  <c r="N31" i="33" l="1"/>
  <c r="AI31" i="33" s="1"/>
  <c r="AJ30" i="33"/>
  <c r="Q29" i="33"/>
  <c r="AL29" i="33" s="1"/>
  <c r="U29" i="33"/>
  <c r="J31" i="33"/>
  <c r="AE31" i="33" s="1"/>
  <c r="AF30" i="33"/>
  <c r="K31" i="33"/>
  <c r="S29" i="33"/>
  <c r="AN29" i="33" s="1"/>
  <c r="U33" i="33"/>
  <c r="Q33" i="33"/>
  <c r="AL33" i="33" s="1"/>
  <c r="U32" i="33"/>
  <c r="Q32" i="33"/>
  <c r="AL32" i="33" s="1"/>
  <c r="U31" i="33"/>
  <c r="Q31" i="33"/>
  <c r="AL31" i="33" s="1"/>
  <c r="U30" i="33"/>
  <c r="Q30" i="33"/>
  <c r="AL30" i="33" s="1"/>
  <c r="R25" i="32"/>
  <c r="H25" i="32"/>
  <c r="Y25" i="32" s="1"/>
  <c r="R24" i="32"/>
  <c r="H24" i="32"/>
  <c r="Y24" i="32" s="1"/>
  <c r="R23" i="32"/>
  <c r="H23" i="32"/>
  <c r="Y23" i="32" s="1"/>
  <c r="R22" i="32"/>
  <c r="H22" i="32"/>
  <c r="Y22" i="32" s="1"/>
  <c r="R21" i="32"/>
  <c r="I21" i="32"/>
  <c r="H21" i="32"/>
  <c r="Y21" i="32" s="1"/>
  <c r="AA38" i="31"/>
  <c r="D38" i="31"/>
  <c r="AA37" i="31"/>
  <c r="D37" i="31"/>
  <c r="AA36" i="31"/>
  <c r="D36" i="31"/>
  <c r="AA35" i="31"/>
  <c r="D35" i="31"/>
  <c r="AA34" i="31"/>
  <c r="D34" i="31"/>
  <c r="AA33" i="31"/>
  <c r="D33" i="31"/>
  <c r="AA32" i="31"/>
  <c r="D32" i="31"/>
  <c r="AA31" i="31"/>
  <c r="D31" i="31"/>
  <c r="AA30" i="31"/>
  <c r="D30" i="31"/>
  <c r="AA29" i="31"/>
  <c r="D29" i="31"/>
  <c r="M19" i="30"/>
  <c r="G19" i="30"/>
  <c r="T19" i="30" s="1"/>
  <c r="M18" i="30"/>
  <c r="G18" i="30"/>
  <c r="K18" i="30" s="1"/>
  <c r="M17" i="30"/>
  <c r="G17" i="30"/>
  <c r="T17" i="30" s="1"/>
  <c r="M16" i="30"/>
  <c r="G16" i="30"/>
  <c r="K16" i="30" s="1"/>
  <c r="M15" i="30"/>
  <c r="H15" i="30"/>
  <c r="U15" i="30" s="1"/>
  <c r="G15" i="30"/>
  <c r="T15" i="30" s="1"/>
  <c r="J32" i="33" l="1"/>
  <c r="AE32" i="33" s="1"/>
  <c r="AF31" i="33"/>
  <c r="O31" i="33"/>
  <c r="J21" i="32"/>
  <c r="AA21" i="32" s="1"/>
  <c r="Z21" i="32"/>
  <c r="I15" i="30"/>
  <c r="L15" i="30" s="1"/>
  <c r="X38" i="31"/>
  <c r="Y38" i="31" s="1"/>
  <c r="X31" i="31"/>
  <c r="Y31" i="31" s="1"/>
  <c r="X35" i="31"/>
  <c r="Y35" i="31" s="1"/>
  <c r="X33" i="31"/>
  <c r="Y33" i="31" s="1"/>
  <c r="X32" i="31"/>
  <c r="Y32" i="31" s="1"/>
  <c r="X34" i="31"/>
  <c r="Y34" i="31" s="1"/>
  <c r="X36" i="31"/>
  <c r="Y36" i="31" s="1"/>
  <c r="X37" i="31"/>
  <c r="Y37" i="31" s="1"/>
  <c r="V29" i="33"/>
  <c r="X29" i="33" s="1"/>
  <c r="R30" i="33"/>
  <c r="AM30" i="33" s="1"/>
  <c r="T30" i="31"/>
  <c r="AP30" i="31" s="1"/>
  <c r="T34" i="31"/>
  <c r="T38" i="31"/>
  <c r="O32" i="31"/>
  <c r="AL32" i="31" s="1"/>
  <c r="O36" i="31"/>
  <c r="J30" i="31"/>
  <c r="AH30" i="31" s="1"/>
  <c r="J34" i="31"/>
  <c r="J38" i="31"/>
  <c r="T32" i="31"/>
  <c r="AP32" i="31" s="1"/>
  <c r="O30" i="31"/>
  <c r="AL30" i="31" s="1"/>
  <c r="O38" i="31"/>
  <c r="J36" i="31"/>
  <c r="T29" i="31"/>
  <c r="AP29" i="31" s="1"/>
  <c r="O31" i="31"/>
  <c r="AL31" i="31" s="1"/>
  <c r="J29" i="31"/>
  <c r="AH29" i="31" s="1"/>
  <c r="T31" i="31"/>
  <c r="AP31" i="31" s="1"/>
  <c r="T35" i="31"/>
  <c r="O29" i="31"/>
  <c r="AL29" i="31" s="1"/>
  <c r="O33" i="31"/>
  <c r="O37" i="31"/>
  <c r="J31" i="31"/>
  <c r="AH31" i="31" s="1"/>
  <c r="J35" i="31"/>
  <c r="T36" i="31"/>
  <c r="O34" i="31"/>
  <c r="J32" i="31"/>
  <c r="T33" i="31"/>
  <c r="AP33" i="31" s="1"/>
  <c r="T37" i="31"/>
  <c r="O35" i="31"/>
  <c r="J33" i="31"/>
  <c r="J37" i="31"/>
  <c r="X30" i="31"/>
  <c r="Y30" i="31" s="1"/>
  <c r="L21" i="32"/>
  <c r="L22" i="32"/>
  <c r="L23" i="32"/>
  <c r="L24" i="32"/>
  <c r="L25" i="32"/>
  <c r="M21" i="32"/>
  <c r="AD21" i="32" s="1"/>
  <c r="X29" i="31"/>
  <c r="Y29" i="31" s="1"/>
  <c r="T16" i="30"/>
  <c r="T18" i="30"/>
  <c r="K15" i="30"/>
  <c r="K17" i="30"/>
  <c r="K19" i="30"/>
  <c r="I22" i="32" l="1"/>
  <c r="Z22" i="32" s="1"/>
  <c r="N32" i="33"/>
  <c r="AI32" i="33" s="1"/>
  <c r="AJ31" i="33"/>
  <c r="Y29" i="33"/>
  <c r="AL36" i="31"/>
  <c r="AH33" i="31"/>
  <c r="AL37" i="31"/>
  <c r="AH36" i="31"/>
  <c r="AL35" i="31"/>
  <c r="V37" i="31"/>
  <c r="AR37" i="31" s="1"/>
  <c r="AP37" i="31"/>
  <c r="AL33" i="31"/>
  <c r="AL38" i="31"/>
  <c r="V38" i="31"/>
  <c r="AR38" i="31" s="1"/>
  <c r="AP38" i="31"/>
  <c r="V34" i="31"/>
  <c r="AR34" i="31" s="1"/>
  <c r="AP34" i="31"/>
  <c r="V35" i="31"/>
  <c r="AR35" i="31" s="1"/>
  <c r="AP35" i="31"/>
  <c r="AH32" i="31"/>
  <c r="AL34" i="31"/>
  <c r="AH38" i="31"/>
  <c r="V36" i="31"/>
  <c r="AR36" i="31" s="1"/>
  <c r="AP36" i="31"/>
  <c r="AH34" i="31"/>
  <c r="AH37" i="31"/>
  <c r="AH35" i="31"/>
  <c r="H16" i="30"/>
  <c r="U16" i="30" s="1"/>
  <c r="V15" i="30"/>
  <c r="P23" i="32"/>
  <c r="AC23" i="32"/>
  <c r="P25" i="32"/>
  <c r="AC25" i="32"/>
  <c r="P24" i="32"/>
  <c r="AC24" i="32"/>
  <c r="P22" i="32"/>
  <c r="AC22" i="32"/>
  <c r="P21" i="32"/>
  <c r="AC21" i="32"/>
  <c r="O32" i="33"/>
  <c r="S30" i="33"/>
  <c r="AN30" i="33" s="1"/>
  <c r="K32" i="33"/>
  <c r="N21" i="32"/>
  <c r="U36" i="31"/>
  <c r="AQ36" i="31" s="1"/>
  <c r="U29" i="31"/>
  <c r="U37" i="31"/>
  <c r="AQ37" i="31" s="1"/>
  <c r="K29" i="31"/>
  <c r="U34" i="31"/>
  <c r="AQ34" i="31" s="1"/>
  <c r="U38" i="31"/>
  <c r="AQ38" i="31" s="1"/>
  <c r="P29" i="31"/>
  <c r="U35" i="31"/>
  <c r="AQ35" i="31" s="1"/>
  <c r="N15" i="30"/>
  <c r="O15" i="30" s="1"/>
  <c r="J22" i="32" l="1"/>
  <c r="AA22" i="32" s="1"/>
  <c r="N33" i="33"/>
  <c r="AI33" i="33" s="1"/>
  <c r="AJ32" i="33"/>
  <c r="J33" i="33"/>
  <c r="AE33" i="33" s="1"/>
  <c r="AF32" i="33"/>
  <c r="V29" i="31"/>
  <c r="AQ29" i="31"/>
  <c r="Q29" i="31"/>
  <c r="AM29" i="31"/>
  <c r="L29" i="31"/>
  <c r="AI29" i="31"/>
  <c r="I16" i="30"/>
  <c r="AE21" i="32"/>
  <c r="I23" i="32"/>
  <c r="O33" i="33"/>
  <c r="AJ33" i="33" s="1"/>
  <c r="V30" i="33"/>
  <c r="X30" i="33" s="1"/>
  <c r="R31" i="33"/>
  <c r="K33" i="33"/>
  <c r="AF33" i="33" s="1"/>
  <c r="Q21" i="32"/>
  <c r="M22" i="32" l="1"/>
  <c r="AD22" i="32" s="1"/>
  <c r="AR29" i="31"/>
  <c r="AN29" i="31"/>
  <c r="AJ29" i="31"/>
  <c r="S31" i="33"/>
  <c r="AN31" i="33" s="1"/>
  <c r="AM31" i="33"/>
  <c r="Y30" i="33"/>
  <c r="U30" i="31"/>
  <c r="AQ30" i="31" s="1"/>
  <c r="K30" i="31"/>
  <c r="P30" i="31"/>
  <c r="V16" i="30"/>
  <c r="H17" i="30"/>
  <c r="L16" i="30"/>
  <c r="N16" i="30" s="1"/>
  <c r="O16" i="30" s="1"/>
  <c r="J23" i="32"/>
  <c r="Z23" i="32"/>
  <c r="R32" i="33"/>
  <c r="V31" i="33"/>
  <c r="X31" i="33" s="1"/>
  <c r="S21" i="32"/>
  <c r="T21" i="32" s="1"/>
  <c r="N22" i="32" l="1"/>
  <c r="Q22" i="32" s="1"/>
  <c r="S22" i="32" s="1"/>
  <c r="T22" i="32" s="1"/>
  <c r="AE22" i="32"/>
  <c r="S32" i="33"/>
  <c r="AM32" i="33"/>
  <c r="V30" i="31"/>
  <c r="Y31" i="33"/>
  <c r="Q30" i="31"/>
  <c r="AM30" i="31"/>
  <c r="L30" i="31"/>
  <c r="AI30" i="31"/>
  <c r="U17" i="30"/>
  <c r="I17" i="30"/>
  <c r="AA23" i="32"/>
  <c r="I24" i="32"/>
  <c r="M23" i="32"/>
  <c r="V32" i="33"/>
  <c r="X32" i="33" s="1"/>
  <c r="AR30" i="31" l="1"/>
  <c r="U31" i="31"/>
  <c r="AQ31" i="31" s="1"/>
  <c r="R33" i="33"/>
  <c r="AN32" i="33"/>
  <c r="Y32" i="33"/>
  <c r="AJ30" i="31"/>
  <c r="K31" i="31"/>
  <c r="AN30" i="31"/>
  <c r="P31" i="31"/>
  <c r="V17" i="30"/>
  <c r="L17" i="30"/>
  <c r="N17" i="30" s="1"/>
  <c r="O17" i="30" s="1"/>
  <c r="H18" i="30"/>
  <c r="AD23" i="32"/>
  <c r="N23" i="32"/>
  <c r="J24" i="32"/>
  <c r="Z24" i="32"/>
  <c r="V31" i="31" l="1"/>
  <c r="AM33" i="33"/>
  <c r="S33" i="33"/>
  <c r="L31" i="31"/>
  <c r="AI31" i="31"/>
  <c r="AM31" i="31"/>
  <c r="Q31" i="31"/>
  <c r="U18" i="30"/>
  <c r="I18" i="30"/>
  <c r="AA24" i="32"/>
  <c r="I25" i="32"/>
  <c r="M24" i="32"/>
  <c r="AE23" i="32"/>
  <c r="Q23" i="32"/>
  <c r="S23" i="32" s="1"/>
  <c r="T23" i="32" s="1"/>
  <c r="AR31" i="31" l="1"/>
  <c r="K32" i="31"/>
  <c r="AI32" i="31" s="1"/>
  <c r="U32" i="31"/>
  <c r="V32" i="31" s="1"/>
  <c r="AN33" i="33"/>
  <c r="V33" i="33"/>
  <c r="L32" i="31"/>
  <c r="AN31" i="31"/>
  <c r="P32" i="31"/>
  <c r="AJ31" i="31"/>
  <c r="V18" i="30"/>
  <c r="L18" i="30"/>
  <c r="H19" i="30"/>
  <c r="AD24" i="32"/>
  <c r="N24" i="32"/>
  <c r="J25" i="32"/>
  <c r="Z25" i="32"/>
  <c r="AQ32" i="31" l="1"/>
  <c r="AB29" i="33"/>
  <c r="AB30" i="33"/>
  <c r="X33" i="33"/>
  <c r="Y33" i="33" s="1"/>
  <c r="AB31" i="33" s="1"/>
  <c r="AR32" i="31"/>
  <c r="U33" i="31"/>
  <c r="AJ32" i="31"/>
  <c r="K33" i="31"/>
  <c r="Q32" i="31"/>
  <c r="AM32" i="31"/>
  <c r="N18" i="30"/>
  <c r="O18" i="30" s="1"/>
  <c r="U19" i="30"/>
  <c r="I19" i="30"/>
  <c r="AA25" i="32"/>
  <c r="M25" i="32"/>
  <c r="AE24" i="32"/>
  <c r="Q24" i="32"/>
  <c r="Z30" i="24"/>
  <c r="AC30" i="24" s="1"/>
  <c r="AA30" i="24"/>
  <c r="AB30" i="24"/>
  <c r="Y31" i="24"/>
  <c r="AA31" i="24"/>
  <c r="AB31" i="24"/>
  <c r="AA32" i="24"/>
  <c r="AB32" i="24"/>
  <c r="Y33" i="24"/>
  <c r="AF33" i="24" s="1"/>
  <c r="Z33" i="24"/>
  <c r="AC33" i="24" s="1"/>
  <c r="AE33" i="24" s="1"/>
  <c r="AB33" i="24"/>
  <c r="Y34" i="24"/>
  <c r="AF34" i="24" s="1"/>
  <c r="Z34" i="24"/>
  <c r="AC34" i="24" s="1"/>
  <c r="AE34" i="24" s="1"/>
  <c r="AA34" i="24"/>
  <c r="AB34" i="24"/>
  <c r="Y35" i="24"/>
  <c r="AF35" i="24" s="1"/>
  <c r="Z35" i="24"/>
  <c r="AC35" i="24" s="1"/>
  <c r="AA35" i="24"/>
  <c r="AB35" i="24"/>
  <c r="Y36" i="24"/>
  <c r="AF36" i="24" s="1"/>
  <c r="Z36" i="24"/>
  <c r="AC36" i="24" s="1"/>
  <c r="AE36" i="24" s="1"/>
  <c r="AA36" i="24"/>
  <c r="AB36" i="24"/>
  <c r="Y37" i="24"/>
  <c r="AF37" i="24" s="1"/>
  <c r="Z37" i="24"/>
  <c r="AC37" i="24" s="1"/>
  <c r="AA37" i="24"/>
  <c r="AB37" i="24"/>
  <c r="Y38" i="24"/>
  <c r="AF38" i="24" s="1"/>
  <c r="Z38" i="24"/>
  <c r="AC38" i="24" s="1"/>
  <c r="AE38" i="24" s="1"/>
  <c r="AA38" i="24"/>
  <c r="AB38" i="24"/>
  <c r="Y39" i="24"/>
  <c r="AF39" i="24" s="1"/>
  <c r="Z39" i="24"/>
  <c r="AC39" i="24" s="1"/>
  <c r="AA39" i="24"/>
  <c r="AB39" i="24"/>
  <c r="Y40" i="24"/>
  <c r="AF40" i="24" s="1"/>
  <c r="Z40" i="24"/>
  <c r="AC40" i="24" s="1"/>
  <c r="AE40" i="24" s="1"/>
  <c r="AA40" i="24"/>
  <c r="AB40" i="24"/>
  <c r="AD31" i="24"/>
  <c r="AD37" i="24"/>
  <c r="AD36" i="24"/>
  <c r="AD39" i="24"/>
  <c r="AD38" i="24"/>
  <c r="AD30" i="24"/>
  <c r="AD32" i="24"/>
  <c r="AD34" i="24"/>
  <c r="AD40" i="24"/>
  <c r="AD35" i="24"/>
  <c r="P33" i="31" l="1"/>
  <c r="AM33" i="31" s="1"/>
  <c r="AB32" i="33"/>
  <c r="AB33" i="33"/>
  <c r="V33" i="31"/>
  <c r="AQ33" i="31"/>
  <c r="AF31" i="24"/>
  <c r="AE31" i="24"/>
  <c r="AE39" i="24"/>
  <c r="AE37" i="24"/>
  <c r="AE35" i="24"/>
  <c r="AG35" i="24" s="1"/>
  <c r="AH35" i="24" s="1"/>
  <c r="AE30" i="24"/>
  <c r="Q33" i="31"/>
  <c r="AI33" i="31"/>
  <c r="L33" i="31"/>
  <c r="AN32" i="31"/>
  <c r="V19" i="30"/>
  <c r="L19" i="30"/>
  <c r="S24" i="32"/>
  <c r="T24" i="32" s="1"/>
  <c r="AD25" i="32"/>
  <c r="N25" i="32"/>
  <c r="BG31" i="24"/>
  <c r="BG32" i="24"/>
  <c r="BG33" i="24"/>
  <c r="BG34" i="24"/>
  <c r="BG35" i="24"/>
  <c r="BG36" i="24"/>
  <c r="BG37" i="24"/>
  <c r="BG38" i="24"/>
  <c r="BG39" i="24"/>
  <c r="AS35" i="24"/>
  <c r="AS36" i="24"/>
  <c r="AS37" i="24"/>
  <c r="AS38" i="24"/>
  <c r="AS39" i="24"/>
  <c r="AS34" i="24"/>
  <c r="AZ31" i="24"/>
  <c r="AZ32" i="24"/>
  <c r="AZ33" i="24"/>
  <c r="AZ34" i="24"/>
  <c r="AZ35" i="24"/>
  <c r="AZ36" i="24"/>
  <c r="AZ37" i="24"/>
  <c r="AZ38" i="24"/>
  <c r="AZ39" i="24"/>
  <c r="BG30" i="24"/>
  <c r="AZ30" i="24"/>
  <c r="Z35" i="31" a="1"/>
  <c r="Z35" i="31" l="1"/>
  <c r="AR33" i="31"/>
  <c r="K34" i="31"/>
  <c r="AI34" i="31" s="1"/>
  <c r="BC30" i="24"/>
  <c r="BC37" i="24"/>
  <c r="BB37" i="24"/>
  <c r="AU39" i="24"/>
  <c r="AV39" i="24"/>
  <c r="BK36" i="24"/>
  <c r="BI36" i="24"/>
  <c r="BJ36" i="24"/>
  <c r="BD36" i="24"/>
  <c r="BB36" i="24"/>
  <c r="BC36" i="24"/>
  <c r="BJ39" i="24"/>
  <c r="BI39" i="24"/>
  <c r="BD35" i="24"/>
  <c r="BB35" i="24"/>
  <c r="BC35" i="24"/>
  <c r="AV37" i="24"/>
  <c r="AU37" i="24"/>
  <c r="BJ38" i="24"/>
  <c r="BI38" i="24"/>
  <c r="BK34" i="24"/>
  <c r="BJ34" i="24"/>
  <c r="BI34" i="24"/>
  <c r="BB30" i="24"/>
  <c r="BD33" i="24"/>
  <c r="BC33" i="24"/>
  <c r="BB33" i="24"/>
  <c r="AU35" i="24"/>
  <c r="AV35" i="24"/>
  <c r="AU38" i="24"/>
  <c r="AV38" i="24"/>
  <c r="BK35" i="24"/>
  <c r="BJ35" i="24"/>
  <c r="BI35" i="24"/>
  <c r="BB39" i="24"/>
  <c r="BC39" i="24"/>
  <c r="BB38" i="24"/>
  <c r="BC38" i="24"/>
  <c r="BD34" i="24"/>
  <c r="BB34" i="24"/>
  <c r="BC34" i="24"/>
  <c r="AU34" i="24"/>
  <c r="AV34" i="24"/>
  <c r="AV36" i="24"/>
  <c r="AU36" i="24"/>
  <c r="BI37" i="24"/>
  <c r="BJ37" i="24"/>
  <c r="AW35" i="24"/>
  <c r="AW34" i="24"/>
  <c r="BK38" i="24"/>
  <c r="BK37" i="24"/>
  <c r="BD38" i="24"/>
  <c r="BD37" i="24"/>
  <c r="AW38" i="24"/>
  <c r="BK39" i="24"/>
  <c r="AW37" i="24"/>
  <c r="AW39" i="24"/>
  <c r="BD39" i="24"/>
  <c r="AW36" i="24"/>
  <c r="AN33" i="31"/>
  <c r="P34" i="31"/>
  <c r="L34" i="31"/>
  <c r="AJ33" i="31"/>
  <c r="R15" i="30"/>
  <c r="N19" i="30"/>
  <c r="O19" i="30" s="1"/>
  <c r="R16" i="30"/>
  <c r="AE25" i="32"/>
  <c r="Q25" i="32"/>
  <c r="BE37" i="24"/>
  <c r="BE36" i="24"/>
  <c r="BL39" i="24"/>
  <c r="BL38" i="24"/>
  <c r="BL37" i="24"/>
  <c r="AX39" i="24"/>
  <c r="AX38" i="24"/>
  <c r="AX37" i="24"/>
  <c r="AX36" i="24"/>
  <c r="BE39" i="24"/>
  <c r="BE38" i="24"/>
  <c r="K35" i="31" l="1"/>
  <c r="AI35" i="31" s="1"/>
  <c r="AM34" i="31"/>
  <c r="Q34" i="31"/>
  <c r="L35" i="31"/>
  <c r="AJ34" i="31"/>
  <c r="R19" i="30"/>
  <c r="R17" i="30"/>
  <c r="R18" i="30"/>
  <c r="W21" i="32"/>
  <c r="S25" i="32"/>
  <c r="T25" i="32" s="1"/>
  <c r="W22" i="32"/>
  <c r="P35" i="31" l="1"/>
  <c r="AM35" i="31" s="1"/>
  <c r="K36" i="31"/>
  <c r="AI36" i="31" s="1"/>
  <c r="Q35" i="31"/>
  <c r="AN34" i="31"/>
  <c r="L36" i="31"/>
  <c r="AJ35" i="31"/>
  <c r="W24" i="32"/>
  <c r="W23" i="32"/>
  <c r="W25" i="32"/>
  <c r="P36" i="31" l="1"/>
  <c r="AM36" i="31" s="1"/>
  <c r="K37" i="31"/>
  <c r="AI37" i="31" s="1"/>
  <c r="Q36" i="31"/>
  <c r="AB35" i="31"/>
  <c r="AC35" i="31" s="1"/>
  <c r="AN35" i="31"/>
  <c r="L37" i="31"/>
  <c r="AJ36" i="31"/>
  <c r="P37" i="31" l="1"/>
  <c r="AM37" i="31" s="1"/>
  <c r="K38" i="31"/>
  <c r="AI38" i="31" s="1"/>
  <c r="Q37" i="31"/>
  <c r="AN36" i="31"/>
  <c r="L38" i="31"/>
  <c r="AJ37" i="31"/>
  <c r="Z31" i="31" a="1"/>
  <c r="Z37" i="31" a="1"/>
  <c r="Z34" i="31" a="1"/>
  <c r="Z29" i="31" a="1"/>
  <c r="Z31" i="31" l="1"/>
  <c r="AB31" i="31" s="1"/>
  <c r="AC31" i="31" s="1"/>
  <c r="Z37" i="31"/>
  <c r="AB37" i="31" s="1"/>
  <c r="AC37" i="31" s="1"/>
  <c r="Z34" i="31"/>
  <c r="AB34" i="31" s="1"/>
  <c r="AC34" i="31" s="1"/>
  <c r="P38" i="31"/>
  <c r="AM38" i="31" s="1"/>
  <c r="Z29" i="31"/>
  <c r="AB29" i="31" s="1"/>
  <c r="AC29" i="31" s="1"/>
  <c r="Q38" i="31"/>
  <c r="AN37" i="31"/>
  <c r="AJ38" i="31"/>
  <c r="Z32" i="31" a="1"/>
  <c r="Z38" i="31" a="1"/>
  <c r="Z36" i="31" a="1"/>
  <c r="Z33" i="31" a="1"/>
  <c r="Z30" i="31" a="1"/>
  <c r="Z32" i="31" l="1"/>
  <c r="AB32" i="31" s="1"/>
  <c r="AC32" i="31" s="1"/>
  <c r="Z38" i="31"/>
  <c r="AB38" i="31" s="1"/>
  <c r="AC38" i="31" s="1"/>
  <c r="Z36" i="31"/>
  <c r="AB36" i="31" s="1"/>
  <c r="AC36" i="31" s="1"/>
  <c r="Z33" i="31"/>
  <c r="AB33" i="31" s="1"/>
  <c r="AC33" i="31" s="1"/>
  <c r="Z30" i="31"/>
  <c r="AB30" i="31" s="1"/>
  <c r="AC30" i="31" s="1"/>
  <c r="AN38" i="31"/>
  <c r="AF30" i="31" l="1"/>
  <c r="AF29" i="31"/>
  <c r="AF31" i="31"/>
  <c r="AF33" i="31"/>
  <c r="AF32" i="31"/>
  <c r="AX35" i="24"/>
  <c r="BE35" i="24" l="1"/>
  <c r="BL36" i="24" l="1"/>
  <c r="BE34" i="24" l="1"/>
  <c r="AX34" i="24" l="1"/>
  <c r="BE33" i="24" l="1"/>
  <c r="BL35" i="24" l="1"/>
  <c r="BL34" i="24"/>
  <c r="BD30" i="24" l="1"/>
  <c r="BE30" i="24" l="1"/>
  <c r="AG30" i="24" l="1"/>
  <c r="AU30" i="24" s="1"/>
  <c r="AW30" i="24" s="1"/>
  <c r="AH30" i="24" l="1"/>
  <c r="AG32" i="24" l="1"/>
  <c r="AV30" i="24"/>
  <c r="AX30" i="24" s="1"/>
  <c r="AH32" i="24" l="1"/>
  <c r="AU31" i="24"/>
  <c r="AW31" i="24" s="1"/>
  <c r="AG33" i="24" l="1"/>
  <c r="AV31" i="24"/>
  <c r="AX31" i="24" s="1"/>
  <c r="AH33" i="24" l="1"/>
  <c r="BC31" i="24" s="1"/>
  <c r="BB31" i="24"/>
  <c r="BD31" i="24" s="1"/>
  <c r="BE31" i="24" l="1"/>
  <c r="AG37" i="24"/>
  <c r="AH37" i="24" l="1"/>
  <c r="AG39" i="24" l="1"/>
  <c r="AV32" i="24"/>
  <c r="AG38" i="24"/>
  <c r="AG31" i="24"/>
  <c r="AU32" i="24" l="1"/>
  <c r="AW32" i="24" s="1"/>
  <c r="AH39" i="24"/>
  <c r="AV33" i="24" s="1"/>
  <c r="AU33" i="24"/>
  <c r="AW33" i="24" s="1"/>
  <c r="BB32" i="24"/>
  <c r="BD32" i="24" s="1"/>
  <c r="AH38" i="24"/>
  <c r="BC32" i="24" s="1"/>
  <c r="AH31" i="24"/>
  <c r="BE32" i="24" l="1"/>
  <c r="AX33" i="24"/>
  <c r="AX32" i="24"/>
  <c r="AG36" i="24" l="1"/>
  <c r="BI31" i="24" s="1"/>
  <c r="BI30" i="24" l="1"/>
  <c r="BK30" i="24" s="1"/>
  <c r="AH36" i="24"/>
  <c r="AG34" i="24" l="1"/>
  <c r="BJ31" i="24"/>
  <c r="BL31" i="24" s="1"/>
  <c r="BJ30" i="24"/>
  <c r="AH34" i="24" l="1"/>
  <c r="BI32" i="24"/>
  <c r="BK32" i="24" s="1"/>
  <c r="BL30" i="24"/>
  <c r="BK31" i="24"/>
  <c r="BJ32" i="24" l="1"/>
  <c r="BL32" i="24" s="1"/>
  <c r="AG40" i="24"/>
  <c r="AH40" i="24" l="1"/>
  <c r="BI33" i="24"/>
  <c r="BK33" i="24" s="1"/>
  <c r="AK31" i="24" l="1" a="1"/>
  <c r="AK31" i="24" s="1"/>
  <c r="AK33" i="24" a="1"/>
  <c r="AK33" i="24" s="1"/>
  <c r="AK30" i="24" a="1"/>
  <c r="AK30" i="24" s="1"/>
  <c r="BJ33" i="24"/>
  <c r="BL33" i="24" s="1"/>
  <c r="AK34" i="24" a="1"/>
  <c r="AK34" i="24" s="1"/>
  <c r="AK32" i="24" a="1"/>
  <c r="AK32" i="24" s="1"/>
  <c r="AL30" i="24" l="1"/>
  <c r="AM30" i="24"/>
  <c r="AN30" i="24" s="1"/>
  <c r="AQ30" i="24"/>
  <c r="AL32" i="24"/>
  <c r="AM32" i="24"/>
  <c r="AN32" i="24" s="1"/>
  <c r="AM33" i="24"/>
  <c r="AN33" i="24" s="1"/>
  <c r="AL33" i="24"/>
  <c r="AL34" i="24"/>
  <c r="AM34" i="24"/>
  <c r="AN34" i="24" s="1"/>
  <c r="AL31" i="24"/>
  <c r="AM31" i="24"/>
  <c r="AN31" i="24" s="1"/>
  <c r="AQ34" i="24" l="1"/>
  <c r="AQ32" i="24"/>
  <c r="AQ33" i="24"/>
  <c r="AQ31" i="2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<sst xmlns="http://schemas.openxmlformats.org/spreadsheetml/2006/main" count="335" uniqueCount="52">
  <si>
    <t>#</t>
  </si>
  <si>
    <t>Job</t>
  </si>
  <si>
    <t>p</t>
  </si>
  <si>
    <t>C</t>
  </si>
  <si>
    <t>A</t>
  </si>
  <si>
    <t>B</t>
  </si>
  <si>
    <t>D</t>
  </si>
  <si>
    <t>E</t>
  </si>
  <si>
    <t>F</t>
  </si>
  <si>
    <t>L</t>
  </si>
  <si>
    <t>d</t>
  </si>
  <si>
    <t>T</t>
  </si>
  <si>
    <t>ti</t>
  </si>
  <si>
    <t>tf</t>
  </si>
  <si>
    <t>oc</t>
  </si>
  <si>
    <t>r</t>
  </si>
  <si>
    <t>Job Shop Scheduling</t>
  </si>
  <si>
    <t>Maq</t>
  </si>
  <si>
    <t>Tempo médio de fluxo</t>
  </si>
  <si>
    <t>Tempo total</t>
  </si>
  <si>
    <t>Atraso total</t>
  </si>
  <si>
    <t>Atraso máximo</t>
  </si>
  <si>
    <t>Ordens atrasadas</t>
  </si>
  <si>
    <t>Op</t>
  </si>
  <si>
    <t>Seq</t>
  </si>
  <si>
    <t>Valor</t>
  </si>
  <si>
    <t>Programação de Máquina Única</t>
  </si>
  <si>
    <t>M1</t>
  </si>
  <si>
    <t>Programação de Máquinas em Paralelo</t>
  </si>
  <si>
    <t>m</t>
  </si>
  <si>
    <t>M2</t>
  </si>
  <si>
    <t>M3</t>
  </si>
  <si>
    <t>G</t>
  </si>
  <si>
    <t>H</t>
  </si>
  <si>
    <t>I</t>
  </si>
  <si>
    <t>J</t>
  </si>
  <si>
    <t>Flow Shop Scheduling</t>
  </si>
  <si>
    <t>p1</t>
  </si>
  <si>
    <t>p2</t>
  </si>
  <si>
    <t>Assembly Shop Scheduling</t>
  </si>
  <si>
    <t>FIFO</t>
  </si>
  <si>
    <t>SPT</t>
  </si>
  <si>
    <t>EDD</t>
  </si>
  <si>
    <t>p12</t>
  </si>
  <si>
    <t>antR</t>
  </si>
  <si>
    <t>antM</t>
  </si>
  <si>
    <t>pr</t>
  </si>
  <si>
    <t>Indicador</t>
  </si>
  <si>
    <t>ROTEIROS</t>
  </si>
  <si>
    <t>M</t>
  </si>
  <si>
    <t>L1</t>
  </si>
  <si>
    <t>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</si>
</sst>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i/>
      <sz val="20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0"/>
      <name val="Arial"/>
      <family val="2"/>
    </font>
    <font>
      <u/>
      <sz val="11"/>
      <name val="Calibri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9" fillId="0" borderId="0"/>
    <xf numFmtId="0" fontId="5" fillId="0" borderId="0"/>
    <xf numFmtId="0" fontId="6" fillId="0" borderId="0"/>
  </cellStyleXfs>
  <cellXfs count="48">
    <xf numFmtId="0" fontId="0" fillId="0" borderId="0" xfId="0"/>
    <xf numFmtId="0" fontId="9" fillId="0" borderId="0" xfId="1"/>
    <xf numFmtId="0" fontId="7" fillId="0" borderId="0" xfId="1" applyFont="1"/>
    <xf numFmtId="0" fontId="8" fillId="0" borderId="0" xfId="1" applyFont="1"/>
    <xf numFmtId="0" fontId="6" fillId="0" borderId="0" xfId="0" applyFont="1"/>
    <xf numFmtId="0" fontId="8" fillId="0" borderId="0" xfId="1" applyFont="1" applyAlignment="1">
      <alignment horizontal="left"/>
    </xf>
    <xf numFmtId="0" fontId="6" fillId="0" borderId="0" xfId="0" quotePrefix="1" applyFont="1"/>
    <xf numFmtId="0" fontId="10" fillId="0" borderId="0" xfId="1" applyFont="1" applyAlignment="1">
      <alignment horizontal="center"/>
    </xf>
    <xf numFmtId="0" fontId="0" fillId="0" borderId="0" xfId="0" applyNumberFormat="1"/>
    <xf numFmtId="164" fontId="0" fillId="0" borderId="0" xfId="0" applyNumberFormat="1"/>
    <xf numFmtId="0" fontId="8" fillId="0" borderId="0" xfId="2" applyFont="1"/>
    <xf numFmtId="0" fontId="8" fillId="0" borderId="0" xfId="2" applyFont="1" applyAlignment="1">
      <alignment horizontal="left"/>
    </xf>
    <xf numFmtId="0" fontId="5" fillId="0" borderId="0" xfId="2"/>
    <xf numFmtId="0" fontId="7" fillId="0" borderId="0" xfId="3" applyFont="1"/>
    <xf numFmtId="0" fontId="7" fillId="0" borderId="0" xfId="3" applyFont="1" applyAlignment="1">
      <alignment horizontal="right"/>
    </xf>
    <xf numFmtId="0" fontId="6" fillId="0" borderId="0" xfId="3"/>
    <xf numFmtId="0" fontId="10" fillId="0" borderId="0" xfId="2" applyFont="1" applyAlignment="1">
      <alignment horizontal="center"/>
    </xf>
    <xf numFmtId="0" fontId="7" fillId="0" borderId="0" xfId="3" applyFont="1" applyAlignment="1">
      <alignment horizontal="center"/>
    </xf>
    <xf numFmtId="0" fontId="6" fillId="0" borderId="0" xfId="3" applyBorder="1"/>
    <xf numFmtId="0" fontId="6" fillId="0" borderId="0" xfId="3" applyFont="1" applyBorder="1"/>
    <xf numFmtId="0" fontId="7" fillId="0" borderId="0" xfId="3" applyFont="1" applyBorder="1" applyAlignment="1">
      <alignment horizontal="center"/>
    </xf>
    <xf numFmtId="0" fontId="7" fillId="0" borderId="0" xfId="3" applyFont="1" applyAlignment="1"/>
    <xf numFmtId="0" fontId="6" fillId="0" borderId="0" xfId="3" applyAlignment="1">
      <alignment horizontal="center"/>
    </xf>
    <xf numFmtId="0" fontId="7" fillId="0" borderId="0" xfId="3" applyFont="1" applyAlignment="1">
      <alignment horizontal="center"/>
    </xf>
    <xf numFmtId="0" fontId="7" fillId="0" borderId="0" xfId="3" applyFont="1" applyFill="1" applyAlignment="1">
      <alignment horizontal="right"/>
    </xf>
    <xf numFmtId="1" fontId="0" fillId="0" borderId="0" xfId="0" applyNumberFormat="1"/>
    <xf numFmtId="0" fontId="7" fillId="0" borderId="0" xfId="3" applyFont="1" applyAlignment="1">
      <alignment horizontal="center"/>
    </xf>
    <xf numFmtId="0" fontId="7" fillId="0" borderId="0" xfId="3" applyFont="1" applyAlignment="1">
      <alignment horizontal="center"/>
    </xf>
    <xf numFmtId="0" fontId="7" fillId="0" borderId="0" xfId="3" applyFont="1" applyAlignment="1">
      <alignment horizontal="center"/>
    </xf>
    <xf numFmtId="0" fontId="0" fillId="0" borderId="0" xfId="0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NumberFormat="1" applyFont="1"/>
    <xf numFmtId="0" fontId="4" fillId="0" borderId="0" xfId="1" applyFont="1"/>
    <xf numFmtId="0" fontId="13" fillId="0" borderId="0" xfId="3" applyFont="1" applyFill="1"/>
    <xf numFmtId="0" fontId="13" fillId="0" borderId="0" xfId="3" applyFont="1"/>
    <xf numFmtId="0" fontId="7" fillId="0" borderId="0" xfId="3" applyFont="1" applyAlignment="1">
      <alignment horizontal="center"/>
    </xf>
    <xf numFmtId="0" fontId="12" fillId="0" borderId="0" xfId="3" applyFont="1" applyAlignment="1">
      <alignment horizontal="center"/>
    </xf>
    <xf numFmtId="0" fontId="7" fillId="0" borderId="0" xfId="3" applyFont="1" applyAlignment="1">
      <alignment horizontal="center"/>
    </xf>
    <xf numFmtId="0" fontId="3" fillId="0" borderId="0" xfId="1" quotePrefix="1" applyFont="1"/>
    <xf numFmtId="0" fontId="14" fillId="0" borderId="0" xfId="3" applyFont="1"/>
    <xf numFmtId="0" fontId="15" fillId="0" borderId="0" xfId="3" applyFont="1"/>
    <xf numFmtId="0" fontId="14" fillId="0" borderId="0" xfId="0" applyFont="1"/>
    <xf numFmtId="0" fontId="2" fillId="0" borderId="0" xfId="1" applyFont="1"/>
    <xf numFmtId="0" fontId="14" fillId="0" borderId="0" xfId="3" applyFont="1" applyAlignment="1">
      <alignment horizontal="center"/>
    </xf>
    <xf numFmtId="0" fontId="12" fillId="0" borderId="0" xfId="3" applyFont="1" applyAlignment="1">
      <alignment horizontal="center"/>
    </xf>
    <xf numFmtId="0" fontId="11" fillId="0" borderId="0" xfId="1" applyFont="1" applyAlignment="1">
      <alignment horizontal="center"/>
    </xf>
    <xf numFmtId="0" fontId="7" fillId="0" borderId="0" xfId="3" applyFont="1" applyAlignment="1">
      <alignment horizontal="center"/>
    </xf>
    <xf numFmtId="0" fontId="1" fillId="0" borderId="0" xfId="1" applyFont="1"/>
  </cellXfs>
  <cellStyles count="4"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00000000-0005-0000-0000-000003000000}"/>
  </cellStyles>
  <dxfs count="1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relativeIndent="0" justifyLastLine="0" shrinkToFit="0" readingOrder="0"/>
    </dxf>
    <dxf>
      <font>
        <b/>
      </font>
    </dxf>
    <dxf>
      <numFmt numFmtId="164" formatCode="0.0"/>
    </dxf>
    <dxf>
      <font>
        <sz val="11"/>
        <name val="Calibri"/>
      </font>
      <alignment horizontal="right" vertical="bottom" textRotation="0" wrapText="0" indent="0" justifyLastLine="0" shrinkToFit="0" readingOrder="0"/>
    </dxf>
    <dxf>
      <font>
        <b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relativeIndent="0" justifyLastLine="0" shrinkToFit="0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numFmt numFmtId="164" formatCode="0.0"/>
    </dxf>
    <dxf>
      <font>
        <b/>
      </font>
    </dxf>
    <dxf>
      <numFmt numFmtId="0" formatCode="General"/>
    </dxf>
    <dxf>
      <numFmt numFmtId="0" formatCode="General"/>
    </dxf>
    <dxf>
      <font>
        <b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</font>
    </dxf>
    <dxf>
      <font>
        <b/>
      </font>
    </dxf>
    <dxf>
      <font>
        <b/>
      </font>
    </dxf>
    <dxf>
      <numFmt numFmtId="0" formatCode="General"/>
    </dxf>
    <dxf>
      <font>
        <b/>
      </font>
    </dxf>
    <dxf>
      <numFmt numFmtId="0" formatCode="General"/>
    </dxf>
    <dxf>
      <font>
        <b/>
      </font>
    </dxf>
    <dxf>
      <numFmt numFmtId="0" formatCode="General"/>
    </dxf>
    <dxf>
      <numFmt numFmtId="0" formatCode="General"/>
    </dxf>
    <dxf>
      <font>
        <b/>
      </font>
    </dxf>
    <dxf>
      <font>
        <b/>
      </font>
    </dxf>
    <dxf>
      <font>
        <b/>
      </font>
    </dxf>
    <dxf>
      <font>
        <b/>
      </font>
    </dxf>
    <dxf>
      <numFmt numFmtId="164" formatCode="0.0"/>
    </dxf>
    <dxf>
      <font>
        <b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relativeIndent="0" justifyLastLine="0" shrinkToFit="0" readingOrder="0"/>
    </dxf>
    <dxf>
      <font>
        <b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indent="0" justifyLastLine="0" shrinkToFit="0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numFmt numFmtId="164" formatCode="0.0"/>
    </dxf>
    <dxf>
      <font>
        <b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indent="0" justifyLastLine="0" shrinkToFit="0" readingOrder="0"/>
    </dxf>
    <dxf>
      <font>
        <b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indent="0" justifyLastLine="0" shrinkToFit="0" readingOrder="0"/>
    </dxf>
    <dxf>
      <font>
        <b/>
      </font>
    </dxf>
    <dxf>
      <numFmt numFmtId="0" formatCode="General"/>
    </dxf>
    <dxf>
      <numFmt numFmtId="0" formatCode="General"/>
    </dxf>
    <dxf>
      <font>
        <b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relativeIndent="0" justifyLastLine="0" shrinkToFit="0" readingOrder="0"/>
    </dxf>
    <dxf>
      <font>
        <b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</dxf>
    <dxf>
      <font>
        <b/>
      </font>
    </dxf>
    <dxf>
      <numFmt numFmtId="0" formatCode="General"/>
    </dxf>
    <dxf>
      <numFmt numFmtId="0" formatCode="General"/>
    </dxf>
    <dxf>
      <font>
        <b/>
      </font>
    </dxf>
    <dxf>
      <numFmt numFmtId="0" formatCode="General"/>
    </dxf>
    <dxf>
      <numFmt numFmtId="0" formatCode="General"/>
    </dxf>
    <dxf>
      <font>
        <b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/>
      </font>
    </dxf>
    <dxf>
      <numFmt numFmtId="164" formatCode="0.0"/>
    </dxf>
    <dxf>
      <font>
        <b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relativeIndent="0" justifyLastLine="0" shrinkToFit="0" readingOrder="0"/>
    </dxf>
    <dxf>
      <font>
        <b/>
      </font>
    </dxf>
    <dxf>
      <font>
        <b/>
      </font>
    </dxf>
    <dxf>
      <font>
        <b/>
      </font>
    </dxf>
    <dxf>
      <font>
        <b/>
      </font>
    </dxf>
  </dxfs>
  <tableStyles count="0" defaultTableStyle="TableStyleMedium9" defaultPivotStyle="PivotStyleLight16"/>
  <colors>
    <mruColors>
      <color rgb="FFFFFF99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109759847061937E-2"/>
          <c:y val="7.5000000000000011E-2"/>
          <c:w val="0.91396564373103117"/>
          <c:h val="0.69499999999999995"/>
        </c:manualLayout>
      </c:layout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</c:spPr>
          <c:invertIfNegative val="0"/>
          <c:cat>
            <c:strRef>
              <c:f>'M1'!$T$12:$V$12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'M1'!$U$15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545-4BCB-BD58-068CFD53AC7A}"/>
            </c:ext>
          </c:extLst>
        </c:ser>
        <c:ser>
          <c:idx val="1"/>
          <c:order val="1"/>
          <c:tx>
            <c:strRef>
              <c:f>'M1'!$T$15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'M1'!$T$12:$V$12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'M1'!$V$15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7545-4BCB-BD58-068CFD53AC7A}"/>
            </c:ext>
          </c:extLst>
        </c:ser>
        <c:ser>
          <c:idx val="2"/>
          <c:order val="2"/>
          <c:spPr>
            <a:noFill/>
            <a:ln>
              <a:noFill/>
            </a:ln>
          </c:spPr>
          <c:invertIfNegative val="0"/>
          <c:cat>
            <c:strRef>
              <c:f>'M1'!$T$12:$V$12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'M1'!$U$16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7545-4BCB-BD58-068CFD53AC7A}"/>
            </c:ext>
          </c:extLst>
        </c:ser>
        <c:ser>
          <c:idx val="3"/>
          <c:order val="3"/>
          <c:tx>
            <c:strRef>
              <c:f>'M1'!$T$16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'M1'!$T$12:$V$12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'M1'!$V$16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7545-4BCB-BD58-068CFD53AC7A}"/>
            </c:ext>
          </c:extLst>
        </c:ser>
        <c:ser>
          <c:idx val="4"/>
          <c:order val="4"/>
          <c:spPr>
            <a:noFill/>
            <a:ln>
              <a:noFill/>
            </a:ln>
          </c:spPr>
          <c:invertIfNegative val="0"/>
          <c:cat>
            <c:strRef>
              <c:f>'M1'!$T$12:$V$12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'M1'!$U$17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7545-4BCB-BD58-068CFD53AC7A}"/>
            </c:ext>
          </c:extLst>
        </c:ser>
        <c:ser>
          <c:idx val="5"/>
          <c:order val="5"/>
          <c:tx>
            <c:strRef>
              <c:f>'M1'!$T$17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'M1'!$T$12:$V$12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'M1'!$V$17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7545-4BCB-BD58-068CFD53AC7A}"/>
            </c:ext>
          </c:extLst>
        </c:ser>
        <c:ser>
          <c:idx val="6"/>
          <c:order val="6"/>
          <c:spPr>
            <a:noFill/>
            <a:ln>
              <a:noFill/>
            </a:ln>
          </c:spPr>
          <c:invertIfNegative val="0"/>
          <c:cat>
            <c:strRef>
              <c:f>'M1'!$T$12:$V$12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'M1'!$U$18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7545-4BCB-BD58-068CFD53AC7A}"/>
            </c:ext>
          </c:extLst>
        </c:ser>
        <c:ser>
          <c:idx val="7"/>
          <c:order val="7"/>
          <c:tx>
            <c:strRef>
              <c:f>'M1'!$T$18</c:f>
              <c:strCache>
                <c:ptCount val="1"/>
                <c:pt idx="0">
                  <c:v>D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'M1'!$T$12:$V$12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'M1'!$V$18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7545-4BCB-BD58-068CFD53AC7A}"/>
            </c:ext>
          </c:extLst>
        </c:ser>
        <c:ser>
          <c:idx val="8"/>
          <c:order val="8"/>
          <c:spPr>
            <a:noFill/>
            <a:ln>
              <a:noFill/>
            </a:ln>
          </c:spPr>
          <c:invertIfNegative val="0"/>
          <c:cat>
            <c:strRef>
              <c:f>'M1'!$T$12:$V$12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'M1'!$U$19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7545-4BCB-BD58-068CFD53AC7A}"/>
            </c:ext>
          </c:extLst>
        </c:ser>
        <c:ser>
          <c:idx val="9"/>
          <c:order val="9"/>
          <c:tx>
            <c:strRef>
              <c:f>'M1'!$T$19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'M1'!$T$12:$V$12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'M1'!$V$19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7545-4BCB-BD58-068CFD53AC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67072256"/>
        <c:axId val="267073792"/>
      </c:barChart>
      <c:catAx>
        <c:axId val="26707225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t-BR"/>
          </a:p>
        </c:txPr>
        <c:crossAx val="267073792"/>
        <c:crosses val="autoZero"/>
        <c:auto val="1"/>
        <c:lblAlgn val="ctr"/>
        <c:lblOffset val="100"/>
        <c:noMultiLvlLbl val="0"/>
      </c:catAx>
      <c:valAx>
        <c:axId val="267073792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t-BR"/>
          </a:p>
        </c:txPr>
        <c:crossAx val="267072256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pt-BR"/>
    </a:p>
  </c:txPr>
  <c:printSettings>
    <c:headerFooter/>
    <c:pageMargins b="0.78740157499999996" l="0.511811024" r="0.511811024" t="0.78740157499999996" header="0.31496062000000152" footer="0.3149606200000015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</c:spPr>
          <c:invertIfNegative val="0"/>
          <c:cat>
            <c:strRef>
              <c:f>'MP3'!$AH$26:$AJ$26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'MP3'!$AI$29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D28-4478-8FBD-67141CDF2AC4}"/>
            </c:ext>
          </c:extLst>
        </c:ser>
        <c:ser>
          <c:idx val="1"/>
          <c:order val="1"/>
          <c:tx>
            <c:strRef>
              <c:f>'MP3'!$AH$29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'MP3'!$AH$26:$AJ$26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'MP3'!$AJ$29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6D28-4478-8FBD-67141CDF2AC4}"/>
            </c:ext>
          </c:extLst>
        </c:ser>
        <c:ser>
          <c:idx val="2"/>
          <c:order val="2"/>
          <c:spPr>
            <a:noFill/>
            <a:ln>
              <a:noFill/>
            </a:ln>
          </c:spPr>
          <c:invertIfNegative val="0"/>
          <c:cat>
            <c:strRef>
              <c:f>'MP3'!$AH$26:$AJ$26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'MP3'!$AI$30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6D28-4478-8FBD-67141CDF2AC4}"/>
            </c:ext>
          </c:extLst>
        </c:ser>
        <c:ser>
          <c:idx val="3"/>
          <c:order val="3"/>
          <c:tx>
            <c:strRef>
              <c:f>'MP3'!$AH$30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'MP3'!$AH$26:$AJ$26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'MP3'!$AJ$30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6D28-4478-8FBD-67141CDF2AC4}"/>
            </c:ext>
          </c:extLst>
        </c:ser>
        <c:ser>
          <c:idx val="4"/>
          <c:order val="4"/>
          <c:spPr>
            <a:noFill/>
            <a:ln>
              <a:noFill/>
            </a:ln>
          </c:spPr>
          <c:invertIfNegative val="0"/>
          <c:cat>
            <c:strRef>
              <c:f>'MP3'!$AH$26:$AJ$26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'MP3'!$AI$31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6D28-4478-8FBD-67141CDF2AC4}"/>
            </c:ext>
          </c:extLst>
        </c:ser>
        <c:ser>
          <c:idx val="5"/>
          <c:order val="5"/>
          <c:tx>
            <c:strRef>
              <c:f>'MP3'!$AH$31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'MP3'!$AH$26:$AJ$26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'MP3'!$AJ$31</c:f>
              <c:numCache>
                <c:formatCode>General</c:formatCode>
                <c:ptCount val="1"/>
                <c:pt idx="0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6D28-4478-8FBD-67141CDF2AC4}"/>
            </c:ext>
          </c:extLst>
        </c:ser>
        <c:ser>
          <c:idx val="6"/>
          <c:order val="6"/>
          <c:spPr>
            <a:noFill/>
            <a:ln>
              <a:noFill/>
            </a:ln>
          </c:spPr>
          <c:invertIfNegative val="0"/>
          <c:cat>
            <c:strRef>
              <c:f>'MP3'!$AH$26:$AJ$26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'MP3'!$AI$32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6D28-4478-8FBD-67141CDF2AC4}"/>
            </c:ext>
          </c:extLst>
        </c:ser>
        <c:ser>
          <c:idx val="7"/>
          <c:order val="7"/>
          <c:tx>
            <c:strRef>
              <c:f>'MP3'!$AH$32</c:f>
              <c:strCache>
                <c:ptCount val="1"/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'MP3'!$AH$26:$AJ$26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'MP3'!$AJ$32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6D28-4478-8FBD-67141CDF2AC4}"/>
            </c:ext>
          </c:extLst>
        </c:ser>
        <c:ser>
          <c:idx val="8"/>
          <c:order val="8"/>
          <c:spPr>
            <a:noFill/>
            <a:ln>
              <a:noFill/>
            </a:ln>
          </c:spPr>
          <c:invertIfNegative val="0"/>
          <c:cat>
            <c:strRef>
              <c:f>'MP3'!$AH$26:$AJ$26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'MP3'!$AI$33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6D28-4478-8FBD-67141CDF2AC4}"/>
            </c:ext>
          </c:extLst>
        </c:ser>
        <c:ser>
          <c:idx val="9"/>
          <c:order val="9"/>
          <c:tx>
            <c:strRef>
              <c:f>'MP3'!$AH$33</c:f>
              <c:strCache>
                <c:ptCount val="1"/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'MP3'!$AH$26:$AJ$26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'MP3'!$AJ$33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6D28-4478-8FBD-67141CDF2AC4}"/>
            </c:ext>
          </c:extLst>
        </c:ser>
        <c:ser>
          <c:idx val="10"/>
          <c:order val="10"/>
          <c:spPr>
            <a:noFill/>
            <a:ln>
              <a:noFill/>
            </a:ln>
          </c:spPr>
          <c:invertIfNegative val="0"/>
          <c:cat>
            <c:strRef>
              <c:f>'MP3'!$AH$26:$AJ$26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'MP3'!$AI$34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6D28-4478-8FBD-67141CDF2AC4}"/>
            </c:ext>
          </c:extLst>
        </c:ser>
        <c:ser>
          <c:idx val="11"/>
          <c:order val="11"/>
          <c:tx>
            <c:strRef>
              <c:f>'MP3'!$AH$34</c:f>
              <c:strCache>
                <c:ptCount val="1"/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'MP3'!$AH$26:$AJ$26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'MP3'!$AJ$34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6D28-4478-8FBD-67141CDF2AC4}"/>
            </c:ext>
          </c:extLst>
        </c:ser>
        <c:ser>
          <c:idx val="12"/>
          <c:order val="12"/>
          <c:spPr>
            <a:noFill/>
            <a:ln>
              <a:noFill/>
            </a:ln>
          </c:spPr>
          <c:invertIfNegative val="0"/>
          <c:cat>
            <c:strRef>
              <c:f>'MP3'!$AH$26:$AJ$26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'MP3'!$AI$35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6D28-4478-8FBD-67141CDF2AC4}"/>
            </c:ext>
          </c:extLst>
        </c:ser>
        <c:ser>
          <c:idx val="13"/>
          <c:order val="13"/>
          <c:tx>
            <c:strRef>
              <c:f>'MP3'!$AH$35</c:f>
              <c:strCache>
                <c:ptCount val="1"/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'MP3'!$AH$26:$AJ$26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'MP3'!$AJ$35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6D28-4478-8FBD-67141CDF2AC4}"/>
            </c:ext>
          </c:extLst>
        </c:ser>
        <c:ser>
          <c:idx val="14"/>
          <c:order val="14"/>
          <c:spPr>
            <a:noFill/>
            <a:ln>
              <a:noFill/>
            </a:ln>
          </c:spPr>
          <c:invertIfNegative val="0"/>
          <c:cat>
            <c:strRef>
              <c:f>'MP3'!$AH$26:$AJ$26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'MP3'!$AI$36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6D28-4478-8FBD-67141CDF2AC4}"/>
            </c:ext>
          </c:extLst>
        </c:ser>
        <c:ser>
          <c:idx val="15"/>
          <c:order val="15"/>
          <c:tx>
            <c:strRef>
              <c:f>'MP3'!$AH$36</c:f>
              <c:strCache>
                <c:ptCount val="1"/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'MP3'!$AH$26:$AJ$26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'MP3'!$AJ$36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6D28-4478-8FBD-67141CDF2AC4}"/>
            </c:ext>
          </c:extLst>
        </c:ser>
        <c:ser>
          <c:idx val="16"/>
          <c:order val="16"/>
          <c:spPr>
            <a:noFill/>
            <a:ln>
              <a:noFill/>
            </a:ln>
          </c:spPr>
          <c:invertIfNegative val="0"/>
          <c:cat>
            <c:strRef>
              <c:f>'MP3'!$AH$26:$AJ$26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'MP3'!$AI$37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6D28-4478-8FBD-67141CDF2AC4}"/>
            </c:ext>
          </c:extLst>
        </c:ser>
        <c:ser>
          <c:idx val="17"/>
          <c:order val="17"/>
          <c:tx>
            <c:strRef>
              <c:f>'MP3'!$AH$37</c:f>
              <c:strCache>
                <c:ptCount val="1"/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'MP3'!$AH$26:$AJ$26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'MP3'!$AJ$37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6D28-4478-8FBD-67141CDF2AC4}"/>
            </c:ext>
          </c:extLst>
        </c:ser>
        <c:ser>
          <c:idx val="18"/>
          <c:order val="18"/>
          <c:spPr>
            <a:noFill/>
            <a:ln>
              <a:noFill/>
            </a:ln>
          </c:spPr>
          <c:invertIfNegative val="0"/>
          <c:cat>
            <c:strRef>
              <c:f>'MP3'!$AH$26:$AJ$26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'MP3'!$AI$38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6D28-4478-8FBD-67141CDF2AC4}"/>
            </c:ext>
          </c:extLst>
        </c:ser>
        <c:ser>
          <c:idx val="19"/>
          <c:order val="19"/>
          <c:tx>
            <c:strRef>
              <c:f>'MP3'!$AH$38</c:f>
              <c:strCache>
                <c:ptCount val="1"/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'MP3'!$AH$26:$AJ$26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'MP3'!$AJ$38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6D28-4478-8FBD-67141CDF2A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68129792"/>
        <c:axId val="268131328"/>
      </c:barChart>
      <c:catAx>
        <c:axId val="26812979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t-BR"/>
          </a:p>
        </c:txPr>
        <c:crossAx val="268131328"/>
        <c:crosses val="autoZero"/>
        <c:auto val="1"/>
        <c:lblAlgn val="ctr"/>
        <c:lblOffset val="100"/>
        <c:noMultiLvlLbl val="0"/>
      </c:catAx>
      <c:valAx>
        <c:axId val="268131328"/>
        <c:scaling>
          <c:orientation val="minMax"/>
          <c:max val="4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t-BR"/>
          </a:p>
        </c:txPr>
        <c:crossAx val="268129792"/>
        <c:crosses val="autoZero"/>
        <c:crossBetween val="between"/>
        <c:majorUnit val="5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pt-BR"/>
    </a:p>
  </c:txPr>
  <c:printSettings>
    <c:headerFooter/>
    <c:pageMargins b="0.78740157499999996" l="0.511811024" r="0.511811024" t="0.78740157499999996" header="0.31496062000000125" footer="0.3149606200000012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</c:spPr>
          <c:invertIfNegative val="0"/>
          <c:cat>
            <c:strRef>
              <c:f>'MP3'!$AL$26:$AN$26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'MP3'!$AM$29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5E-4DF8-AB13-D8F7101F0DE3}"/>
            </c:ext>
          </c:extLst>
        </c:ser>
        <c:ser>
          <c:idx val="1"/>
          <c:order val="1"/>
          <c:tx>
            <c:strRef>
              <c:f>'MP3'!$AL$29</c:f>
              <c:strCache>
                <c:ptCount val="1"/>
                <c:pt idx="0">
                  <c:v>D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'MP3'!$AL$26:$AN$26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'MP3'!$AN$29</c:f>
              <c:numCache>
                <c:formatCode>General</c:formatCode>
                <c:ptCount val="1"/>
                <c:pt idx="0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5E-4DF8-AB13-D8F7101F0DE3}"/>
            </c:ext>
          </c:extLst>
        </c:ser>
        <c:ser>
          <c:idx val="2"/>
          <c:order val="2"/>
          <c:spPr>
            <a:noFill/>
            <a:ln>
              <a:noFill/>
            </a:ln>
          </c:spPr>
          <c:invertIfNegative val="0"/>
          <c:cat>
            <c:strRef>
              <c:f>'MP3'!$AL$26:$AN$26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'MP3'!$AM$30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5E-4DF8-AB13-D8F7101F0DE3}"/>
            </c:ext>
          </c:extLst>
        </c:ser>
        <c:ser>
          <c:idx val="3"/>
          <c:order val="3"/>
          <c:tx>
            <c:strRef>
              <c:f>'MP3'!$AL$30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'MP3'!$AL$26:$AN$26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'MP3'!$AN$30</c:f>
              <c:numCache>
                <c:formatCode>General</c:formatCode>
                <c:ptCount val="1"/>
                <c:pt idx="0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5E-4DF8-AB13-D8F7101F0DE3}"/>
            </c:ext>
          </c:extLst>
        </c:ser>
        <c:ser>
          <c:idx val="4"/>
          <c:order val="4"/>
          <c:spPr>
            <a:noFill/>
            <a:ln>
              <a:noFill/>
            </a:ln>
          </c:spPr>
          <c:invertIfNegative val="0"/>
          <c:cat>
            <c:strRef>
              <c:f>'MP3'!$AL$26:$AN$26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'MP3'!$AM$31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5E-4DF8-AB13-D8F7101F0DE3}"/>
            </c:ext>
          </c:extLst>
        </c:ser>
        <c:ser>
          <c:idx val="5"/>
          <c:order val="5"/>
          <c:tx>
            <c:strRef>
              <c:f>'MP3'!$AL$31</c:f>
              <c:strCache>
                <c:ptCount val="1"/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'MP3'!$AL$26:$AN$26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'MP3'!$AN$31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D5E-4DF8-AB13-D8F7101F0DE3}"/>
            </c:ext>
          </c:extLst>
        </c:ser>
        <c:ser>
          <c:idx val="6"/>
          <c:order val="6"/>
          <c:spPr>
            <a:noFill/>
            <a:ln>
              <a:noFill/>
            </a:ln>
          </c:spPr>
          <c:invertIfNegative val="0"/>
          <c:cat>
            <c:strRef>
              <c:f>'MP3'!$AL$26:$AN$26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'MP3'!$AM$32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D5E-4DF8-AB13-D8F7101F0DE3}"/>
            </c:ext>
          </c:extLst>
        </c:ser>
        <c:ser>
          <c:idx val="7"/>
          <c:order val="7"/>
          <c:tx>
            <c:strRef>
              <c:f>'MP3'!$AL$32</c:f>
              <c:strCache>
                <c:ptCount val="1"/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'MP3'!$AL$26:$AN$26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'MP3'!$AN$32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D5E-4DF8-AB13-D8F7101F0DE3}"/>
            </c:ext>
          </c:extLst>
        </c:ser>
        <c:ser>
          <c:idx val="8"/>
          <c:order val="8"/>
          <c:spPr>
            <a:noFill/>
            <a:ln>
              <a:noFill/>
            </a:ln>
          </c:spPr>
          <c:invertIfNegative val="0"/>
          <c:cat>
            <c:strRef>
              <c:f>'MP3'!$AL$26:$AN$26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'MP3'!$AM$33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D5E-4DF8-AB13-D8F7101F0DE3}"/>
            </c:ext>
          </c:extLst>
        </c:ser>
        <c:ser>
          <c:idx val="9"/>
          <c:order val="9"/>
          <c:tx>
            <c:strRef>
              <c:f>'MP3'!$AL$33</c:f>
              <c:strCache>
                <c:ptCount val="1"/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'MP3'!$AL$26:$AN$26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'MP3'!$AN$33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D5E-4DF8-AB13-D8F7101F0DE3}"/>
            </c:ext>
          </c:extLst>
        </c:ser>
        <c:ser>
          <c:idx val="10"/>
          <c:order val="10"/>
          <c:spPr>
            <a:noFill/>
            <a:ln>
              <a:noFill/>
            </a:ln>
          </c:spPr>
          <c:invertIfNegative val="0"/>
          <c:cat>
            <c:strRef>
              <c:f>'MP3'!$AL$26:$AN$26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'MP3'!$AM$34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D5E-4DF8-AB13-D8F7101F0DE3}"/>
            </c:ext>
          </c:extLst>
        </c:ser>
        <c:ser>
          <c:idx val="11"/>
          <c:order val="11"/>
          <c:tx>
            <c:strRef>
              <c:f>'MP3'!$AL$34</c:f>
              <c:strCache>
                <c:ptCount val="1"/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'MP3'!$AL$26:$AN$26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'MP3'!$AN$34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D5E-4DF8-AB13-D8F7101F0DE3}"/>
            </c:ext>
          </c:extLst>
        </c:ser>
        <c:ser>
          <c:idx val="12"/>
          <c:order val="12"/>
          <c:spPr>
            <a:noFill/>
            <a:ln>
              <a:noFill/>
            </a:ln>
          </c:spPr>
          <c:invertIfNegative val="0"/>
          <c:cat>
            <c:strRef>
              <c:f>'MP3'!$AL$26:$AN$26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'MP3'!$AM$35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D5E-4DF8-AB13-D8F7101F0DE3}"/>
            </c:ext>
          </c:extLst>
        </c:ser>
        <c:ser>
          <c:idx val="13"/>
          <c:order val="13"/>
          <c:tx>
            <c:strRef>
              <c:f>'MP3'!$AL$35</c:f>
              <c:strCache>
                <c:ptCount val="1"/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'MP3'!$AL$26:$AN$26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'MP3'!$AN$35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0D5E-4DF8-AB13-D8F7101F0DE3}"/>
            </c:ext>
          </c:extLst>
        </c:ser>
        <c:ser>
          <c:idx val="14"/>
          <c:order val="14"/>
          <c:spPr>
            <a:noFill/>
            <a:ln>
              <a:noFill/>
            </a:ln>
          </c:spPr>
          <c:invertIfNegative val="0"/>
          <c:cat>
            <c:strRef>
              <c:f>'MP3'!$AL$26:$AN$26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'MP3'!$AM$36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0D5E-4DF8-AB13-D8F7101F0DE3}"/>
            </c:ext>
          </c:extLst>
        </c:ser>
        <c:ser>
          <c:idx val="15"/>
          <c:order val="15"/>
          <c:tx>
            <c:strRef>
              <c:f>'MP3'!$AL$36</c:f>
              <c:strCache>
                <c:ptCount val="1"/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'MP3'!$AL$26:$AN$26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'MP3'!$AN$36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0D5E-4DF8-AB13-D8F7101F0DE3}"/>
            </c:ext>
          </c:extLst>
        </c:ser>
        <c:ser>
          <c:idx val="16"/>
          <c:order val="16"/>
          <c:spPr>
            <a:noFill/>
            <a:ln>
              <a:noFill/>
            </a:ln>
          </c:spPr>
          <c:invertIfNegative val="0"/>
          <c:cat>
            <c:strRef>
              <c:f>'MP3'!$AL$26:$AN$26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'MP3'!$AM$37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0D5E-4DF8-AB13-D8F7101F0DE3}"/>
            </c:ext>
          </c:extLst>
        </c:ser>
        <c:ser>
          <c:idx val="17"/>
          <c:order val="17"/>
          <c:tx>
            <c:strRef>
              <c:f>'MP3'!$AL$37</c:f>
              <c:strCache>
                <c:ptCount val="1"/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'MP3'!$AL$26:$AN$26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'MP3'!$AN$37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0D5E-4DF8-AB13-D8F7101F0DE3}"/>
            </c:ext>
          </c:extLst>
        </c:ser>
        <c:ser>
          <c:idx val="18"/>
          <c:order val="18"/>
          <c:spPr>
            <a:noFill/>
            <a:ln>
              <a:noFill/>
            </a:ln>
          </c:spPr>
          <c:invertIfNegative val="0"/>
          <c:cat>
            <c:strRef>
              <c:f>'MP3'!$AL$26:$AN$26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'MP3'!$AM$38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D5E-4DF8-AB13-D8F7101F0DE3}"/>
            </c:ext>
          </c:extLst>
        </c:ser>
        <c:ser>
          <c:idx val="19"/>
          <c:order val="19"/>
          <c:tx>
            <c:strRef>
              <c:f>'MP3'!$AL$38</c:f>
              <c:strCache>
                <c:ptCount val="1"/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'MP3'!$AL$26:$AN$26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'MP3'!$AN$38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0D5E-4DF8-AB13-D8F7101F0D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68343168"/>
        <c:axId val="268344704"/>
      </c:barChart>
      <c:catAx>
        <c:axId val="26834316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t-BR"/>
          </a:p>
        </c:txPr>
        <c:crossAx val="268344704"/>
        <c:crosses val="autoZero"/>
        <c:auto val="1"/>
        <c:lblAlgn val="ctr"/>
        <c:lblOffset val="100"/>
        <c:noMultiLvlLbl val="0"/>
      </c:catAx>
      <c:valAx>
        <c:axId val="268344704"/>
        <c:scaling>
          <c:orientation val="minMax"/>
          <c:max val="4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t-BR"/>
          </a:p>
        </c:txPr>
        <c:crossAx val="268343168"/>
        <c:crosses val="autoZero"/>
        <c:crossBetween val="between"/>
        <c:majorUnit val="5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pt-BR"/>
    </a:p>
  </c:txPr>
  <c:printSettings>
    <c:headerFooter/>
    <c:pageMargins b="0.78740157499999996" l="0.511811024" r="0.511811024" t="0.78740157499999996" header="0.31496062000000125" footer="0.3149606200000012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</c:spPr>
          <c:invertIfNegative val="0"/>
          <c:cat>
            <c:strRef>
              <c:f>'MP3'!$AP$26:$AR$26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'MP3'!$AQ$29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94-41FA-9202-D9D37BA6D1EB}"/>
            </c:ext>
          </c:extLst>
        </c:ser>
        <c:ser>
          <c:idx val="1"/>
          <c:order val="1"/>
          <c:tx>
            <c:strRef>
              <c:f>'MP3'!$AP$29</c:f>
              <c:strCache>
                <c:ptCount val="1"/>
                <c:pt idx="0">
                  <c:v>F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'MP3'!$AP$26:$AR$26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'MP3'!$AR$29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94-41FA-9202-D9D37BA6D1EB}"/>
            </c:ext>
          </c:extLst>
        </c:ser>
        <c:ser>
          <c:idx val="2"/>
          <c:order val="2"/>
          <c:spPr>
            <a:noFill/>
            <a:ln>
              <a:noFill/>
            </a:ln>
          </c:spPr>
          <c:invertIfNegative val="0"/>
          <c:cat>
            <c:strRef>
              <c:f>'MP3'!$AP$26:$AR$26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'MP3'!$AQ$30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F94-41FA-9202-D9D37BA6D1EB}"/>
            </c:ext>
          </c:extLst>
        </c:ser>
        <c:ser>
          <c:idx val="3"/>
          <c:order val="3"/>
          <c:tx>
            <c:strRef>
              <c:f>'MP3'!$AP$30</c:f>
              <c:strCache>
                <c:ptCount val="1"/>
                <c:pt idx="0">
                  <c:v>G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'MP3'!$AP$26:$AR$26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'MP3'!$AR$30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F94-41FA-9202-D9D37BA6D1EB}"/>
            </c:ext>
          </c:extLst>
        </c:ser>
        <c:ser>
          <c:idx val="4"/>
          <c:order val="4"/>
          <c:spPr>
            <a:noFill/>
            <a:ln>
              <a:noFill/>
            </a:ln>
          </c:spPr>
          <c:invertIfNegative val="0"/>
          <c:cat>
            <c:strRef>
              <c:f>'MP3'!$AP$26:$AR$26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'MP3'!$AQ$31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F94-41FA-9202-D9D37BA6D1EB}"/>
            </c:ext>
          </c:extLst>
        </c:ser>
        <c:ser>
          <c:idx val="5"/>
          <c:order val="5"/>
          <c:tx>
            <c:strRef>
              <c:f>'MP3'!$AP$31</c:f>
              <c:strCache>
                <c:ptCount val="1"/>
                <c:pt idx="0">
                  <c:v>H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'MP3'!$AP$26:$AR$26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'MP3'!$AR$31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F94-41FA-9202-D9D37BA6D1EB}"/>
            </c:ext>
          </c:extLst>
        </c:ser>
        <c:ser>
          <c:idx val="6"/>
          <c:order val="6"/>
          <c:spPr>
            <a:noFill/>
            <a:ln>
              <a:noFill/>
            </a:ln>
          </c:spPr>
          <c:invertIfNegative val="0"/>
          <c:cat>
            <c:strRef>
              <c:f>'MP3'!$AP$26:$AR$26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'MP3'!$AQ$32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F94-41FA-9202-D9D37BA6D1EB}"/>
            </c:ext>
          </c:extLst>
        </c:ser>
        <c:ser>
          <c:idx val="7"/>
          <c:order val="7"/>
          <c:tx>
            <c:strRef>
              <c:f>'MP3'!$AP$32</c:f>
              <c:strCache>
                <c:ptCount val="1"/>
                <c:pt idx="0">
                  <c:v>I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'MP3'!$AP$26:$AR$26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'MP3'!$AR$32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F94-41FA-9202-D9D37BA6D1EB}"/>
            </c:ext>
          </c:extLst>
        </c:ser>
        <c:ser>
          <c:idx val="8"/>
          <c:order val="8"/>
          <c:spPr>
            <a:noFill/>
            <a:ln>
              <a:noFill/>
            </a:ln>
          </c:spPr>
          <c:invertIfNegative val="0"/>
          <c:cat>
            <c:strRef>
              <c:f>'MP3'!$AP$26:$AR$26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'MP3'!$AQ$33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F94-41FA-9202-D9D37BA6D1EB}"/>
            </c:ext>
          </c:extLst>
        </c:ser>
        <c:ser>
          <c:idx val="9"/>
          <c:order val="9"/>
          <c:tx>
            <c:strRef>
              <c:f>'MP3'!$AP$33</c:f>
              <c:strCache>
                <c:ptCount val="1"/>
                <c:pt idx="0">
                  <c:v>J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'MP3'!$AP$26:$AR$26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'MP3'!$AR$33</c:f>
              <c:numCache>
                <c:formatCode>General</c:formatCode>
                <c:ptCount val="1"/>
                <c:pt idx="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F94-41FA-9202-D9D37BA6D1EB}"/>
            </c:ext>
          </c:extLst>
        </c:ser>
        <c:ser>
          <c:idx val="10"/>
          <c:order val="10"/>
          <c:spPr>
            <a:noFill/>
            <a:ln>
              <a:noFill/>
            </a:ln>
          </c:spPr>
          <c:invertIfNegative val="0"/>
          <c:cat>
            <c:strRef>
              <c:f>'MP3'!$AP$26:$AR$26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'MP3'!$AQ$34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F94-41FA-9202-D9D37BA6D1EB}"/>
            </c:ext>
          </c:extLst>
        </c:ser>
        <c:ser>
          <c:idx val="11"/>
          <c:order val="11"/>
          <c:tx>
            <c:strRef>
              <c:f>'MP3'!$AP$34</c:f>
              <c:strCache>
                <c:ptCount val="1"/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'MP3'!$AP$26:$AR$26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'MP3'!$AR$34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F94-41FA-9202-D9D37BA6D1EB}"/>
            </c:ext>
          </c:extLst>
        </c:ser>
        <c:ser>
          <c:idx val="12"/>
          <c:order val="12"/>
          <c:spPr>
            <a:noFill/>
            <a:ln>
              <a:noFill/>
            </a:ln>
          </c:spPr>
          <c:invertIfNegative val="0"/>
          <c:cat>
            <c:strRef>
              <c:f>'MP3'!$AP$26:$AR$26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'MP3'!$AQ$35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F94-41FA-9202-D9D37BA6D1EB}"/>
            </c:ext>
          </c:extLst>
        </c:ser>
        <c:ser>
          <c:idx val="13"/>
          <c:order val="13"/>
          <c:tx>
            <c:strRef>
              <c:f>'MP3'!$AP$35</c:f>
              <c:strCache>
                <c:ptCount val="1"/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'MP3'!$AP$26:$AR$26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'MP3'!$AR$35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6F94-41FA-9202-D9D37BA6D1EB}"/>
            </c:ext>
          </c:extLst>
        </c:ser>
        <c:ser>
          <c:idx val="14"/>
          <c:order val="14"/>
          <c:spPr>
            <a:noFill/>
            <a:ln>
              <a:noFill/>
            </a:ln>
          </c:spPr>
          <c:invertIfNegative val="0"/>
          <c:cat>
            <c:strRef>
              <c:f>'MP3'!$AP$26:$AR$26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'MP3'!$AQ$36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6F94-41FA-9202-D9D37BA6D1EB}"/>
            </c:ext>
          </c:extLst>
        </c:ser>
        <c:ser>
          <c:idx val="15"/>
          <c:order val="15"/>
          <c:tx>
            <c:strRef>
              <c:f>'MP3'!$AP$36</c:f>
              <c:strCache>
                <c:ptCount val="1"/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'MP3'!$AP$26:$AR$26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'MP3'!$AR$36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6F94-41FA-9202-D9D37BA6D1EB}"/>
            </c:ext>
          </c:extLst>
        </c:ser>
        <c:ser>
          <c:idx val="16"/>
          <c:order val="16"/>
          <c:spPr>
            <a:noFill/>
            <a:ln>
              <a:noFill/>
            </a:ln>
          </c:spPr>
          <c:invertIfNegative val="0"/>
          <c:cat>
            <c:strRef>
              <c:f>'MP3'!$AP$26:$AR$26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'MP3'!$AQ$37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6F94-41FA-9202-D9D37BA6D1EB}"/>
            </c:ext>
          </c:extLst>
        </c:ser>
        <c:ser>
          <c:idx val="17"/>
          <c:order val="17"/>
          <c:tx>
            <c:strRef>
              <c:f>'MP3'!$AP$37</c:f>
              <c:strCache>
                <c:ptCount val="1"/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'MP3'!$AP$26:$AR$26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'MP3'!$AR$37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6F94-41FA-9202-D9D37BA6D1EB}"/>
            </c:ext>
          </c:extLst>
        </c:ser>
        <c:ser>
          <c:idx val="18"/>
          <c:order val="18"/>
          <c:spPr>
            <a:noFill/>
            <a:ln>
              <a:noFill/>
            </a:ln>
          </c:spPr>
          <c:invertIfNegative val="0"/>
          <c:cat>
            <c:strRef>
              <c:f>'MP3'!$AP$26:$AR$26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'MP3'!$AQ$38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6F94-41FA-9202-D9D37BA6D1EB}"/>
            </c:ext>
          </c:extLst>
        </c:ser>
        <c:ser>
          <c:idx val="19"/>
          <c:order val="19"/>
          <c:tx>
            <c:strRef>
              <c:f>'MP3'!$AP$38</c:f>
              <c:strCache>
                <c:ptCount val="1"/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'MP3'!$AP$26:$AR$26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'MP3'!$AR$38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6F94-41FA-9202-D9D37BA6D1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69147520"/>
        <c:axId val="269161600"/>
      </c:barChart>
      <c:catAx>
        <c:axId val="26914752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t-BR"/>
          </a:p>
        </c:txPr>
        <c:crossAx val="269161600"/>
        <c:crosses val="autoZero"/>
        <c:auto val="1"/>
        <c:lblAlgn val="ctr"/>
        <c:lblOffset val="100"/>
        <c:noMultiLvlLbl val="0"/>
      </c:catAx>
      <c:valAx>
        <c:axId val="269161600"/>
        <c:scaling>
          <c:orientation val="minMax"/>
          <c:max val="4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t-BR"/>
          </a:p>
        </c:txPr>
        <c:crossAx val="269147520"/>
        <c:crosses val="autoZero"/>
        <c:crossBetween val="between"/>
        <c:majorUnit val="5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pt-BR"/>
    </a:p>
  </c:txPr>
  <c:printSettings>
    <c:headerFooter/>
    <c:pageMargins b="0.78740157499999996" l="0.511811024" r="0.511811024" t="0.78740157499999996" header="0.31496062000000125" footer="0.3149606200000012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6109759847061937E-2"/>
          <c:y val="7.5000000000000011E-2"/>
          <c:w val="0.91396564373103117"/>
          <c:h val="0.69499999999999995"/>
        </c:manualLayout>
      </c:layout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</c:spPr>
          <c:invertIfNegative val="0"/>
          <c:cat>
            <c:strRef>
              <c:f>'FS2'!$Y$18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'FS2'!$Z$21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C5-4477-8751-340BA012D733}"/>
            </c:ext>
          </c:extLst>
        </c:ser>
        <c:ser>
          <c:idx val="1"/>
          <c:order val="1"/>
          <c:tx>
            <c:strRef>
              <c:f>'FS2'!$Y$21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'FS2'!$Y$18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'FS2'!$AA$21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C5-4477-8751-340BA012D733}"/>
            </c:ext>
          </c:extLst>
        </c:ser>
        <c:ser>
          <c:idx val="2"/>
          <c:order val="2"/>
          <c:spPr>
            <a:noFill/>
            <a:ln>
              <a:noFill/>
            </a:ln>
          </c:spPr>
          <c:invertIfNegative val="0"/>
          <c:cat>
            <c:strRef>
              <c:f>'FS2'!$Y$18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'FS2'!$Z$22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5C5-4477-8751-340BA012D733}"/>
            </c:ext>
          </c:extLst>
        </c:ser>
        <c:ser>
          <c:idx val="3"/>
          <c:order val="3"/>
          <c:tx>
            <c:strRef>
              <c:f>'FS2'!$Y$22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'FS2'!$Y$18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'FS2'!$AA$22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5C5-4477-8751-340BA012D733}"/>
            </c:ext>
          </c:extLst>
        </c:ser>
        <c:ser>
          <c:idx val="4"/>
          <c:order val="4"/>
          <c:spPr>
            <a:noFill/>
            <a:ln>
              <a:noFill/>
            </a:ln>
          </c:spPr>
          <c:invertIfNegative val="0"/>
          <c:cat>
            <c:strRef>
              <c:f>'FS2'!$Y$18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'FS2'!$Z$23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5C5-4477-8751-340BA012D733}"/>
            </c:ext>
          </c:extLst>
        </c:ser>
        <c:ser>
          <c:idx val="5"/>
          <c:order val="5"/>
          <c:tx>
            <c:strRef>
              <c:f>'FS2'!$Y$23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'FS2'!$Y$18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'FS2'!$AA$23</c:f>
              <c:numCache>
                <c:formatCode>General</c:formatCode>
                <c:ptCount val="1"/>
                <c:pt idx="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5C5-4477-8751-340BA012D733}"/>
            </c:ext>
          </c:extLst>
        </c:ser>
        <c:ser>
          <c:idx val="6"/>
          <c:order val="6"/>
          <c:spPr>
            <a:noFill/>
            <a:ln>
              <a:noFill/>
            </a:ln>
          </c:spPr>
          <c:invertIfNegative val="0"/>
          <c:cat>
            <c:strRef>
              <c:f>'FS2'!$Y$18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'FS2'!$Z$24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C5-4477-8751-340BA012D733}"/>
            </c:ext>
          </c:extLst>
        </c:ser>
        <c:ser>
          <c:idx val="7"/>
          <c:order val="7"/>
          <c:tx>
            <c:strRef>
              <c:f>'FS2'!$Y$24</c:f>
              <c:strCache>
                <c:ptCount val="1"/>
                <c:pt idx="0">
                  <c:v>D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'FS2'!$Y$18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'FS2'!$AA$24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5C5-4477-8751-340BA012D733}"/>
            </c:ext>
          </c:extLst>
        </c:ser>
        <c:ser>
          <c:idx val="8"/>
          <c:order val="8"/>
          <c:spPr>
            <a:noFill/>
            <a:ln>
              <a:noFill/>
            </a:ln>
          </c:spPr>
          <c:invertIfNegative val="0"/>
          <c:cat>
            <c:strRef>
              <c:f>'FS2'!$Y$18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'FS2'!$Z$25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5C5-4477-8751-340BA012D733}"/>
            </c:ext>
          </c:extLst>
        </c:ser>
        <c:ser>
          <c:idx val="9"/>
          <c:order val="9"/>
          <c:tx>
            <c:strRef>
              <c:f>'FS2'!$Y$25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'FS2'!$Y$18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'FS2'!$AA$25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5C5-4477-8751-340BA012D7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67990528"/>
        <c:axId val="267992064"/>
      </c:barChart>
      <c:catAx>
        <c:axId val="267990528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t-BR"/>
          </a:p>
        </c:txPr>
        <c:crossAx val="267992064"/>
        <c:crosses val="autoZero"/>
        <c:auto val="1"/>
        <c:lblAlgn val="ctr"/>
        <c:lblOffset val="100"/>
        <c:noMultiLvlLbl val="0"/>
      </c:catAx>
      <c:valAx>
        <c:axId val="267992064"/>
        <c:scaling>
          <c:orientation val="minMax"/>
          <c:max val="35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t-BR"/>
          </a:p>
        </c:txPr>
        <c:crossAx val="267990528"/>
        <c:crosses val="max"/>
        <c:crossBetween val="between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pt-BR"/>
    </a:p>
  </c:txPr>
  <c:printSettings>
    <c:headerFooter/>
    <c:pageMargins b="0.78740157499999996" l="0.511811024" r="0.511811024" t="0.78740157499999996" header="0.31496062000000141" footer="0.31496062000000141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6109759847061937E-2"/>
          <c:y val="7.5000000000000011E-2"/>
          <c:w val="0.91396564373103117"/>
          <c:h val="0.69499999999999995"/>
        </c:manualLayout>
      </c:layout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</c:spPr>
          <c:invertIfNegative val="0"/>
          <c:cat>
            <c:strRef>
              <c:f>'FS2'!$AC$18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'FS2'!$AD$21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5F-4AD7-BBBE-2C7B2B270996}"/>
            </c:ext>
          </c:extLst>
        </c:ser>
        <c:ser>
          <c:idx val="1"/>
          <c:order val="1"/>
          <c:tx>
            <c:strRef>
              <c:f>'FS2'!$AC$21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'FS2'!$AC$18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'FS2'!$AE$21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5F-4AD7-BBBE-2C7B2B270996}"/>
            </c:ext>
          </c:extLst>
        </c:ser>
        <c:ser>
          <c:idx val="2"/>
          <c:order val="2"/>
          <c:spPr>
            <a:noFill/>
            <a:ln>
              <a:noFill/>
            </a:ln>
          </c:spPr>
          <c:invertIfNegative val="0"/>
          <c:cat>
            <c:strRef>
              <c:f>'FS2'!$AC$18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'FS2'!$AD$22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75F-4AD7-BBBE-2C7B2B270996}"/>
            </c:ext>
          </c:extLst>
        </c:ser>
        <c:ser>
          <c:idx val="3"/>
          <c:order val="3"/>
          <c:tx>
            <c:strRef>
              <c:f>'FS2'!$AC$22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'FS2'!$AC$18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'FS2'!$AE$22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75F-4AD7-BBBE-2C7B2B270996}"/>
            </c:ext>
          </c:extLst>
        </c:ser>
        <c:ser>
          <c:idx val="4"/>
          <c:order val="4"/>
          <c:spPr>
            <a:noFill/>
            <a:ln>
              <a:noFill/>
            </a:ln>
          </c:spPr>
          <c:invertIfNegative val="0"/>
          <c:cat>
            <c:strRef>
              <c:f>'FS2'!$AC$18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'FS2'!$AD$23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75F-4AD7-BBBE-2C7B2B270996}"/>
            </c:ext>
          </c:extLst>
        </c:ser>
        <c:ser>
          <c:idx val="5"/>
          <c:order val="5"/>
          <c:tx>
            <c:strRef>
              <c:f>'FS2'!$AC$23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'FS2'!$AC$18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'FS2'!$AE$23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75F-4AD7-BBBE-2C7B2B270996}"/>
            </c:ext>
          </c:extLst>
        </c:ser>
        <c:ser>
          <c:idx val="6"/>
          <c:order val="6"/>
          <c:spPr>
            <a:noFill/>
            <a:ln>
              <a:noFill/>
            </a:ln>
          </c:spPr>
          <c:invertIfNegative val="0"/>
          <c:cat>
            <c:strRef>
              <c:f>'FS2'!$AC$18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'FS2'!$AD$24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75F-4AD7-BBBE-2C7B2B270996}"/>
            </c:ext>
          </c:extLst>
        </c:ser>
        <c:ser>
          <c:idx val="7"/>
          <c:order val="7"/>
          <c:tx>
            <c:strRef>
              <c:f>'FS2'!$AC$24</c:f>
              <c:strCache>
                <c:ptCount val="1"/>
                <c:pt idx="0">
                  <c:v>D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'FS2'!$AC$18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'FS2'!$AE$24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75F-4AD7-BBBE-2C7B2B270996}"/>
            </c:ext>
          </c:extLst>
        </c:ser>
        <c:ser>
          <c:idx val="8"/>
          <c:order val="8"/>
          <c:spPr>
            <a:noFill/>
            <a:ln>
              <a:noFill/>
            </a:ln>
          </c:spPr>
          <c:invertIfNegative val="0"/>
          <c:cat>
            <c:strRef>
              <c:f>'FS2'!$AC$18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'FS2'!$AD$25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75F-4AD7-BBBE-2C7B2B270996}"/>
            </c:ext>
          </c:extLst>
        </c:ser>
        <c:ser>
          <c:idx val="9"/>
          <c:order val="9"/>
          <c:tx>
            <c:strRef>
              <c:f>'FS2'!$AC$25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'FS2'!$AC$18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'FS2'!$AE$25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75F-4AD7-BBBE-2C7B2B2709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69899648"/>
        <c:axId val="269901184"/>
      </c:barChart>
      <c:catAx>
        <c:axId val="269899648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t-BR"/>
          </a:p>
        </c:txPr>
        <c:crossAx val="269901184"/>
        <c:crosses val="autoZero"/>
        <c:auto val="1"/>
        <c:lblAlgn val="ctr"/>
        <c:lblOffset val="100"/>
        <c:noMultiLvlLbl val="0"/>
      </c:catAx>
      <c:valAx>
        <c:axId val="269901184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t-BR"/>
          </a:p>
        </c:txPr>
        <c:crossAx val="269899648"/>
        <c:crosses val="max"/>
        <c:crossBetween val="between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pt-BR"/>
    </a:p>
  </c:txPr>
  <c:printSettings>
    <c:headerFooter/>
    <c:pageMargins b="0.78740157499999996" l="0.511811024" r="0.511811024" t="0.78740157499999996" header="0.31496062000000141" footer="0.3149606200000014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</c:spPr>
          <c:invertIfNegative val="0"/>
          <c:cat>
            <c:strRef>
              <c:f>'JS3'!$AS$27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'JS3'!$AW$30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65-422F-83E1-393F6B0A30BF}"/>
            </c:ext>
          </c:extLst>
        </c:ser>
        <c:ser>
          <c:idx val="1"/>
          <c:order val="1"/>
          <c:tx>
            <c:strRef>
              <c:f>'JS3'!$AT$30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 w="25400" cap="flat" cmpd="sng" algn="ctr">
              <a:solidFill>
                <a:sysClr val="windowText" lastClr="000000"/>
              </a:solidFill>
              <a:prstDash val="solid"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1">
                  <a:lumMod val="95000"/>
                </a:schemeClr>
              </a:solidFill>
              <a:ln w="9525" cap="flat" cmpd="sng" algn="ctr">
                <a:solidFill>
                  <a:sysClr val="windowText" lastClr="00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2-2065-422F-83E1-393F6B0A30B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/>
                </a:pPr>
                <a:endParaRPr lang="pt-B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'JS3'!$AS$27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'JS3'!$AX$30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65-422F-83E1-393F6B0A30BF}"/>
            </c:ext>
          </c:extLst>
        </c:ser>
        <c:ser>
          <c:idx val="2"/>
          <c:order val="2"/>
          <c:spPr>
            <a:noFill/>
            <a:ln>
              <a:noFill/>
            </a:ln>
          </c:spPr>
          <c:invertIfNegative val="0"/>
          <c:cat>
            <c:strRef>
              <c:f>'JS3'!$AS$27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'JS3'!$AW$31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065-422F-83E1-393F6B0A30BF}"/>
            </c:ext>
          </c:extLst>
        </c:ser>
        <c:ser>
          <c:idx val="3"/>
          <c:order val="3"/>
          <c:tx>
            <c:strRef>
              <c:f>'JS3'!$AT$31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 w="9525" cap="flat" cmpd="sng" algn="ctr">
              <a:solidFill>
                <a:sysClr val="windowText" lastClr="000000"/>
              </a:solidFill>
              <a:prstDash val="solid"/>
            </a:ln>
            <a:effectLst/>
          </c:spPr>
          <c:invertIfNegative val="0"/>
          <c:dLbls>
            <c:spPr>
              <a:ln w="9525"/>
            </c:spPr>
            <c:txPr>
              <a:bodyPr/>
              <a:lstStyle/>
              <a:p>
                <a:pPr>
                  <a:defRPr sz="1100"/>
                </a:pPr>
                <a:endParaRPr lang="pt-B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'JS3'!$AS$27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'JS3'!$AX$31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065-422F-83E1-393F6B0A30BF}"/>
            </c:ext>
          </c:extLst>
        </c:ser>
        <c:ser>
          <c:idx val="4"/>
          <c:order val="4"/>
          <c:spPr>
            <a:noFill/>
            <a:ln>
              <a:noFill/>
            </a:ln>
          </c:spPr>
          <c:invertIfNegative val="0"/>
          <c:cat>
            <c:strRef>
              <c:f>'JS3'!$AS$27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'JS3'!$AW$32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065-422F-83E1-393F6B0A30BF}"/>
            </c:ext>
          </c:extLst>
        </c:ser>
        <c:ser>
          <c:idx val="5"/>
          <c:order val="5"/>
          <c:tx>
            <c:strRef>
              <c:f>'JS3'!$AT$32</c:f>
              <c:strCache>
                <c:ptCount val="1"/>
                <c:pt idx="0">
                  <c:v>D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 w="9525" cap="flat" cmpd="sng" algn="ctr">
              <a:solidFill>
                <a:schemeClr val="dk1"/>
              </a:solidFill>
              <a:prstDash val="solid"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/>
                </a:pPr>
                <a:endParaRPr lang="pt-B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'JS3'!$AS$27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'JS3'!$AX$32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065-422F-83E1-393F6B0A30BF}"/>
            </c:ext>
          </c:extLst>
        </c:ser>
        <c:ser>
          <c:idx val="6"/>
          <c:order val="6"/>
          <c:spPr>
            <a:noFill/>
            <a:ln>
              <a:noFill/>
            </a:ln>
          </c:spPr>
          <c:invertIfNegative val="0"/>
          <c:cat>
            <c:strRef>
              <c:f>'JS3'!$AS$27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'JS3'!$AW$33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065-422F-83E1-393F6B0A30BF}"/>
            </c:ext>
          </c:extLst>
        </c:ser>
        <c:ser>
          <c:idx val="7"/>
          <c:order val="7"/>
          <c:tx>
            <c:strRef>
              <c:f>'JS3'!$AT$33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 w="9525" cap="flat" cmpd="sng" algn="ctr">
              <a:solidFill>
                <a:sysClr val="windowText" lastClr="000000"/>
              </a:solidFill>
              <a:prstDash val="solid"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9-2065-422F-83E1-393F6B0A30B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/>
                </a:pPr>
                <a:endParaRPr lang="pt-B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'JS3'!$AS$27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'JS3'!$AX$33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065-422F-83E1-393F6B0A30BF}"/>
            </c:ext>
          </c:extLst>
        </c:ser>
        <c:ser>
          <c:idx val="8"/>
          <c:order val="8"/>
          <c:spPr>
            <a:noFill/>
            <a:ln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B-2065-422F-83E1-393F6B0A30BF}"/>
              </c:ext>
            </c:extLst>
          </c:dPt>
          <c:cat>
            <c:strRef>
              <c:f>'JS3'!$AS$27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'JS3'!$AW$34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2065-422F-83E1-393F6B0A30BF}"/>
            </c:ext>
          </c:extLst>
        </c:ser>
        <c:ser>
          <c:idx val="9"/>
          <c:order val="9"/>
          <c:tx>
            <c:strRef>
              <c:f>'JS3'!$AT$34</c:f>
              <c:strCache>
                <c:ptCount val="1"/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'JS3'!$AS$27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'JS3'!$AX$34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2065-422F-83E1-393F6B0A30BF}"/>
            </c:ext>
          </c:extLst>
        </c:ser>
        <c:ser>
          <c:idx val="10"/>
          <c:order val="10"/>
          <c:spPr>
            <a:noFill/>
            <a:ln>
              <a:noFill/>
            </a:ln>
          </c:spPr>
          <c:invertIfNegative val="0"/>
          <c:cat>
            <c:strRef>
              <c:f>'JS3'!$AS$27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'JS3'!$AW$35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2065-422F-83E1-393F6B0A30BF}"/>
            </c:ext>
          </c:extLst>
        </c:ser>
        <c:ser>
          <c:idx val="11"/>
          <c:order val="11"/>
          <c:tx>
            <c:strRef>
              <c:f>'JS3'!$AT$35</c:f>
              <c:strCache>
                <c:ptCount val="1"/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'JS3'!$AS$27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'JS3'!$AX$35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2065-422F-83E1-393F6B0A30BF}"/>
            </c:ext>
          </c:extLst>
        </c:ser>
        <c:ser>
          <c:idx val="12"/>
          <c:order val="12"/>
          <c:spPr>
            <a:noFill/>
            <a:ln>
              <a:noFill/>
            </a:ln>
          </c:spPr>
          <c:invertIfNegative val="0"/>
          <c:cat>
            <c:strRef>
              <c:f>'JS3'!$AS$27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'JS3'!$AW$36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2065-422F-83E1-393F6B0A30BF}"/>
            </c:ext>
          </c:extLst>
        </c:ser>
        <c:ser>
          <c:idx val="13"/>
          <c:order val="13"/>
          <c:tx>
            <c:strRef>
              <c:f>'JS3'!$AT$36</c:f>
              <c:strCache>
                <c:ptCount val="1"/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'JS3'!$AS$27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'JS3'!$AX$36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2065-422F-83E1-393F6B0A30BF}"/>
            </c:ext>
          </c:extLst>
        </c:ser>
        <c:ser>
          <c:idx val="14"/>
          <c:order val="14"/>
          <c:spPr>
            <a:noFill/>
            <a:ln>
              <a:noFill/>
            </a:ln>
          </c:spPr>
          <c:invertIfNegative val="0"/>
          <c:cat>
            <c:strRef>
              <c:f>'JS3'!$AS$27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'JS3'!$AW$37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2065-422F-83E1-393F6B0A30BF}"/>
            </c:ext>
          </c:extLst>
        </c:ser>
        <c:ser>
          <c:idx val="15"/>
          <c:order val="15"/>
          <c:tx>
            <c:strRef>
              <c:f>'JS3'!$AT$37</c:f>
              <c:strCache>
                <c:ptCount val="1"/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'JS3'!$AS$27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'JS3'!$AX$37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2065-422F-83E1-393F6B0A30BF}"/>
            </c:ext>
          </c:extLst>
        </c:ser>
        <c:ser>
          <c:idx val="16"/>
          <c:order val="16"/>
          <c:spPr>
            <a:noFill/>
            <a:ln>
              <a:noFill/>
            </a:ln>
          </c:spPr>
          <c:invertIfNegative val="0"/>
          <c:cat>
            <c:strRef>
              <c:f>'JS3'!$AS$27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'JS3'!$AW$38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2065-422F-83E1-393F6B0A30BF}"/>
            </c:ext>
          </c:extLst>
        </c:ser>
        <c:ser>
          <c:idx val="17"/>
          <c:order val="17"/>
          <c:tx>
            <c:strRef>
              <c:f>'JS3'!$AT$38</c:f>
              <c:strCache>
                <c:ptCount val="1"/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'JS3'!$AS$27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'JS3'!$AX$38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2065-422F-83E1-393F6B0A30BF}"/>
            </c:ext>
          </c:extLst>
        </c:ser>
        <c:ser>
          <c:idx val="18"/>
          <c:order val="18"/>
          <c:spPr>
            <a:noFill/>
            <a:ln>
              <a:noFill/>
            </a:ln>
          </c:spPr>
          <c:invertIfNegative val="0"/>
          <c:cat>
            <c:strRef>
              <c:f>'JS3'!$AS$27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'JS3'!$AW$39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2065-422F-83E1-393F6B0A30BF}"/>
            </c:ext>
          </c:extLst>
        </c:ser>
        <c:ser>
          <c:idx val="19"/>
          <c:order val="19"/>
          <c:tx>
            <c:strRef>
              <c:f>'JS3'!$AT$39</c:f>
              <c:strCache>
                <c:ptCount val="1"/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'JS3'!$AS$27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'JS3'!$AX$39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2065-422F-83E1-393F6B0A30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69658752"/>
        <c:axId val="270209408"/>
      </c:barChart>
      <c:catAx>
        <c:axId val="26965875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pt-BR"/>
          </a:p>
        </c:txPr>
        <c:crossAx val="270209408"/>
        <c:crosses val="autoZero"/>
        <c:auto val="1"/>
        <c:lblAlgn val="ctr"/>
        <c:lblOffset val="100"/>
        <c:noMultiLvlLbl val="0"/>
      </c:catAx>
      <c:valAx>
        <c:axId val="270209408"/>
        <c:scaling>
          <c:orientation val="minMax"/>
          <c:max val="25"/>
          <c:min val="0"/>
        </c:scaling>
        <c:delete val="0"/>
        <c:axPos val="b"/>
        <c:min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pt-BR"/>
          </a:p>
        </c:txPr>
        <c:crossAx val="269658752"/>
        <c:crosses val="autoZero"/>
        <c:crossBetween val="between"/>
        <c:majorUnit val="5"/>
      </c:valAx>
      <c:spPr>
        <a:noFill/>
      </c:spPr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197" footer="0.3149606200000019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</c:spPr>
          <c:invertIfNegative val="0"/>
          <c:cat>
            <c:strRef>
              <c:f>'JS3'!$AZ$27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'JS3'!$BD$30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12-4AFE-91B0-7EBE6F65E260}"/>
            </c:ext>
          </c:extLst>
        </c:ser>
        <c:ser>
          <c:idx val="1"/>
          <c:order val="1"/>
          <c:tx>
            <c:strRef>
              <c:f>'JS3'!$BA$30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 w="9525" cap="flat" cmpd="sng" algn="ctr">
              <a:solidFill>
                <a:schemeClr val="dk1"/>
              </a:solidFill>
              <a:prstDash val="solid"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0812-4AFE-91B0-7EBE6F65E26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/>
                </a:pPr>
                <a:endParaRPr lang="pt-B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'JS3'!$AZ$27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'JS3'!$BE$30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12-4AFE-91B0-7EBE6F65E260}"/>
            </c:ext>
          </c:extLst>
        </c:ser>
        <c:ser>
          <c:idx val="2"/>
          <c:order val="2"/>
          <c:spPr>
            <a:noFill/>
            <a:ln>
              <a:noFill/>
            </a:ln>
          </c:spPr>
          <c:invertIfNegative val="0"/>
          <c:cat>
            <c:strRef>
              <c:f>'JS3'!$AZ$27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'JS3'!$BD$31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812-4AFE-91B0-7EBE6F65E260}"/>
            </c:ext>
          </c:extLst>
        </c:ser>
        <c:ser>
          <c:idx val="3"/>
          <c:order val="3"/>
          <c:tx>
            <c:strRef>
              <c:f>'JS3'!$BA$31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 w="9525" cap="flat" cmpd="sng" algn="ctr">
              <a:solidFill>
                <a:schemeClr val="dk1"/>
              </a:solidFill>
              <a:prstDash val="solid"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/>
                </a:pPr>
                <a:endParaRPr lang="pt-B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'JS3'!$AZ$27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'JS3'!$BE$31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812-4AFE-91B0-7EBE6F65E260}"/>
            </c:ext>
          </c:extLst>
        </c:ser>
        <c:ser>
          <c:idx val="4"/>
          <c:order val="4"/>
          <c:spPr>
            <a:noFill/>
            <a:ln>
              <a:noFill/>
            </a:ln>
          </c:spPr>
          <c:invertIfNegative val="0"/>
          <c:cat>
            <c:strRef>
              <c:f>'JS3'!$AZ$27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'JS3'!$BD$32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812-4AFE-91B0-7EBE6F65E260}"/>
            </c:ext>
          </c:extLst>
        </c:ser>
        <c:ser>
          <c:idx val="5"/>
          <c:order val="5"/>
          <c:tx>
            <c:strRef>
              <c:f>'JS3'!$BA$32</c:f>
              <c:strCache>
                <c:ptCount val="1"/>
                <c:pt idx="0">
                  <c:v>D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 w="9525" cap="flat" cmpd="sng" algn="ctr">
              <a:solidFill>
                <a:schemeClr val="dk1"/>
              </a:solidFill>
              <a:prstDash val="solid"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/>
                </a:pPr>
                <a:endParaRPr lang="pt-B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'JS3'!$AZ$27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'JS3'!$BE$32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812-4AFE-91B0-7EBE6F65E260}"/>
            </c:ext>
          </c:extLst>
        </c:ser>
        <c:ser>
          <c:idx val="6"/>
          <c:order val="6"/>
          <c:spPr>
            <a:noFill/>
            <a:ln>
              <a:noFill/>
            </a:ln>
          </c:spPr>
          <c:invertIfNegative val="0"/>
          <c:cat>
            <c:strRef>
              <c:f>'JS3'!$AZ$27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'JS3'!$BD$33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812-4AFE-91B0-7EBE6F65E260}"/>
            </c:ext>
          </c:extLst>
        </c:ser>
        <c:ser>
          <c:idx val="7"/>
          <c:order val="7"/>
          <c:tx>
            <c:strRef>
              <c:f>'JS3'!$BA$33</c:f>
              <c:strCache>
                <c:ptCount val="1"/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'JS3'!$AZ$27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'JS3'!$BE$33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812-4AFE-91B0-7EBE6F65E260}"/>
            </c:ext>
          </c:extLst>
        </c:ser>
        <c:ser>
          <c:idx val="8"/>
          <c:order val="8"/>
          <c:spPr>
            <a:noFill/>
            <a:ln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9-0812-4AFE-91B0-7EBE6F65E260}"/>
              </c:ext>
            </c:extLst>
          </c:dPt>
          <c:cat>
            <c:strRef>
              <c:f>'JS3'!$AZ$27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'JS3'!$BD$34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812-4AFE-91B0-7EBE6F65E260}"/>
            </c:ext>
          </c:extLst>
        </c:ser>
        <c:ser>
          <c:idx val="9"/>
          <c:order val="9"/>
          <c:tx>
            <c:strRef>
              <c:f>'JS3'!$BA$34</c:f>
              <c:strCache>
                <c:ptCount val="1"/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'JS3'!$AZ$27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'JS3'!$BE$34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812-4AFE-91B0-7EBE6F65E260}"/>
            </c:ext>
          </c:extLst>
        </c:ser>
        <c:ser>
          <c:idx val="10"/>
          <c:order val="10"/>
          <c:spPr>
            <a:noFill/>
            <a:ln>
              <a:noFill/>
            </a:ln>
          </c:spPr>
          <c:invertIfNegative val="0"/>
          <c:cat>
            <c:strRef>
              <c:f>'JS3'!$AZ$27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'JS3'!$BD$35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812-4AFE-91B0-7EBE6F65E260}"/>
            </c:ext>
          </c:extLst>
        </c:ser>
        <c:ser>
          <c:idx val="11"/>
          <c:order val="11"/>
          <c:tx>
            <c:strRef>
              <c:f>'JS3'!$BA$35</c:f>
              <c:strCache>
                <c:ptCount val="1"/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'JS3'!$AZ$27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'JS3'!$BE$35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0812-4AFE-91B0-7EBE6F65E260}"/>
            </c:ext>
          </c:extLst>
        </c:ser>
        <c:ser>
          <c:idx val="12"/>
          <c:order val="12"/>
          <c:spPr>
            <a:noFill/>
            <a:ln>
              <a:noFill/>
            </a:ln>
          </c:spPr>
          <c:invertIfNegative val="0"/>
          <c:cat>
            <c:strRef>
              <c:f>'JS3'!$AZ$27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'JS3'!$BD$36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0812-4AFE-91B0-7EBE6F65E260}"/>
            </c:ext>
          </c:extLst>
        </c:ser>
        <c:ser>
          <c:idx val="13"/>
          <c:order val="13"/>
          <c:tx>
            <c:strRef>
              <c:f>'JS3'!$BA$36</c:f>
              <c:strCache>
                <c:ptCount val="1"/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'JS3'!$AZ$27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'JS3'!$BE$36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0812-4AFE-91B0-7EBE6F65E260}"/>
            </c:ext>
          </c:extLst>
        </c:ser>
        <c:ser>
          <c:idx val="14"/>
          <c:order val="14"/>
          <c:spPr>
            <a:noFill/>
            <a:ln>
              <a:noFill/>
            </a:ln>
          </c:spPr>
          <c:invertIfNegative val="0"/>
          <c:cat>
            <c:strRef>
              <c:f>'JS3'!$AZ$27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'JS3'!$BD$37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0812-4AFE-91B0-7EBE6F65E260}"/>
            </c:ext>
          </c:extLst>
        </c:ser>
        <c:ser>
          <c:idx val="15"/>
          <c:order val="15"/>
          <c:tx>
            <c:strRef>
              <c:f>'JS3'!$BA$37</c:f>
              <c:strCache>
                <c:ptCount val="1"/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'JS3'!$AZ$27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'JS3'!$BE$37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0812-4AFE-91B0-7EBE6F65E260}"/>
            </c:ext>
          </c:extLst>
        </c:ser>
        <c:ser>
          <c:idx val="16"/>
          <c:order val="16"/>
          <c:spPr>
            <a:noFill/>
            <a:ln>
              <a:noFill/>
            </a:ln>
          </c:spPr>
          <c:invertIfNegative val="0"/>
          <c:cat>
            <c:strRef>
              <c:f>'JS3'!$AZ$27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'JS3'!$BD$38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812-4AFE-91B0-7EBE6F65E260}"/>
            </c:ext>
          </c:extLst>
        </c:ser>
        <c:ser>
          <c:idx val="17"/>
          <c:order val="17"/>
          <c:tx>
            <c:strRef>
              <c:f>'JS3'!$BA$38</c:f>
              <c:strCache>
                <c:ptCount val="1"/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'JS3'!$AZ$27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'JS3'!$BE$38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0812-4AFE-91B0-7EBE6F65E260}"/>
            </c:ext>
          </c:extLst>
        </c:ser>
        <c:ser>
          <c:idx val="18"/>
          <c:order val="18"/>
          <c:spPr>
            <a:noFill/>
            <a:ln>
              <a:noFill/>
            </a:ln>
          </c:spPr>
          <c:invertIfNegative val="0"/>
          <c:cat>
            <c:strRef>
              <c:f>'JS3'!$AZ$27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'JS3'!$BD$39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0812-4AFE-91B0-7EBE6F65E260}"/>
            </c:ext>
          </c:extLst>
        </c:ser>
        <c:ser>
          <c:idx val="19"/>
          <c:order val="19"/>
          <c:tx>
            <c:strRef>
              <c:f>'JS3'!$BA$39</c:f>
              <c:strCache>
                <c:ptCount val="1"/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'JS3'!$AZ$27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'JS3'!$BE$39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0812-4AFE-91B0-7EBE6F65E2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70337152"/>
        <c:axId val="270338688"/>
      </c:barChart>
      <c:catAx>
        <c:axId val="27033715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pt-BR"/>
          </a:p>
        </c:txPr>
        <c:crossAx val="270338688"/>
        <c:crosses val="autoZero"/>
        <c:auto val="1"/>
        <c:lblAlgn val="ctr"/>
        <c:lblOffset val="100"/>
        <c:noMultiLvlLbl val="0"/>
      </c:catAx>
      <c:valAx>
        <c:axId val="270338688"/>
        <c:scaling>
          <c:orientation val="minMax"/>
          <c:max val="25"/>
          <c:min val="0"/>
        </c:scaling>
        <c:delete val="0"/>
        <c:axPos val="b"/>
        <c:min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pt-BR"/>
          </a:p>
        </c:txPr>
        <c:crossAx val="270337152"/>
        <c:crosses val="autoZero"/>
        <c:crossBetween val="between"/>
        <c:majorUnit val="5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208" footer="0.31496062000000208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</c:spPr>
          <c:invertIfNegative val="0"/>
          <c:cat>
            <c:strRef>
              <c:f>'JS3'!$BG$27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'JS3'!$BK$30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49-4E3D-A369-6B112B57312C}"/>
            </c:ext>
          </c:extLst>
        </c:ser>
        <c:ser>
          <c:idx val="1"/>
          <c:order val="1"/>
          <c:tx>
            <c:strRef>
              <c:f>'JS3'!$BH$30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 w="9525" cap="flat" cmpd="sng" algn="ctr">
              <a:solidFill>
                <a:schemeClr val="dk1"/>
              </a:solidFill>
              <a:prstDash val="solid"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CA49-4E3D-A369-6B112B57312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/>
                </a:pPr>
                <a:endParaRPr lang="pt-B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'JS3'!$BG$27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'JS3'!$BL$30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A49-4E3D-A369-6B112B57312C}"/>
            </c:ext>
          </c:extLst>
        </c:ser>
        <c:ser>
          <c:idx val="2"/>
          <c:order val="2"/>
          <c:spPr>
            <a:noFill/>
            <a:ln>
              <a:noFill/>
            </a:ln>
          </c:spPr>
          <c:invertIfNegative val="0"/>
          <c:cat>
            <c:strRef>
              <c:f>'JS3'!$BG$27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'JS3'!$BK$31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A49-4E3D-A369-6B112B57312C}"/>
            </c:ext>
          </c:extLst>
        </c:ser>
        <c:ser>
          <c:idx val="3"/>
          <c:order val="3"/>
          <c:tx>
            <c:strRef>
              <c:f>'JS3'!$BH$31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 w="9525" cap="flat" cmpd="sng" algn="ctr">
              <a:solidFill>
                <a:schemeClr val="dk1"/>
              </a:solidFill>
              <a:prstDash val="solid"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CA49-4E3D-A369-6B112B57312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/>
                </a:pPr>
                <a:endParaRPr lang="pt-B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'JS3'!$BG$27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'JS3'!$BL$31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A49-4E3D-A369-6B112B57312C}"/>
            </c:ext>
          </c:extLst>
        </c:ser>
        <c:ser>
          <c:idx val="4"/>
          <c:order val="4"/>
          <c:spPr>
            <a:noFill/>
            <a:ln>
              <a:noFill/>
            </a:ln>
          </c:spPr>
          <c:invertIfNegative val="0"/>
          <c:cat>
            <c:strRef>
              <c:f>'JS3'!$BG$27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'JS3'!$BK$32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A49-4E3D-A369-6B112B57312C}"/>
            </c:ext>
          </c:extLst>
        </c:ser>
        <c:ser>
          <c:idx val="5"/>
          <c:order val="5"/>
          <c:tx>
            <c:strRef>
              <c:f>'JS3'!$BH$32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 w="9525" cap="flat" cmpd="sng" algn="ctr">
              <a:solidFill>
                <a:schemeClr val="dk1"/>
              </a:solidFill>
              <a:prstDash val="solid"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/>
                </a:pPr>
                <a:endParaRPr lang="pt-B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'JS3'!$BG$27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'JS3'!$BL$32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A49-4E3D-A369-6B112B57312C}"/>
            </c:ext>
          </c:extLst>
        </c:ser>
        <c:ser>
          <c:idx val="6"/>
          <c:order val="6"/>
          <c:spPr>
            <a:noFill/>
            <a:ln>
              <a:noFill/>
            </a:ln>
          </c:spPr>
          <c:invertIfNegative val="0"/>
          <c:cat>
            <c:strRef>
              <c:f>'JS3'!$BG$27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'JS3'!$BK$33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A49-4E3D-A369-6B112B57312C}"/>
            </c:ext>
          </c:extLst>
        </c:ser>
        <c:ser>
          <c:idx val="7"/>
          <c:order val="7"/>
          <c:tx>
            <c:strRef>
              <c:f>'JS3'!$BH$33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 w="9525" cap="flat" cmpd="sng" algn="ctr">
              <a:solidFill>
                <a:schemeClr val="dk1"/>
              </a:solidFill>
              <a:prstDash val="solid"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/>
                </a:pPr>
                <a:endParaRPr lang="pt-B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'JS3'!$BG$27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'JS3'!$BL$33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A49-4E3D-A369-6B112B57312C}"/>
            </c:ext>
          </c:extLst>
        </c:ser>
        <c:ser>
          <c:idx val="8"/>
          <c:order val="8"/>
          <c:spPr>
            <a:noFill/>
            <a:ln>
              <a:noFill/>
            </a:ln>
          </c:spPr>
          <c:invertIfNegative val="0"/>
          <c:cat>
            <c:strRef>
              <c:f>'JS3'!$BG$27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'JS3'!$BK$34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A49-4E3D-A369-6B112B57312C}"/>
            </c:ext>
          </c:extLst>
        </c:ser>
        <c:ser>
          <c:idx val="9"/>
          <c:order val="9"/>
          <c:tx>
            <c:strRef>
              <c:f>'JS3'!$BH$34</c:f>
              <c:strCache>
                <c:ptCount val="1"/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'JS3'!$BG$27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'JS3'!$BL$34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A49-4E3D-A369-6B112B57312C}"/>
            </c:ext>
          </c:extLst>
        </c:ser>
        <c:ser>
          <c:idx val="10"/>
          <c:order val="10"/>
          <c:spPr>
            <a:noFill/>
            <a:ln>
              <a:noFill/>
            </a:ln>
          </c:spPr>
          <c:invertIfNegative val="0"/>
          <c:cat>
            <c:strRef>
              <c:f>'JS3'!$BG$27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'JS3'!$BK$35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A49-4E3D-A369-6B112B57312C}"/>
            </c:ext>
          </c:extLst>
        </c:ser>
        <c:ser>
          <c:idx val="11"/>
          <c:order val="11"/>
          <c:tx>
            <c:strRef>
              <c:f>'JS3'!$BH$35</c:f>
              <c:strCache>
                <c:ptCount val="1"/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'JS3'!$BG$27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'JS3'!$BL$35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CA49-4E3D-A369-6B112B57312C}"/>
            </c:ext>
          </c:extLst>
        </c:ser>
        <c:ser>
          <c:idx val="12"/>
          <c:order val="12"/>
          <c:spPr>
            <a:noFill/>
            <a:ln>
              <a:noFill/>
            </a:ln>
          </c:spPr>
          <c:invertIfNegative val="0"/>
          <c:cat>
            <c:strRef>
              <c:f>'JS3'!$BG$27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'JS3'!$BK$36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CA49-4E3D-A369-6B112B57312C}"/>
            </c:ext>
          </c:extLst>
        </c:ser>
        <c:ser>
          <c:idx val="13"/>
          <c:order val="13"/>
          <c:tx>
            <c:strRef>
              <c:f>'JS3'!$BH$36</c:f>
              <c:strCache>
                <c:ptCount val="1"/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'JS3'!$BG$27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'JS3'!$BL$36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CA49-4E3D-A369-6B112B57312C}"/>
            </c:ext>
          </c:extLst>
        </c:ser>
        <c:ser>
          <c:idx val="14"/>
          <c:order val="14"/>
          <c:spPr>
            <a:noFill/>
            <a:ln>
              <a:noFill/>
            </a:ln>
          </c:spPr>
          <c:invertIfNegative val="0"/>
          <c:cat>
            <c:strRef>
              <c:f>'JS3'!$BG$27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'JS3'!$BK$37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CA49-4E3D-A369-6B112B57312C}"/>
            </c:ext>
          </c:extLst>
        </c:ser>
        <c:ser>
          <c:idx val="15"/>
          <c:order val="15"/>
          <c:tx>
            <c:strRef>
              <c:f>'JS3'!$BH$37</c:f>
              <c:strCache>
                <c:ptCount val="1"/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'JS3'!$BG$27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'JS3'!$BL$37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CA49-4E3D-A369-6B112B57312C}"/>
            </c:ext>
          </c:extLst>
        </c:ser>
        <c:ser>
          <c:idx val="16"/>
          <c:order val="16"/>
          <c:spPr>
            <a:noFill/>
            <a:ln>
              <a:noFill/>
            </a:ln>
          </c:spPr>
          <c:invertIfNegative val="0"/>
          <c:cat>
            <c:strRef>
              <c:f>'JS3'!$BG$27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'JS3'!$BK$38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CA49-4E3D-A369-6B112B57312C}"/>
            </c:ext>
          </c:extLst>
        </c:ser>
        <c:ser>
          <c:idx val="17"/>
          <c:order val="17"/>
          <c:tx>
            <c:strRef>
              <c:f>'JS3'!$BH$38</c:f>
              <c:strCache>
                <c:ptCount val="1"/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'JS3'!$BG$27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'JS3'!$BL$38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CA49-4E3D-A369-6B112B57312C}"/>
            </c:ext>
          </c:extLst>
        </c:ser>
        <c:ser>
          <c:idx val="18"/>
          <c:order val="18"/>
          <c:spPr>
            <a:noFill/>
            <a:ln>
              <a:noFill/>
            </a:ln>
          </c:spPr>
          <c:invertIfNegative val="0"/>
          <c:cat>
            <c:strRef>
              <c:f>'JS3'!$BG$27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'JS3'!$BK$39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CA49-4E3D-A369-6B112B57312C}"/>
            </c:ext>
          </c:extLst>
        </c:ser>
        <c:ser>
          <c:idx val="19"/>
          <c:order val="19"/>
          <c:tx>
            <c:strRef>
              <c:f>'JS3'!$BH$39</c:f>
              <c:strCache>
                <c:ptCount val="1"/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'JS3'!$BG$27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'JS3'!$BL$39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CA49-4E3D-A369-6B112B5731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70538624"/>
        <c:axId val="270540160"/>
      </c:barChart>
      <c:catAx>
        <c:axId val="27053862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pt-BR"/>
          </a:p>
        </c:txPr>
        <c:crossAx val="270540160"/>
        <c:crosses val="autoZero"/>
        <c:auto val="1"/>
        <c:lblAlgn val="ctr"/>
        <c:lblOffset val="100"/>
        <c:noMultiLvlLbl val="0"/>
      </c:catAx>
      <c:valAx>
        <c:axId val="270540160"/>
        <c:scaling>
          <c:orientation val="minMax"/>
          <c:max val="25"/>
          <c:min val="0"/>
        </c:scaling>
        <c:delete val="0"/>
        <c:axPos val="b"/>
        <c:min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pt-BR"/>
          </a:p>
        </c:txPr>
        <c:crossAx val="270538624"/>
        <c:crosses val="autoZero"/>
        <c:crossBetween val="between"/>
        <c:majorUnit val="5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224" footer="0.31496062000000224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6109759847061937E-2"/>
          <c:y val="6.4642169728783908E-2"/>
          <c:w val="0.91396564373103117"/>
          <c:h val="0.68507436570428693"/>
        </c:manualLayout>
      </c:layout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</c:spPr>
          <c:invertIfNegative val="0"/>
          <c:cat>
            <c:strRef>
              <c:f>'AS2'!$AD$26:$AF$26</c:f>
              <c:strCache>
                <c:ptCount val="1"/>
                <c:pt idx="0">
                  <c:v>L1</c:v>
                </c:pt>
              </c:strCache>
            </c:strRef>
          </c:cat>
          <c:val>
            <c:numRef>
              <c:f>'AS2'!$AE$29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4B-4477-87DE-414B327965CA}"/>
            </c:ext>
          </c:extLst>
        </c:ser>
        <c:ser>
          <c:idx val="1"/>
          <c:order val="1"/>
          <c:tx>
            <c:strRef>
              <c:f>'AS2'!$AD$29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'AS2'!$AD$26:$AF$26</c:f>
              <c:strCache>
                <c:ptCount val="1"/>
                <c:pt idx="0">
                  <c:v>L1</c:v>
                </c:pt>
              </c:strCache>
            </c:strRef>
          </c:cat>
          <c:val>
            <c:numRef>
              <c:f>'AS2'!$AF$29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4B-4477-87DE-414B327965CA}"/>
            </c:ext>
          </c:extLst>
        </c:ser>
        <c:ser>
          <c:idx val="2"/>
          <c:order val="2"/>
          <c:spPr>
            <a:noFill/>
            <a:ln>
              <a:noFill/>
            </a:ln>
          </c:spPr>
          <c:invertIfNegative val="0"/>
          <c:cat>
            <c:strRef>
              <c:f>'AS2'!$AD$26:$AF$26</c:f>
              <c:strCache>
                <c:ptCount val="1"/>
                <c:pt idx="0">
                  <c:v>L1</c:v>
                </c:pt>
              </c:strCache>
            </c:strRef>
          </c:cat>
          <c:val>
            <c:numRef>
              <c:f>'AS2'!$AE$30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4B-4477-87DE-414B327965CA}"/>
            </c:ext>
          </c:extLst>
        </c:ser>
        <c:ser>
          <c:idx val="3"/>
          <c:order val="3"/>
          <c:tx>
            <c:strRef>
              <c:f>'AS2'!$AD$30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'AS2'!$AD$26:$AF$26</c:f>
              <c:strCache>
                <c:ptCount val="1"/>
                <c:pt idx="0">
                  <c:v>L1</c:v>
                </c:pt>
              </c:strCache>
            </c:strRef>
          </c:cat>
          <c:val>
            <c:numRef>
              <c:f>'AS2'!$AF$30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D4B-4477-87DE-414B327965CA}"/>
            </c:ext>
          </c:extLst>
        </c:ser>
        <c:ser>
          <c:idx val="4"/>
          <c:order val="4"/>
          <c:invertIfNegative val="0"/>
          <c:cat>
            <c:strRef>
              <c:f>'AS2'!$AD$26:$AF$26</c:f>
              <c:strCache>
                <c:ptCount val="1"/>
                <c:pt idx="0">
                  <c:v>L1</c:v>
                </c:pt>
              </c:strCache>
            </c:strRef>
          </c:cat>
          <c:val>
            <c:numRef>
              <c:f>'AS2'!$AE$31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D4B-4477-87DE-414B327965CA}"/>
            </c:ext>
          </c:extLst>
        </c:ser>
        <c:ser>
          <c:idx val="5"/>
          <c:order val="5"/>
          <c:tx>
            <c:strRef>
              <c:f>'AS2'!$AD$31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'AS2'!$AD$26:$AF$26</c:f>
              <c:strCache>
                <c:ptCount val="1"/>
                <c:pt idx="0">
                  <c:v>L1</c:v>
                </c:pt>
              </c:strCache>
            </c:strRef>
          </c:cat>
          <c:val>
            <c:numRef>
              <c:f>'AS2'!$AF$31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D4B-4477-87DE-414B327965CA}"/>
            </c:ext>
          </c:extLst>
        </c:ser>
        <c:ser>
          <c:idx val="6"/>
          <c:order val="6"/>
          <c:spPr>
            <a:noFill/>
            <a:ln>
              <a:noFill/>
            </a:ln>
          </c:spPr>
          <c:invertIfNegative val="0"/>
          <c:cat>
            <c:strRef>
              <c:f>'AS2'!$AD$26:$AF$26</c:f>
              <c:strCache>
                <c:ptCount val="1"/>
                <c:pt idx="0">
                  <c:v>L1</c:v>
                </c:pt>
              </c:strCache>
            </c:strRef>
          </c:cat>
          <c:val>
            <c:numRef>
              <c:f>'AS2'!$AE$32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D4B-4477-87DE-414B327965CA}"/>
            </c:ext>
          </c:extLst>
        </c:ser>
        <c:ser>
          <c:idx val="7"/>
          <c:order val="7"/>
          <c:tx>
            <c:strRef>
              <c:f>'AS2'!$AD$32</c:f>
              <c:strCache>
                <c:ptCount val="1"/>
                <c:pt idx="0">
                  <c:v>D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'AS2'!$AD$26:$AF$26</c:f>
              <c:strCache>
                <c:ptCount val="1"/>
                <c:pt idx="0">
                  <c:v>L1</c:v>
                </c:pt>
              </c:strCache>
            </c:strRef>
          </c:cat>
          <c:val>
            <c:numRef>
              <c:f>'AS2'!$AF$32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D4B-4477-87DE-414B327965CA}"/>
            </c:ext>
          </c:extLst>
        </c:ser>
        <c:ser>
          <c:idx val="8"/>
          <c:order val="8"/>
          <c:spPr>
            <a:noFill/>
            <a:ln>
              <a:noFill/>
            </a:ln>
          </c:spPr>
          <c:invertIfNegative val="0"/>
          <c:cat>
            <c:strRef>
              <c:f>'AS2'!$AD$26:$AF$26</c:f>
              <c:strCache>
                <c:ptCount val="1"/>
                <c:pt idx="0">
                  <c:v>L1</c:v>
                </c:pt>
              </c:strCache>
            </c:strRef>
          </c:cat>
          <c:val>
            <c:numRef>
              <c:f>'AS2'!$AE$33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D4B-4477-87DE-414B327965CA}"/>
            </c:ext>
          </c:extLst>
        </c:ser>
        <c:ser>
          <c:idx val="9"/>
          <c:order val="9"/>
          <c:tx>
            <c:strRef>
              <c:f>'AS2'!$AD$33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'AS2'!$AD$26:$AF$26</c:f>
              <c:strCache>
                <c:ptCount val="1"/>
                <c:pt idx="0">
                  <c:v>L1</c:v>
                </c:pt>
              </c:strCache>
            </c:strRef>
          </c:cat>
          <c:val>
            <c:numRef>
              <c:f>'AS2'!$AF$33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D4B-4477-87DE-414B327965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70139392"/>
        <c:axId val="270140928"/>
      </c:barChart>
      <c:catAx>
        <c:axId val="270139392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pt-BR"/>
          </a:p>
        </c:txPr>
        <c:crossAx val="270140928"/>
        <c:crosses val="autoZero"/>
        <c:auto val="1"/>
        <c:lblAlgn val="ctr"/>
        <c:lblOffset val="100"/>
        <c:noMultiLvlLbl val="0"/>
      </c:catAx>
      <c:valAx>
        <c:axId val="270140928"/>
        <c:scaling>
          <c:orientation val="minMax"/>
          <c:max val="20"/>
          <c:min val="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pt-BR"/>
          </a:p>
        </c:txPr>
        <c:crossAx val="270139392"/>
        <c:crosses val="max"/>
        <c:crossBetween val="between"/>
        <c:majorUnit val="2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141" footer="0.31496062000000141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6109759847061937E-2"/>
          <c:y val="6.4642169728783908E-2"/>
          <c:w val="0.91396564373103117"/>
          <c:h val="0.68507436570428693"/>
        </c:manualLayout>
      </c:layout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</c:spPr>
          <c:invertIfNegative val="0"/>
          <c:cat>
            <c:strRef>
              <c:f>'AS2'!$AH$26:$AJ$26</c:f>
              <c:strCache>
                <c:ptCount val="1"/>
                <c:pt idx="0">
                  <c:v>L2</c:v>
                </c:pt>
              </c:strCache>
            </c:strRef>
          </c:cat>
          <c:val>
            <c:numRef>
              <c:f>'AS2'!$AI$29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05-45C7-87CF-B11C17427F30}"/>
            </c:ext>
          </c:extLst>
        </c:ser>
        <c:ser>
          <c:idx val="1"/>
          <c:order val="1"/>
          <c:tx>
            <c:strRef>
              <c:f>'AS2'!$AH$29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'AS2'!$AH$26:$AJ$26</c:f>
              <c:strCache>
                <c:ptCount val="1"/>
                <c:pt idx="0">
                  <c:v>L2</c:v>
                </c:pt>
              </c:strCache>
            </c:strRef>
          </c:cat>
          <c:val>
            <c:numRef>
              <c:f>'AS2'!$AJ$29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05-45C7-87CF-B11C17427F30}"/>
            </c:ext>
          </c:extLst>
        </c:ser>
        <c:ser>
          <c:idx val="2"/>
          <c:order val="2"/>
          <c:spPr>
            <a:noFill/>
            <a:ln>
              <a:noFill/>
            </a:ln>
          </c:spPr>
          <c:invertIfNegative val="0"/>
          <c:cat>
            <c:strRef>
              <c:f>'AS2'!$AH$26:$AJ$26</c:f>
              <c:strCache>
                <c:ptCount val="1"/>
                <c:pt idx="0">
                  <c:v>L2</c:v>
                </c:pt>
              </c:strCache>
            </c:strRef>
          </c:cat>
          <c:val>
            <c:numRef>
              <c:f>'AS2'!$AI$30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E05-45C7-87CF-B11C17427F30}"/>
            </c:ext>
          </c:extLst>
        </c:ser>
        <c:ser>
          <c:idx val="3"/>
          <c:order val="3"/>
          <c:tx>
            <c:strRef>
              <c:f>'AS2'!$AH$30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'AS2'!$AH$26:$AJ$26</c:f>
              <c:strCache>
                <c:ptCount val="1"/>
                <c:pt idx="0">
                  <c:v>L2</c:v>
                </c:pt>
              </c:strCache>
            </c:strRef>
          </c:cat>
          <c:val>
            <c:numRef>
              <c:f>'AS2'!$AJ$30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E05-45C7-87CF-B11C17427F30}"/>
            </c:ext>
          </c:extLst>
        </c:ser>
        <c:ser>
          <c:idx val="4"/>
          <c:order val="4"/>
          <c:invertIfNegative val="0"/>
          <c:cat>
            <c:strRef>
              <c:f>'AS2'!$AH$26:$AJ$26</c:f>
              <c:strCache>
                <c:ptCount val="1"/>
                <c:pt idx="0">
                  <c:v>L2</c:v>
                </c:pt>
              </c:strCache>
            </c:strRef>
          </c:cat>
          <c:val>
            <c:numRef>
              <c:f>'AS2'!$AI$31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E05-45C7-87CF-B11C17427F30}"/>
            </c:ext>
          </c:extLst>
        </c:ser>
        <c:ser>
          <c:idx val="5"/>
          <c:order val="5"/>
          <c:tx>
            <c:strRef>
              <c:f>'AS2'!$AH$31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'AS2'!$AH$26:$AJ$26</c:f>
              <c:strCache>
                <c:ptCount val="1"/>
                <c:pt idx="0">
                  <c:v>L2</c:v>
                </c:pt>
              </c:strCache>
            </c:strRef>
          </c:cat>
          <c:val>
            <c:numRef>
              <c:f>'AS2'!$AJ$31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E05-45C7-87CF-B11C17427F30}"/>
            </c:ext>
          </c:extLst>
        </c:ser>
        <c:ser>
          <c:idx val="6"/>
          <c:order val="6"/>
          <c:spPr>
            <a:noFill/>
            <a:ln>
              <a:noFill/>
            </a:ln>
          </c:spPr>
          <c:invertIfNegative val="0"/>
          <c:cat>
            <c:strRef>
              <c:f>'AS2'!$AH$26:$AJ$26</c:f>
              <c:strCache>
                <c:ptCount val="1"/>
                <c:pt idx="0">
                  <c:v>L2</c:v>
                </c:pt>
              </c:strCache>
            </c:strRef>
          </c:cat>
          <c:val>
            <c:numRef>
              <c:f>'AS2'!$AI$32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E05-45C7-87CF-B11C17427F30}"/>
            </c:ext>
          </c:extLst>
        </c:ser>
        <c:ser>
          <c:idx val="7"/>
          <c:order val="7"/>
          <c:tx>
            <c:strRef>
              <c:f>'AS2'!$AH$32</c:f>
              <c:strCache>
                <c:ptCount val="1"/>
                <c:pt idx="0">
                  <c:v>D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'AS2'!$AH$26:$AJ$26</c:f>
              <c:strCache>
                <c:ptCount val="1"/>
                <c:pt idx="0">
                  <c:v>L2</c:v>
                </c:pt>
              </c:strCache>
            </c:strRef>
          </c:cat>
          <c:val>
            <c:numRef>
              <c:f>'AS2'!$AJ$32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E05-45C7-87CF-B11C17427F30}"/>
            </c:ext>
          </c:extLst>
        </c:ser>
        <c:ser>
          <c:idx val="8"/>
          <c:order val="8"/>
          <c:spPr>
            <a:noFill/>
            <a:ln>
              <a:noFill/>
            </a:ln>
          </c:spPr>
          <c:invertIfNegative val="0"/>
          <c:cat>
            <c:strRef>
              <c:f>'AS2'!$AH$26:$AJ$26</c:f>
              <c:strCache>
                <c:ptCount val="1"/>
                <c:pt idx="0">
                  <c:v>L2</c:v>
                </c:pt>
              </c:strCache>
            </c:strRef>
          </c:cat>
          <c:val>
            <c:numRef>
              <c:f>'AS2'!$AI$33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E05-45C7-87CF-B11C17427F30}"/>
            </c:ext>
          </c:extLst>
        </c:ser>
        <c:ser>
          <c:idx val="9"/>
          <c:order val="9"/>
          <c:tx>
            <c:strRef>
              <c:f>'AS2'!$AH$33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'AS2'!$AH$26:$AJ$26</c:f>
              <c:strCache>
                <c:ptCount val="1"/>
                <c:pt idx="0">
                  <c:v>L2</c:v>
                </c:pt>
              </c:strCache>
            </c:strRef>
          </c:cat>
          <c:val>
            <c:numRef>
              <c:f>'AS2'!$AJ$33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E05-45C7-87CF-B11C17427F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71143296"/>
        <c:axId val="271144832"/>
      </c:barChart>
      <c:catAx>
        <c:axId val="271143296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pt-BR"/>
          </a:p>
        </c:txPr>
        <c:crossAx val="271144832"/>
        <c:crosses val="autoZero"/>
        <c:auto val="1"/>
        <c:lblAlgn val="ctr"/>
        <c:lblOffset val="100"/>
        <c:noMultiLvlLbl val="0"/>
      </c:catAx>
      <c:valAx>
        <c:axId val="271144832"/>
        <c:scaling>
          <c:orientation val="minMax"/>
          <c:max val="20"/>
          <c:min val="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pt-BR"/>
          </a:p>
        </c:txPr>
        <c:crossAx val="271143296"/>
        <c:crosses val="max"/>
        <c:crossBetween val="between"/>
        <c:majorUnit val="2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141" footer="0.31496062000000141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6109759847061937E-2"/>
          <c:y val="6.4642169728783908E-2"/>
          <c:w val="0.91396564373103117"/>
          <c:h val="0.68507436570428693"/>
        </c:manualLayout>
      </c:layout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</c:spPr>
          <c:invertIfNegative val="0"/>
          <c:cat>
            <c:strRef>
              <c:f>'AS2'!$AL$26:$AN$26</c:f>
              <c:strCache>
                <c:ptCount val="1"/>
                <c:pt idx="0">
                  <c:v>M</c:v>
                </c:pt>
              </c:strCache>
            </c:strRef>
          </c:cat>
          <c:val>
            <c:numRef>
              <c:f>'AS2'!$AM$29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09-4EFF-B2B6-D0EA8A4ACA68}"/>
            </c:ext>
          </c:extLst>
        </c:ser>
        <c:ser>
          <c:idx val="1"/>
          <c:order val="1"/>
          <c:tx>
            <c:strRef>
              <c:f>'AS2'!$AL$29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'AS2'!$AL$26:$AN$26</c:f>
              <c:strCache>
                <c:ptCount val="1"/>
                <c:pt idx="0">
                  <c:v>M</c:v>
                </c:pt>
              </c:strCache>
            </c:strRef>
          </c:cat>
          <c:val>
            <c:numRef>
              <c:f>'AS2'!$AN$29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09-4EFF-B2B6-D0EA8A4ACA68}"/>
            </c:ext>
          </c:extLst>
        </c:ser>
        <c:ser>
          <c:idx val="2"/>
          <c:order val="2"/>
          <c:spPr>
            <a:noFill/>
            <a:ln>
              <a:noFill/>
            </a:ln>
          </c:spPr>
          <c:invertIfNegative val="0"/>
          <c:cat>
            <c:strRef>
              <c:f>'AS2'!$AL$26:$AN$26</c:f>
              <c:strCache>
                <c:ptCount val="1"/>
                <c:pt idx="0">
                  <c:v>M</c:v>
                </c:pt>
              </c:strCache>
            </c:strRef>
          </c:cat>
          <c:val>
            <c:numRef>
              <c:f>'AS2'!$AM$30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09-4EFF-B2B6-D0EA8A4ACA68}"/>
            </c:ext>
          </c:extLst>
        </c:ser>
        <c:ser>
          <c:idx val="3"/>
          <c:order val="3"/>
          <c:tx>
            <c:strRef>
              <c:f>'AS2'!$AL$30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'AS2'!$AL$26:$AN$26</c:f>
              <c:strCache>
                <c:ptCount val="1"/>
                <c:pt idx="0">
                  <c:v>M</c:v>
                </c:pt>
              </c:strCache>
            </c:strRef>
          </c:cat>
          <c:val>
            <c:numRef>
              <c:f>'AS2'!$AN$30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709-4EFF-B2B6-D0EA8A4ACA68}"/>
            </c:ext>
          </c:extLst>
        </c:ser>
        <c:ser>
          <c:idx val="4"/>
          <c:order val="4"/>
          <c:invertIfNegative val="0"/>
          <c:cat>
            <c:strRef>
              <c:f>'AS2'!$AL$26:$AN$26</c:f>
              <c:strCache>
                <c:ptCount val="1"/>
                <c:pt idx="0">
                  <c:v>M</c:v>
                </c:pt>
              </c:strCache>
            </c:strRef>
          </c:cat>
          <c:val>
            <c:numRef>
              <c:f>'AS2'!$AM$31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709-4EFF-B2B6-D0EA8A4ACA68}"/>
            </c:ext>
          </c:extLst>
        </c:ser>
        <c:ser>
          <c:idx val="5"/>
          <c:order val="5"/>
          <c:tx>
            <c:strRef>
              <c:f>'AS2'!$AL$31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'AS2'!$AL$26:$AN$26</c:f>
              <c:strCache>
                <c:ptCount val="1"/>
                <c:pt idx="0">
                  <c:v>M</c:v>
                </c:pt>
              </c:strCache>
            </c:strRef>
          </c:cat>
          <c:val>
            <c:numRef>
              <c:f>'AS2'!$AN$31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709-4EFF-B2B6-D0EA8A4ACA68}"/>
            </c:ext>
          </c:extLst>
        </c:ser>
        <c:ser>
          <c:idx val="6"/>
          <c:order val="6"/>
          <c:spPr>
            <a:noFill/>
            <a:ln>
              <a:noFill/>
            </a:ln>
          </c:spPr>
          <c:invertIfNegative val="0"/>
          <c:cat>
            <c:strRef>
              <c:f>'AS2'!$AL$26:$AN$26</c:f>
              <c:strCache>
                <c:ptCount val="1"/>
                <c:pt idx="0">
                  <c:v>M</c:v>
                </c:pt>
              </c:strCache>
            </c:strRef>
          </c:cat>
          <c:val>
            <c:numRef>
              <c:f>'AS2'!$AM$32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709-4EFF-B2B6-D0EA8A4ACA68}"/>
            </c:ext>
          </c:extLst>
        </c:ser>
        <c:ser>
          <c:idx val="7"/>
          <c:order val="7"/>
          <c:tx>
            <c:strRef>
              <c:f>'AS2'!$AL$32</c:f>
              <c:strCache>
                <c:ptCount val="1"/>
                <c:pt idx="0">
                  <c:v>D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'AS2'!$AL$26:$AN$26</c:f>
              <c:strCache>
                <c:ptCount val="1"/>
                <c:pt idx="0">
                  <c:v>M</c:v>
                </c:pt>
              </c:strCache>
            </c:strRef>
          </c:cat>
          <c:val>
            <c:numRef>
              <c:f>'AS2'!$AN$32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709-4EFF-B2B6-D0EA8A4ACA68}"/>
            </c:ext>
          </c:extLst>
        </c:ser>
        <c:ser>
          <c:idx val="8"/>
          <c:order val="8"/>
          <c:spPr>
            <a:noFill/>
            <a:ln>
              <a:noFill/>
            </a:ln>
          </c:spPr>
          <c:invertIfNegative val="0"/>
          <c:cat>
            <c:strRef>
              <c:f>'AS2'!$AL$26:$AN$26</c:f>
              <c:strCache>
                <c:ptCount val="1"/>
                <c:pt idx="0">
                  <c:v>M</c:v>
                </c:pt>
              </c:strCache>
            </c:strRef>
          </c:cat>
          <c:val>
            <c:numRef>
              <c:f>'AS2'!$AM$33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709-4EFF-B2B6-D0EA8A4ACA68}"/>
            </c:ext>
          </c:extLst>
        </c:ser>
        <c:ser>
          <c:idx val="9"/>
          <c:order val="9"/>
          <c:tx>
            <c:strRef>
              <c:f>'AS2'!$AL$33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'AS2'!$AL$26:$AN$26</c:f>
              <c:strCache>
                <c:ptCount val="1"/>
                <c:pt idx="0">
                  <c:v>M</c:v>
                </c:pt>
              </c:strCache>
            </c:strRef>
          </c:cat>
          <c:val>
            <c:numRef>
              <c:f>'AS2'!$AN$33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709-4EFF-B2B6-D0EA8A4ACA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71228928"/>
        <c:axId val="271230464"/>
      </c:barChart>
      <c:catAx>
        <c:axId val="271228928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pt-BR"/>
          </a:p>
        </c:txPr>
        <c:crossAx val="271230464"/>
        <c:crosses val="autoZero"/>
        <c:auto val="1"/>
        <c:lblAlgn val="ctr"/>
        <c:lblOffset val="100"/>
        <c:noMultiLvlLbl val="0"/>
      </c:catAx>
      <c:valAx>
        <c:axId val="271230464"/>
        <c:scaling>
          <c:orientation val="minMax"/>
          <c:max val="20"/>
          <c:min val="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pt-BR"/>
          </a:p>
        </c:txPr>
        <c:crossAx val="271228928"/>
        <c:crosses val="max"/>
        <c:crossBetween val="between"/>
        <c:majorUnit val="2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141" footer="0.3149606200000014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371475</xdr:colOff>
      <xdr:row>3</xdr:row>
      <xdr:rowOff>0</xdr:rowOff>
    </xdr:from>
    <xdr:to>
      <xdr:col>19</xdr:col>
      <xdr:colOff>0</xdr:colOff>
      <xdr:row>9</xdr:row>
      <xdr:rowOff>0</xdr:rowOff>
    </xdr:to>
    <xdr:graphicFrame macro="">
      <xdr:nvGraphicFramePr>
        <xdr:cNvPr id="2" name="Gráfico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104775</xdr:colOff>
      <xdr:row>12</xdr:row>
      <xdr:rowOff>19050</xdr:rowOff>
    </xdr:from>
    <xdr:to>
      <xdr:col>1</xdr:col>
      <xdr:colOff>323850</xdr:colOff>
      <xdr:row>12</xdr:row>
      <xdr:rowOff>161925</xdr:rowOff>
    </xdr:to>
    <xdr:sp macro="" textlink="">
      <xdr:nvSpPr>
        <xdr:cNvPr id="3" name="Seta para baixo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485775" y="2828925"/>
          <a:ext cx="219075" cy="142875"/>
        </a:xfrm>
        <a:prstGeom prst="downArrow">
          <a:avLst>
            <a:gd name="adj1" fmla="val 50000"/>
            <a:gd name="adj2" fmla="val 50000"/>
          </a:avLst>
        </a:prstGeom>
        <a:solidFill>
          <a:srgbClr val="FF0000"/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22</xdr:col>
      <xdr:colOff>0</xdr:colOff>
      <xdr:row>1</xdr:row>
      <xdr:rowOff>0</xdr:rowOff>
    </xdr:from>
    <xdr:ext cx="2120709" cy="181748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F934DAA2-D911-4A32-87D0-166067F0A6C3}"/>
                </a:ext>
              </a:extLst>
            </xdr:cNvPr>
            <xdr:cNvSpPr txBox="1"/>
          </xdr:nvSpPr>
          <xdr:spPr>
            <a:xfrm>
              <a:off x="9578340" y="327660"/>
              <a:ext cx="2120709" cy="1817485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pt-B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𝑝</m:t>
                  </m:r>
                </m:oMath>
              </a14:m>
              <a:r>
                <a:rPr lang="pt-BR" sz="1100"/>
                <a:t>: process time</a:t>
              </a:r>
            </a:p>
            <a:p>
              <a14:m>
                <m:oMath xmlns:m="http://schemas.openxmlformats.org/officeDocument/2006/math">
                  <m:r>
                    <a:rPr lang="pt-B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𝑑</m:t>
                  </m:r>
                </m:oMath>
              </a14:m>
              <a:r>
                <a:rPr lang="pt-BR" sz="1100"/>
                <a:t>: due date</a:t>
              </a:r>
            </a:p>
            <a:p>
              <a14:m>
                <m:oMath xmlns:m="http://schemas.openxmlformats.org/officeDocument/2006/math">
                  <m:r>
                    <a:rPr lang="pt-B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𝐶</m:t>
                  </m:r>
                </m:oMath>
              </a14:m>
              <a:r>
                <a:rPr lang="pt-BR" sz="1100"/>
                <a:t>: completion time</a:t>
              </a:r>
            </a:p>
            <a:p>
              <a14:m>
                <m:oMath xmlns:m="http://schemas.openxmlformats.org/officeDocument/2006/math">
                  <m:r>
                    <a:rPr lang="pt-B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𝐿</m:t>
                  </m:r>
                </m:oMath>
              </a14:m>
              <a:r>
                <a:rPr lang="pt-BR" sz="1100"/>
                <a:t>: lateness (desvio)</a:t>
              </a:r>
            </a:p>
            <a:p>
              <a14:m>
                <m:oMath xmlns:m="http://schemas.openxmlformats.org/officeDocument/2006/math">
                  <m:r>
                    <a:rPr lang="pt-B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𝑇</m:t>
                  </m:r>
                </m:oMath>
              </a14:m>
              <a:r>
                <a:rPr lang="pt-BR" sz="1100"/>
                <a:t>: tardiness</a:t>
              </a:r>
              <a:endParaRPr lang="pt-BR">
                <a:effectLst/>
              </a:endParaRP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𝐶</m:t>
                      </m:r>
                    </m:e>
                    <m:sub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𝑚𝑎𝑥</m:t>
                      </m:r>
                    </m:sub>
                  </m:sSub>
                </m:oMath>
              </a14:m>
              <a:r>
                <a:rPr lang="pt-BR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: tempo total (makespan)</a:t>
              </a:r>
            </a:p>
            <a:p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𝐹</m:t>
                      </m:r>
                    </m:e>
                  </m:acc>
                </m:oMath>
              </a14:m>
              <a:r>
                <a:rPr lang="pt-BR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: tempo médio</a:t>
              </a:r>
              <a:r>
                <a:rPr lang="pt-BR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de fluxo</a:t>
              </a:r>
              <a:endParaRPr lang="pt-BR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14:m>
                <m:oMath xmlns:m="http://schemas.openxmlformats.org/officeDocument/2006/math">
                  <m:nary>
                    <m:naryPr>
                      <m:chr m:val="∑"/>
                      <m:subHide m:val="on"/>
                      <m:supHide m:val="on"/>
                      <m:ctrlP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naryPr>
                    <m:sub/>
                    <m:sup/>
                    <m:e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𝑇</m:t>
                      </m:r>
                    </m:e>
                  </m:nary>
                </m:oMath>
              </a14:m>
              <a:r>
                <a:rPr lang="pt-BR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: atraso</a:t>
              </a:r>
              <a:r>
                <a:rPr lang="pt-BR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total</a:t>
              </a:r>
              <a:endParaRPr lang="pt-BR">
                <a:effectLst/>
              </a:endParaRP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𝑇</m:t>
                      </m:r>
                    </m:e>
                    <m:sub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𝑚𝑎𝑥</m:t>
                      </m:r>
                    </m:sub>
                  </m:sSub>
                </m:oMath>
              </a14:m>
              <a:r>
                <a:rPr lang="pt-BR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: atraso máximo</a:t>
              </a:r>
              <a:endParaRPr lang="pt-BR">
                <a:effectLst/>
              </a:endParaRPr>
            </a:p>
            <a:p>
              <a14:m>
                <m:oMath xmlns:m="http://schemas.openxmlformats.org/officeDocument/2006/math">
                  <m:nary>
                    <m:naryPr>
                      <m:chr m:val="∑"/>
                      <m:subHide m:val="on"/>
                      <m:supHide m:val="on"/>
                      <m:ctrlP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naryPr>
                    <m:sub/>
                    <m:sup/>
                    <m:e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</m:e>
                  </m:nary>
                </m:oMath>
              </a14:m>
              <a:r>
                <a:rPr lang="pt-BR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: número de ordens atrasadas</a:t>
              </a:r>
              <a:endParaRPr lang="pt-BR">
                <a:effectLst/>
              </a:endParaRPr>
            </a:p>
          </xdr:txBody>
        </xdr:sp>
      </mc:Choice>
      <mc:Fallback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F934DAA2-D911-4A32-87D0-166067F0A6C3}"/>
                </a:ext>
              </a:extLst>
            </xdr:cNvPr>
            <xdr:cNvSpPr txBox="1"/>
          </xdr:nvSpPr>
          <xdr:spPr>
            <a:xfrm>
              <a:off x="9578340" y="327660"/>
              <a:ext cx="2120709" cy="1817485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𝑝</a:t>
              </a:r>
              <a:r>
                <a:rPr lang="pt-BR" sz="1100"/>
                <a:t>: process time</a:t>
              </a:r>
            </a:p>
            <a:p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𝑑</a:t>
              </a:r>
              <a:r>
                <a:rPr lang="pt-BR" sz="1100"/>
                <a:t>: due date</a:t>
              </a:r>
            </a:p>
            <a:p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</a:t>
              </a:r>
              <a:r>
                <a:rPr lang="pt-BR" sz="1100"/>
                <a:t>: completion time</a:t>
              </a:r>
            </a:p>
            <a:p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𝐿</a:t>
              </a:r>
              <a:r>
                <a:rPr lang="pt-BR" sz="1100"/>
                <a:t>: lateness (desvio)</a:t>
              </a:r>
            </a:p>
            <a:p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pt-BR" sz="1100"/>
                <a:t>: tardiness</a:t>
              </a:r>
              <a:endParaRPr lang="pt-BR">
                <a:effectLst/>
              </a:endParaRPr>
            </a:p>
            <a:p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𝐶_𝑚𝑎𝑥</a:t>
              </a:r>
              <a:r>
                <a:rPr lang="pt-BR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: tempo total (makespan)</a:t>
              </a:r>
            </a:p>
            <a:p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 ̅</a:t>
              </a:r>
              <a:r>
                <a:rPr lang="pt-BR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: tempo médio</a:t>
              </a:r>
              <a:r>
                <a:rPr lang="pt-BR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de fluxo</a:t>
              </a:r>
              <a:endParaRPr lang="pt-BR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∑▒𝑇</a:t>
              </a:r>
              <a:r>
                <a:rPr lang="pt-BR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: atraso</a:t>
              </a:r>
              <a:r>
                <a:rPr lang="pt-BR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total</a:t>
              </a:r>
              <a:endParaRPr lang="pt-BR">
                <a:effectLst/>
              </a:endParaRPr>
            </a:p>
            <a:p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_𝑚𝑎𝑥</a:t>
              </a:r>
              <a:r>
                <a:rPr lang="pt-BR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: atraso máximo</a:t>
              </a:r>
              <a:endParaRPr lang="pt-BR">
                <a:effectLst/>
              </a:endParaRPr>
            </a:p>
            <a:p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∑▒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</a:t>
              </a:r>
              <a:r>
                <a:rPr lang="pt-BR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: número de ordens atrasadas</a:t>
              </a:r>
              <a:endParaRPr lang="pt-BR">
                <a:effectLst/>
              </a:endParaRP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371475</xdr:colOff>
      <xdr:row>3</xdr:row>
      <xdr:rowOff>0</xdr:rowOff>
    </xdr:from>
    <xdr:to>
      <xdr:col>21</xdr:col>
      <xdr:colOff>0</xdr:colOff>
      <xdr:row>9</xdr:row>
      <xdr:rowOff>0</xdr:rowOff>
    </xdr:to>
    <xdr:graphicFrame macro="">
      <xdr:nvGraphicFramePr>
        <xdr:cNvPr id="2" name="Gráfico 4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95250</xdr:colOff>
      <xdr:row>26</xdr:row>
      <xdr:rowOff>19050</xdr:rowOff>
    </xdr:from>
    <xdr:to>
      <xdr:col>2</xdr:col>
      <xdr:colOff>314325</xdr:colOff>
      <xdr:row>26</xdr:row>
      <xdr:rowOff>161925</xdr:rowOff>
    </xdr:to>
    <xdr:sp macro="" textlink="">
      <xdr:nvSpPr>
        <xdr:cNvPr id="5" name="Seta para baixo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Arrowheads="1"/>
        </xdr:cNvSpPr>
      </xdr:nvSpPr>
      <xdr:spPr bwMode="auto">
        <a:xfrm>
          <a:off x="857250" y="5114925"/>
          <a:ext cx="219075" cy="142875"/>
        </a:xfrm>
        <a:prstGeom prst="downArrow">
          <a:avLst>
            <a:gd name="adj1" fmla="val 50000"/>
            <a:gd name="adj2" fmla="val 50000"/>
          </a:avLst>
        </a:prstGeom>
        <a:solidFill>
          <a:srgbClr val="FF0000"/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95250</xdr:colOff>
      <xdr:row>26</xdr:row>
      <xdr:rowOff>19050</xdr:rowOff>
    </xdr:from>
    <xdr:to>
      <xdr:col>1</xdr:col>
      <xdr:colOff>304800</xdr:colOff>
      <xdr:row>26</xdr:row>
      <xdr:rowOff>161925</xdr:rowOff>
    </xdr:to>
    <xdr:sp macro="" textlink="">
      <xdr:nvSpPr>
        <xdr:cNvPr id="6" name="Seta para baixo 4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Arrowheads="1"/>
        </xdr:cNvSpPr>
      </xdr:nvSpPr>
      <xdr:spPr bwMode="auto">
        <a:xfrm>
          <a:off x="476250" y="5114925"/>
          <a:ext cx="209550" cy="142875"/>
        </a:xfrm>
        <a:prstGeom prst="downArrow">
          <a:avLst>
            <a:gd name="adj1" fmla="val 50000"/>
            <a:gd name="adj2" fmla="val 50000"/>
          </a:avLst>
        </a:prstGeom>
        <a:solidFill>
          <a:srgbClr val="FF0000"/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10</xdr:row>
      <xdr:rowOff>0</xdr:rowOff>
    </xdr:from>
    <xdr:to>
      <xdr:col>21</xdr:col>
      <xdr:colOff>9525</xdr:colOff>
      <xdr:row>16</xdr:row>
      <xdr:rowOff>0</xdr:rowOff>
    </xdr:to>
    <xdr:graphicFrame macro="">
      <xdr:nvGraphicFramePr>
        <xdr:cNvPr id="7" name="Gráfico 4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17</xdr:row>
      <xdr:rowOff>0</xdr:rowOff>
    </xdr:from>
    <xdr:to>
      <xdr:col>21</xdr:col>
      <xdr:colOff>9525</xdr:colOff>
      <xdr:row>23</xdr:row>
      <xdr:rowOff>0</xdr:rowOff>
    </xdr:to>
    <xdr:graphicFrame macro="">
      <xdr:nvGraphicFramePr>
        <xdr:cNvPr id="8" name="Gráfico 4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21</xdr:col>
      <xdr:colOff>0</xdr:colOff>
      <xdr:row>9</xdr:row>
      <xdr:rowOff>0</xdr:rowOff>
    </xdr:to>
    <xdr:graphicFrame macro="">
      <xdr:nvGraphicFramePr>
        <xdr:cNvPr id="2" name="Gráfico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104775</xdr:colOff>
      <xdr:row>18</xdr:row>
      <xdr:rowOff>19050</xdr:rowOff>
    </xdr:from>
    <xdr:to>
      <xdr:col>1</xdr:col>
      <xdr:colOff>323850</xdr:colOff>
      <xdr:row>18</xdr:row>
      <xdr:rowOff>161925</xdr:rowOff>
    </xdr:to>
    <xdr:sp macro="" textlink="">
      <xdr:nvSpPr>
        <xdr:cNvPr id="3" name="Seta para baixo 4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rrowheads="1"/>
        </xdr:cNvSpPr>
      </xdr:nvSpPr>
      <xdr:spPr bwMode="auto">
        <a:xfrm>
          <a:off x="485775" y="3400425"/>
          <a:ext cx="219075" cy="142875"/>
        </a:xfrm>
        <a:prstGeom prst="downArrow">
          <a:avLst>
            <a:gd name="adj1" fmla="val 50000"/>
            <a:gd name="adj2" fmla="val 50000"/>
          </a:avLst>
        </a:prstGeom>
        <a:solidFill>
          <a:srgbClr val="FF0000"/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361950</xdr:colOff>
      <xdr:row>10</xdr:row>
      <xdr:rowOff>0</xdr:rowOff>
    </xdr:from>
    <xdr:to>
      <xdr:col>21</xdr:col>
      <xdr:colOff>0</xdr:colOff>
      <xdr:row>16</xdr:row>
      <xdr:rowOff>0</xdr:rowOff>
    </xdr:to>
    <xdr:graphicFrame macro="">
      <xdr:nvGraphicFramePr>
        <xdr:cNvPr id="4" name="Gráfico 2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21</xdr:col>
      <xdr:colOff>0</xdr:colOff>
      <xdr:row>9</xdr:row>
      <xdr:rowOff>-1</xdr:rowOff>
    </xdr:to>
    <xdr:graphicFrame macro="">
      <xdr:nvGraphicFramePr>
        <xdr:cNvPr id="1549491" name="Gráfico 2">
          <a:extLst>
            <a:ext uri="{FF2B5EF4-FFF2-40B4-BE49-F238E27FC236}">
              <a16:creationId xmlns:a16="http://schemas.microsoft.com/office/drawing/2014/main" id="{00000000-0008-0000-0300-0000B3A417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10</xdr:row>
      <xdr:rowOff>-1</xdr:rowOff>
    </xdr:from>
    <xdr:to>
      <xdr:col>21</xdr:col>
      <xdr:colOff>0</xdr:colOff>
      <xdr:row>16</xdr:row>
      <xdr:rowOff>-1</xdr:rowOff>
    </xdr:to>
    <xdr:graphicFrame macro="">
      <xdr:nvGraphicFramePr>
        <xdr:cNvPr id="1549492" name="Gráfico 2">
          <a:extLst>
            <a:ext uri="{FF2B5EF4-FFF2-40B4-BE49-F238E27FC236}">
              <a16:creationId xmlns:a16="http://schemas.microsoft.com/office/drawing/2014/main" id="{00000000-0008-0000-0300-0000B4A417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17</xdr:row>
      <xdr:rowOff>-1</xdr:rowOff>
    </xdr:from>
    <xdr:to>
      <xdr:col>21</xdr:col>
      <xdr:colOff>0</xdr:colOff>
      <xdr:row>22</xdr:row>
      <xdr:rowOff>190498</xdr:rowOff>
    </xdr:to>
    <xdr:graphicFrame macro="">
      <xdr:nvGraphicFramePr>
        <xdr:cNvPr id="1549493" name="Gráfico 2">
          <a:extLst>
            <a:ext uri="{FF2B5EF4-FFF2-40B4-BE49-F238E27FC236}">
              <a16:creationId xmlns:a16="http://schemas.microsoft.com/office/drawing/2014/main" id="{00000000-0008-0000-0300-0000B5A417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171450</xdr:colOff>
      <xdr:row>27</xdr:row>
      <xdr:rowOff>19050</xdr:rowOff>
    </xdr:from>
    <xdr:to>
      <xdr:col>11</xdr:col>
      <xdr:colOff>390525</xdr:colOff>
      <xdr:row>27</xdr:row>
      <xdr:rowOff>161925</xdr:rowOff>
    </xdr:to>
    <xdr:sp macro="" textlink="">
      <xdr:nvSpPr>
        <xdr:cNvPr id="1549494" name="Seta para baixo 4">
          <a:extLst>
            <a:ext uri="{FF2B5EF4-FFF2-40B4-BE49-F238E27FC236}">
              <a16:creationId xmlns:a16="http://schemas.microsoft.com/office/drawing/2014/main" id="{00000000-0008-0000-0300-0000B6A41700}"/>
            </a:ext>
          </a:extLst>
        </xdr:cNvPr>
        <xdr:cNvSpPr>
          <a:spLocks noChangeArrowheads="1"/>
        </xdr:cNvSpPr>
      </xdr:nvSpPr>
      <xdr:spPr bwMode="auto">
        <a:xfrm>
          <a:off x="11849100" y="3019425"/>
          <a:ext cx="219075" cy="142875"/>
        </a:xfrm>
        <a:prstGeom prst="downArrow">
          <a:avLst>
            <a:gd name="adj1" fmla="val 50000"/>
            <a:gd name="adj2" fmla="val 50000"/>
          </a:avLst>
        </a:prstGeom>
        <a:solidFill>
          <a:srgbClr val="FF0000"/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171450</xdr:colOff>
      <xdr:row>27</xdr:row>
      <xdr:rowOff>19050</xdr:rowOff>
    </xdr:from>
    <xdr:to>
      <xdr:col>15</xdr:col>
      <xdr:colOff>390525</xdr:colOff>
      <xdr:row>27</xdr:row>
      <xdr:rowOff>161925</xdr:rowOff>
    </xdr:to>
    <xdr:sp macro="" textlink="">
      <xdr:nvSpPr>
        <xdr:cNvPr id="1549495" name="Seta para baixo 5">
          <a:extLst>
            <a:ext uri="{FF2B5EF4-FFF2-40B4-BE49-F238E27FC236}">
              <a16:creationId xmlns:a16="http://schemas.microsoft.com/office/drawing/2014/main" id="{00000000-0008-0000-0300-0000B7A41700}"/>
            </a:ext>
          </a:extLst>
        </xdr:cNvPr>
        <xdr:cNvSpPr>
          <a:spLocks noChangeArrowheads="1"/>
        </xdr:cNvSpPr>
      </xdr:nvSpPr>
      <xdr:spPr bwMode="auto">
        <a:xfrm>
          <a:off x="18830925" y="3019425"/>
          <a:ext cx="219075" cy="142875"/>
        </a:xfrm>
        <a:prstGeom prst="downArrow">
          <a:avLst>
            <a:gd name="adj1" fmla="val 50000"/>
            <a:gd name="adj2" fmla="val 50000"/>
          </a:avLst>
        </a:prstGeom>
        <a:solidFill>
          <a:srgbClr val="FF0000"/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171450</xdr:colOff>
      <xdr:row>27</xdr:row>
      <xdr:rowOff>19050</xdr:rowOff>
    </xdr:from>
    <xdr:to>
      <xdr:col>19</xdr:col>
      <xdr:colOff>390525</xdr:colOff>
      <xdr:row>27</xdr:row>
      <xdr:rowOff>161925</xdr:rowOff>
    </xdr:to>
    <xdr:sp macro="" textlink="">
      <xdr:nvSpPr>
        <xdr:cNvPr id="1549496" name="Seta para baixo 6">
          <a:extLst>
            <a:ext uri="{FF2B5EF4-FFF2-40B4-BE49-F238E27FC236}">
              <a16:creationId xmlns:a16="http://schemas.microsoft.com/office/drawing/2014/main" id="{00000000-0008-0000-0300-0000B8A41700}"/>
            </a:ext>
          </a:extLst>
        </xdr:cNvPr>
        <xdr:cNvSpPr>
          <a:spLocks noChangeArrowheads="1"/>
        </xdr:cNvSpPr>
      </xdr:nvSpPr>
      <xdr:spPr bwMode="auto">
        <a:xfrm>
          <a:off x="25812750" y="3019425"/>
          <a:ext cx="219075" cy="142875"/>
        </a:xfrm>
        <a:prstGeom prst="downArrow">
          <a:avLst>
            <a:gd name="adj1" fmla="val 50000"/>
            <a:gd name="adj2" fmla="val 50000"/>
          </a:avLst>
        </a:prstGeom>
        <a:solidFill>
          <a:srgbClr val="FF0000"/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3</xdr:row>
      <xdr:rowOff>0</xdr:rowOff>
    </xdr:from>
    <xdr:to>
      <xdr:col>21</xdr:col>
      <xdr:colOff>0</xdr:colOff>
      <xdr:row>9</xdr:row>
      <xdr:rowOff>0</xdr:rowOff>
    </xdr:to>
    <xdr:graphicFrame macro="">
      <xdr:nvGraphicFramePr>
        <xdr:cNvPr id="2" name="Gráfico 2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104775</xdr:colOff>
      <xdr:row>26</xdr:row>
      <xdr:rowOff>19050</xdr:rowOff>
    </xdr:from>
    <xdr:to>
      <xdr:col>1</xdr:col>
      <xdr:colOff>323850</xdr:colOff>
      <xdr:row>26</xdr:row>
      <xdr:rowOff>161925</xdr:rowOff>
    </xdr:to>
    <xdr:sp macro="" textlink="">
      <xdr:nvSpPr>
        <xdr:cNvPr id="3" name="Seta para baixo 4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>
          <a:spLocks noChangeArrowheads="1"/>
        </xdr:cNvSpPr>
      </xdr:nvSpPr>
      <xdr:spPr bwMode="auto">
        <a:xfrm>
          <a:off x="485775" y="3400425"/>
          <a:ext cx="219075" cy="142875"/>
        </a:xfrm>
        <a:prstGeom prst="downArrow">
          <a:avLst>
            <a:gd name="adj1" fmla="val 50000"/>
            <a:gd name="adj2" fmla="val 50000"/>
          </a:avLst>
        </a:prstGeom>
        <a:solidFill>
          <a:srgbClr val="FF0000"/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361950</xdr:colOff>
      <xdr:row>10</xdr:row>
      <xdr:rowOff>0</xdr:rowOff>
    </xdr:from>
    <xdr:to>
      <xdr:col>21</xdr:col>
      <xdr:colOff>0</xdr:colOff>
      <xdr:row>16</xdr:row>
      <xdr:rowOff>0</xdr:rowOff>
    </xdr:to>
    <xdr:graphicFrame macro="">
      <xdr:nvGraphicFramePr>
        <xdr:cNvPr id="4" name="Gráfico 2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16</xdr:row>
      <xdr:rowOff>180974</xdr:rowOff>
    </xdr:from>
    <xdr:to>
      <xdr:col>21</xdr:col>
      <xdr:colOff>0</xdr:colOff>
      <xdr:row>23</xdr:row>
      <xdr:rowOff>0</xdr:rowOff>
    </xdr:to>
    <xdr:graphicFrame macro="">
      <xdr:nvGraphicFramePr>
        <xdr:cNvPr id="5" name="Gráfico 2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M1_Tab0" displayName="M1_Tab0" ref="B14:E19" totalsRowShown="0" headerRowDxfId="115">
  <autoFilter ref="B14:E19" xr:uid="{00000000-0009-0000-0100-000002000000}"/>
  <sortState xmlns:xlrd2="http://schemas.microsoft.com/office/spreadsheetml/2017/richdata2" ref="B15:E19">
    <sortCondition ref="C14:C19"/>
  </sortState>
  <tableColumns count="4">
    <tableColumn id="1" xr3:uid="{00000000-0010-0000-0000-000001000000}" name="#"/>
    <tableColumn id="2" xr3:uid="{00000000-0010-0000-0000-000002000000}" name="Job"/>
    <tableColumn id="3" xr3:uid="{00000000-0010-0000-0000-000003000000}" name="p"/>
    <tableColumn id="5" xr3:uid="{00000000-0010-0000-0000-000005000000}" name="d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M1_Tab1" displayName="M1_Tab1" ref="G14:I19" totalsRowShown="0" headerRowDxfId="114">
  <autoFilter ref="G14:I19" xr:uid="{00000000-0009-0000-0100-000003000000}"/>
  <tableColumns count="3">
    <tableColumn id="1" xr3:uid="{00000000-0010-0000-0100-000001000000}" name="Job">
      <calculatedColumnFormula>C15</calculatedColumnFormula>
    </tableColumn>
    <tableColumn id="2" xr3:uid="{00000000-0010-0000-0100-000002000000}" name="ti">
      <calculatedColumnFormula>IF(ISNUMBER(I14),I14,0)</calculatedColumnFormula>
    </tableColumn>
    <tableColumn id="3" xr3:uid="{00000000-0010-0000-0100-000003000000}" name="tf">
      <calculatedColumnFormula>H15+D15</calculatedColumnFormula>
    </tableColumn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M1_Tab2" displayName="M1_Tab2" ref="K14:O19" totalsRowShown="0" headerRowDxfId="113">
  <autoFilter ref="K14:O19" xr:uid="{00000000-0009-0000-0100-000004000000}"/>
  <sortState xmlns:xlrd2="http://schemas.microsoft.com/office/spreadsheetml/2017/richdata2" ref="K17:O21">
    <sortCondition ref="K15:K20"/>
  </sortState>
  <tableColumns count="5">
    <tableColumn id="1" xr3:uid="{00000000-0010-0000-0200-000001000000}" name="Job">
      <calculatedColumnFormula>G15</calculatedColumnFormula>
    </tableColumn>
    <tableColumn id="2" xr3:uid="{00000000-0010-0000-0200-000002000000}" name="C">
      <calculatedColumnFormula>I15</calculatedColumnFormula>
    </tableColumn>
    <tableColumn id="3" xr3:uid="{00000000-0010-0000-0200-000003000000}" name="d">
      <calculatedColumnFormula>E15</calculatedColumnFormula>
    </tableColumn>
    <tableColumn id="4" xr3:uid="{00000000-0010-0000-0200-000004000000}" name="L">
      <calculatedColumnFormula>L15-M15</calculatedColumnFormula>
    </tableColumn>
    <tableColumn id="5" xr3:uid="{00000000-0010-0000-0200-000005000000}" name="T">
      <calculatedColumnFormula>MAX(0,N15)</calculatedColumnFormula>
    </tableColumn>
  </tableColumns>
  <tableStyleInfo name="TableStyleMedium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M1_Tab4" displayName="M1_Tab4" ref="T14:V19" totalsRowShown="0" headerRowDxfId="112" dataDxfId="111">
  <autoFilter ref="T14:V19" xr:uid="{00000000-0009-0000-0100-000005000000}"/>
  <tableColumns count="3">
    <tableColumn id="1" xr3:uid="{00000000-0010-0000-0300-000001000000}" name="Job" dataDxfId="110">
      <calculatedColumnFormula>G15</calculatedColumnFormula>
    </tableColumn>
    <tableColumn id="2" xr3:uid="{00000000-0010-0000-0300-000002000000}" name="oc" dataDxfId="109">
      <calculatedColumnFormula>H15</calculatedColumnFormula>
    </tableColumn>
    <tableColumn id="3" xr3:uid="{00000000-0010-0000-0300-000003000000}" name="pr" dataDxfId="108">
      <calculatedColumnFormula>I15-H15</calculatedColumnFormula>
    </tableColumn>
  </tableColumns>
  <tableStyleInfo name="TableStyleMedium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04000000}" name="M1_Tab3" displayName="M1_Tab3" ref="Q14:R19" totalsRowShown="0" headerRowDxfId="107">
  <autoFilter ref="Q14:R19" xr:uid="{00000000-0009-0000-0100-000015000000}"/>
  <tableColumns count="2">
    <tableColumn id="1" xr3:uid="{00000000-0010-0000-0400-000001000000}" name="Indicador"/>
    <tableColumn id="2" xr3:uid="{00000000-0010-0000-0400-000002000000}" name="Valor" dataDxfId="106"/>
  </tableColumns>
  <tableStyleInfo name="TableStyleMedium1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MP3_Tab0" displayName="MP3_Tab0" ref="B28:G38" totalsRowShown="0" headerRowDxfId="105">
  <autoFilter ref="B28:G38" xr:uid="{00000000-0009-0000-0100-000006000000}"/>
  <sortState xmlns:xlrd2="http://schemas.microsoft.com/office/spreadsheetml/2017/richdata2" ref="B29:G38">
    <sortCondition ref="E28:E38"/>
  </sortState>
  <tableColumns count="6">
    <tableColumn id="8" xr3:uid="{00000000-0010-0000-0500-000008000000}" name="m" dataDxfId="104" dataCellStyle="Normal 3"/>
    <tableColumn id="1" xr3:uid="{00000000-0010-0000-0500-000001000000}" name="#" dataDxfId="103" dataCellStyle="Normal 3"/>
    <tableColumn id="9" xr3:uid="{00000000-0010-0000-0500-000009000000}" name="Op" dataDxfId="102">
      <calculatedColumnFormula>B29*100+C29</calculatedColumnFormula>
    </tableColumn>
    <tableColumn id="2" xr3:uid="{00000000-0010-0000-0500-000002000000}" name="Job"/>
    <tableColumn id="3" xr3:uid="{00000000-0010-0000-0500-000003000000}" name="p"/>
    <tableColumn id="5" xr3:uid="{00000000-0010-0000-0500-000005000000}" name="d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MP3_TabM1" displayName="MP3_TabM1" ref="I28:L38" totalsRowShown="0" headerRowDxfId="101">
  <autoFilter ref="I28:L38" xr:uid="{00000000-0009-0000-0100-000007000000}"/>
  <tableColumns count="4">
    <tableColumn id="6" xr3:uid="{00000000-0010-0000-0600-000006000000}" name="Op"/>
    <tableColumn id="1" xr3:uid="{00000000-0010-0000-0600-000001000000}" name="Job" dataDxfId="100">
      <calculatedColumnFormula>IF(ISERROR(VLOOKUP(I29,MP3_Tab0[[Op]:[Job]],2,0)),"",VLOOKUP(I29,MP3_Tab0[[Op]:[Job]],2,0))</calculatedColumnFormula>
    </tableColumn>
    <tableColumn id="2" xr3:uid="{00000000-0010-0000-0600-000002000000}" name="ti">
      <calculatedColumnFormula>IF(J29="","",IF(ISNUMBER(L28),L28,0))</calculatedColumnFormula>
    </tableColumn>
    <tableColumn id="3" xr3:uid="{00000000-0010-0000-0600-000003000000}" name="tf" dataDxfId="99">
      <calculatedColumnFormula>IF(J29="","",K29+VLOOKUP(I29,MP3_Tab0[[Op]:[p]],3,0))</calculatedColumnFormula>
    </tableColumn>
  </tableColumns>
  <tableStyleInfo name="TableStyleMedium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MP3_TabM2" displayName="MP3_TabM2" ref="N28:Q38" totalsRowShown="0" headerRowDxfId="98">
  <autoFilter ref="N28:Q38" xr:uid="{00000000-0009-0000-0100-000008000000}"/>
  <tableColumns count="4">
    <tableColumn id="6" xr3:uid="{00000000-0010-0000-0700-000006000000}" name="Op"/>
    <tableColumn id="1" xr3:uid="{00000000-0010-0000-0700-000001000000}" name="Job" dataDxfId="97">
      <calculatedColumnFormula>IF(ISERROR(VLOOKUP(N29,MP3_Tab0[[Op]:[Job]],2,0)),"",VLOOKUP(N29,MP3_Tab0[[Op]:[Job]],2,0))</calculatedColumnFormula>
    </tableColumn>
    <tableColumn id="2" xr3:uid="{00000000-0010-0000-0700-000002000000}" name="ti">
      <calculatedColumnFormula>IF(O29="","",IF(ISNUMBER(Q28),Q28,0))</calculatedColumnFormula>
    </tableColumn>
    <tableColumn id="3" xr3:uid="{00000000-0010-0000-0700-000003000000}" name="tf" dataDxfId="96">
      <calculatedColumnFormula>IF(O29="","",P29+VLOOKUP(N29,MP3_Tab0[[Op]:[p]],3,0))</calculatedColumnFormula>
    </tableColumn>
  </tableColumns>
  <tableStyleInfo name="TableStyleMedium10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MP3_Tab2" displayName="MP3_Tab2" ref="X28:AC38" totalsRowShown="0" headerRowDxfId="95">
  <autoFilter ref="X28:AC38" xr:uid="{00000000-0009-0000-0100-000009000000}"/>
  <sortState xmlns:xlrd2="http://schemas.microsoft.com/office/spreadsheetml/2017/richdata2" ref="X29:AC38">
    <sortCondition ref="Y26:Y36"/>
  </sortState>
  <tableColumns count="6">
    <tableColumn id="6" xr3:uid="{00000000-0010-0000-0800-000006000000}" name="Op" dataDxfId="94">
      <calculatedColumnFormula>D29</calculatedColumnFormula>
    </tableColumn>
    <tableColumn id="1" xr3:uid="{00000000-0010-0000-0800-000001000000}" name="Job" dataDxfId="93">
      <calculatedColumnFormula>VLOOKUP(X29,MP3_Tab0[[Op]:[Job]],2,0)</calculatedColumnFormula>
    </tableColumn>
    <tableColumn id="2" xr3:uid="{00000000-0010-0000-0800-000002000000}" name="C" dataDxfId="92">
      <calculatedColumnFormula array="1">INDEX(INDIRECT("MP3_TabM"&amp;B29),C29,4)</calculatedColumnFormula>
    </tableColumn>
    <tableColumn id="3" xr3:uid="{00000000-0010-0000-0800-000003000000}" name="d" dataDxfId="91">
      <calculatedColumnFormula>G29</calculatedColumnFormula>
    </tableColumn>
    <tableColumn id="4" xr3:uid="{00000000-0010-0000-0800-000004000000}" name="L" dataDxfId="90">
      <calculatedColumnFormula>Z29-AA29</calculatedColumnFormula>
    </tableColumn>
    <tableColumn id="5" xr3:uid="{00000000-0010-0000-0800-000005000000}" name="T" dataDxfId="89">
      <calculatedColumnFormula>MAX(0,AB29)</calculatedColumnFormula>
    </tableColumn>
  </tableColumns>
  <tableStyleInfo name="TableStyleMedium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MP3_Tab4a" displayName="MP3_Tab4a" ref="AH28:AJ38" totalsRowShown="0" headerRowDxfId="88" dataDxfId="87">
  <autoFilter ref="AH28:AJ38" xr:uid="{00000000-0009-0000-0100-00000A000000}"/>
  <tableColumns count="3">
    <tableColumn id="1" xr3:uid="{00000000-0010-0000-0900-000001000000}" name="Job" dataDxfId="86">
      <calculatedColumnFormula>IF(J29="","",J29)</calculatedColumnFormula>
    </tableColumn>
    <tableColumn id="3" xr3:uid="{00000000-0010-0000-0900-000003000000}" name="oc" dataDxfId="85" dataCellStyle="Normal 3">
      <calculatedColumnFormula>IF(K29="","",K29-L28)</calculatedColumnFormula>
    </tableColumn>
    <tableColumn id="2" xr3:uid="{00000000-0010-0000-0900-000002000000}" name="pr" dataDxfId="84">
      <calculatedColumnFormula>IF(L29="","",L29-K29)</calculatedColumnFormula>
    </tableColumn>
  </tableColumns>
  <tableStyleInfo name="TableStyleMedium14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MP3_TabM3" displayName="MP3_TabM3" ref="S28:V38" totalsRowShown="0" headerRowDxfId="83">
  <autoFilter ref="S28:V38" xr:uid="{00000000-0009-0000-0100-00000B000000}"/>
  <tableColumns count="4">
    <tableColumn id="6" xr3:uid="{00000000-0010-0000-0A00-000006000000}" name="Op"/>
    <tableColumn id="1" xr3:uid="{00000000-0010-0000-0A00-000001000000}" name="Job" dataDxfId="82">
      <calculatedColumnFormula>IF(ISERROR(VLOOKUP(S29,MP3_Tab0[[Op]:[Job]],2,0)),"",VLOOKUP(S29,MP3_Tab0[[Op]:[Job]],2,0))</calculatedColumnFormula>
    </tableColumn>
    <tableColumn id="2" xr3:uid="{00000000-0010-0000-0A00-000002000000}" name="ti">
      <calculatedColumnFormula>IF(T29="","",IF(ISNUMBER(V28),V28,0))</calculatedColumnFormula>
    </tableColumn>
    <tableColumn id="3" xr3:uid="{00000000-0010-0000-0A00-000003000000}" name="tf" dataDxfId="81">
      <calculatedColumnFormula>IF(T29="","",U29+VLOOKUP(S29,MP3_Tab0[[Op]:[p]],3,0))</calculatedColumnFormula>
    </tableColumn>
  </tableColumns>
  <tableStyleInfo name="TableStyleMedium10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MP3_Tab4b" displayName="MP3_Tab4b" ref="AL28:AN38" totalsRowShown="0" headerRowDxfId="80" dataDxfId="79" dataCellStyle="Normal 3">
  <autoFilter ref="AL28:AN38" xr:uid="{00000000-0009-0000-0100-00000C000000}"/>
  <tableColumns count="3">
    <tableColumn id="1" xr3:uid="{00000000-0010-0000-0B00-000001000000}" name="Job" dataDxfId="78" dataCellStyle="Normal 3">
      <calculatedColumnFormula>IF(O29="","",O29)</calculatedColumnFormula>
    </tableColumn>
    <tableColumn id="3" xr3:uid="{00000000-0010-0000-0B00-000003000000}" name="oc" dataDxfId="77" dataCellStyle="Normal 3"/>
    <tableColumn id="2" xr3:uid="{00000000-0010-0000-0B00-000002000000}" name="pr" dataDxfId="76" dataCellStyle="Normal 3">
      <calculatedColumnFormula>IF(Q29="","",Q29-P29)</calculatedColumnFormula>
    </tableColumn>
  </tableColumns>
  <tableStyleInfo name="TableStyleMedium14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MP3_Tab4c" displayName="MP3_Tab4c" ref="AP28:AR38" totalsRowShown="0" headerRowDxfId="75" dataDxfId="74" dataCellStyle="Normal 3">
  <autoFilter ref="AP28:AR38" xr:uid="{00000000-0009-0000-0100-00000D000000}"/>
  <tableColumns count="3">
    <tableColumn id="1" xr3:uid="{00000000-0010-0000-0C00-000001000000}" name="Job" dataDxfId="73" dataCellStyle="Normal 3">
      <calculatedColumnFormula>IF(T29="","",T29)</calculatedColumnFormula>
    </tableColumn>
    <tableColumn id="3" xr3:uid="{00000000-0010-0000-0C00-000003000000}" name="oc" dataDxfId="72" dataCellStyle="Normal 3"/>
    <tableColumn id="2" xr3:uid="{00000000-0010-0000-0C00-000002000000}" name="pr" dataDxfId="71" dataCellStyle="Normal 3">
      <calculatedColumnFormula>IF(V29="","",V29-U29)</calculatedColumnFormula>
    </tableColumn>
  </tableColumns>
  <tableStyleInfo name="TableStyleMedium14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0D000000}" name="MP3_Tab3" displayName="MP3_Tab3" ref="AE28:AF33" totalsRowShown="0" headerRowDxfId="70">
  <autoFilter ref="AE28:AF33" xr:uid="{00000000-0009-0000-0100-000016000000}"/>
  <tableColumns count="2">
    <tableColumn id="1" xr3:uid="{00000000-0010-0000-0D00-000001000000}" name="Indicador"/>
    <tableColumn id="2" xr3:uid="{00000000-0010-0000-0D00-000002000000}" name="Valor" dataDxfId="69"/>
  </tableColumns>
  <tableStyleInfo name="TableStyleMedium1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E000000}" name="MS2_Tab0" displayName="MS2_Tab0" ref="B20:F25" totalsRowShown="0" headerRowDxfId="68">
  <autoFilter ref="B20:F25" xr:uid="{00000000-0009-0000-0100-00000E000000}"/>
  <sortState xmlns:xlrd2="http://schemas.microsoft.com/office/spreadsheetml/2017/richdata2" ref="B21:F25">
    <sortCondition ref="C20:C25"/>
  </sortState>
  <tableColumns count="5">
    <tableColumn id="1" xr3:uid="{00000000-0010-0000-0E00-000001000000}" name="#"/>
    <tableColumn id="2" xr3:uid="{00000000-0010-0000-0E00-000002000000}" name="Job"/>
    <tableColumn id="3" xr3:uid="{00000000-0010-0000-0E00-000003000000}" name="p1"/>
    <tableColumn id="4" xr3:uid="{00000000-0010-0000-0E00-000004000000}" name="p2"/>
    <tableColumn id="5" xr3:uid="{00000000-0010-0000-0E00-000005000000}" name="d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F000000}" name="MS2_Tab1a" displayName="MS2_Tab1a" ref="H20:J25" totalsRowShown="0" headerRowDxfId="67">
  <autoFilter ref="H20:J25" xr:uid="{00000000-0009-0000-0100-00000F000000}"/>
  <tableColumns count="3">
    <tableColumn id="1" xr3:uid="{00000000-0010-0000-0F00-000001000000}" name="Job">
      <calculatedColumnFormula>C21</calculatedColumnFormula>
    </tableColumn>
    <tableColumn id="2" xr3:uid="{00000000-0010-0000-0F00-000002000000}" name="ti">
      <calculatedColumnFormula>IF(ISNUMBER(J20),J20,0)</calculatedColumnFormula>
    </tableColumn>
    <tableColumn id="3" xr3:uid="{00000000-0010-0000-0F00-000003000000}" name="tf">
      <calculatedColumnFormula>I21+D21</calculatedColumnFormula>
    </tableColumn>
  </tableColumns>
  <tableStyleInfo name="TableStyleMedium10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10000000}" name="MS2_Tab1b" displayName="MS2_Tab1b" ref="L20:N25" totalsRowShown="0" headerRowDxfId="66">
  <autoFilter ref="L20:N25" xr:uid="{00000000-0009-0000-0100-000010000000}"/>
  <tableColumns count="3">
    <tableColumn id="1" xr3:uid="{00000000-0010-0000-1000-000001000000}" name="Job">
      <calculatedColumnFormula>H21</calculatedColumnFormula>
    </tableColumn>
    <tableColumn id="2" xr3:uid="{00000000-0010-0000-1000-000002000000}" name="ti">
      <calculatedColumnFormula>MAX(J21,N20)</calculatedColumnFormula>
    </tableColumn>
    <tableColumn id="3" xr3:uid="{00000000-0010-0000-1000-000003000000}" name="tf">
      <calculatedColumnFormula>M21+E21</calculatedColumnFormula>
    </tableColumn>
  </tableColumns>
  <tableStyleInfo name="TableStyleMedium10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1000000}" name="MS2_Tab2" displayName="MS2_Tab2" ref="P20:T25" totalsRowShown="0" headerRowDxfId="65">
  <autoFilter ref="P20:T25" xr:uid="{00000000-0009-0000-0100-000011000000}"/>
  <tableColumns count="5">
    <tableColumn id="1" xr3:uid="{00000000-0010-0000-1100-000001000000}" name="Job">
      <calculatedColumnFormula>L21</calculatedColumnFormula>
    </tableColumn>
    <tableColumn id="2" xr3:uid="{00000000-0010-0000-1100-000002000000}" name="C">
      <calculatedColumnFormula>N21</calculatedColumnFormula>
    </tableColumn>
    <tableColumn id="3" xr3:uid="{00000000-0010-0000-1100-000003000000}" name="d">
      <calculatedColumnFormula>F21</calculatedColumnFormula>
    </tableColumn>
    <tableColumn id="4" xr3:uid="{00000000-0010-0000-1100-000004000000}" name="L">
      <calculatedColumnFormula>Q21-R21</calculatedColumnFormula>
    </tableColumn>
    <tableColumn id="5" xr3:uid="{00000000-0010-0000-1100-000005000000}" name="T">
      <calculatedColumnFormula>MAX(0,S21)</calculatedColumnFormula>
    </tableColumn>
  </tableColumns>
  <tableStyleInfo name="TableStyleMedium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2000000}" name="MS2_Tab4a" displayName="MS2_Tab4a" ref="Y20:AA25" totalsRowShown="0" headerRowDxfId="64" dataDxfId="63" dataCellStyle="Normal 3">
  <autoFilter ref="Y20:AA25" xr:uid="{00000000-0009-0000-0100-000012000000}"/>
  <tableColumns count="3">
    <tableColumn id="1" xr3:uid="{00000000-0010-0000-1200-000001000000}" name="Job" dataDxfId="62" dataCellStyle="Normal 3">
      <calculatedColumnFormula>H21</calculatedColumnFormula>
    </tableColumn>
    <tableColumn id="2" xr3:uid="{00000000-0010-0000-1200-000002000000}" name="oc" dataDxfId="61" dataCellStyle="Normal 3"/>
    <tableColumn id="3" xr3:uid="{00000000-0010-0000-1200-000003000000}" name="pr" dataDxfId="60" dataCellStyle="Normal 3">
      <calculatedColumnFormula>J21-I21</calculatedColumnFormula>
    </tableColumn>
  </tableColumns>
  <tableStyleInfo name="TableStyleMedium14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3000000}" name="MS2_Tab4b" displayName="MS2_Tab4b" ref="AC20:AE25" totalsRowShown="0" headerRowDxfId="59" dataDxfId="58">
  <autoFilter ref="AC20:AE25" xr:uid="{00000000-0009-0000-0100-000013000000}"/>
  <tableColumns count="3">
    <tableColumn id="1" xr3:uid="{00000000-0010-0000-1300-000001000000}" name="Job" dataDxfId="57" dataCellStyle="Normal 3">
      <calculatedColumnFormula>L21</calculatedColumnFormula>
    </tableColumn>
    <tableColumn id="5" xr3:uid="{00000000-0010-0000-1300-000005000000}" name="oc" dataDxfId="56" dataCellStyle="Normal 3"/>
    <tableColumn id="2" xr3:uid="{00000000-0010-0000-1300-000002000000}" name="pr" dataDxfId="55" dataCellStyle="Normal 3">
      <calculatedColumnFormula>N21-M21</calculatedColumnFormula>
    </tableColumn>
  </tableColumns>
  <tableStyleInfo name="TableStyleMedium14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4000000}" name="MS2_Tab3" displayName="MS2_Tab3" ref="V20:W25" totalsRowShown="0" headerRowDxfId="54">
  <autoFilter ref="V20:W25" xr:uid="{00000000-0009-0000-0100-000017000000}"/>
  <tableColumns count="2">
    <tableColumn id="1" xr3:uid="{00000000-0010-0000-1400-000001000000}" name="Indicador"/>
    <tableColumn id="2" xr3:uid="{00000000-0010-0000-1400-000002000000}" name="Valor" dataDxfId="53"/>
  </tableColumns>
  <tableStyleInfo name="TableStyleMedium1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1" xr:uid="{00000000-000C-0000-FFFF-FFFF15000000}" name="JS3_TabM1" displayName="JS3_TabM1" ref="AS29:AX39" totalsRowShown="0" headerRowDxfId="52">
  <autoFilter ref="AS29:AX39" xr:uid="{00000000-0009-0000-0100-000097000000}"/>
  <tableColumns count="6">
    <tableColumn id="2" xr3:uid="{00000000-0010-0000-1500-000002000000}" name="Op">
      <calculatedColumnFormula>IF(M30="","",M30)</calculatedColumnFormula>
    </tableColumn>
    <tableColumn id="1" xr3:uid="{00000000-0010-0000-1500-000001000000}" name="Job">
      <calculatedColumnFormula>IF(N30="","",N30)</calculatedColumnFormula>
    </tableColumn>
    <tableColumn id="5" xr3:uid="{00000000-0010-0000-1500-000005000000}" name="ti">
      <calculatedColumnFormula>IF(AS30="","",VLOOKUP(JS3_TabM1[[#This Row],[Op]],JS3_TabOp[],10))</calculatedColumnFormula>
    </tableColumn>
    <tableColumn id="6" xr3:uid="{00000000-0010-0000-1500-000006000000}" name="tf">
      <calculatedColumnFormula>IF(AS30="","",VLOOKUP(AS30,JS3_TabOp[],11))</calculatedColumnFormula>
    </tableColumn>
    <tableColumn id="8" xr3:uid="{00000000-0010-0000-1500-000008000000}" name="oc">
      <calculatedColumnFormula>IF(AS30="","",IF(ISNUMBER(AV29),AU30-AV29,AU30))</calculatedColumnFormula>
    </tableColumn>
    <tableColumn id="9" xr3:uid="{00000000-0010-0000-1500-000009000000}" name="pr">
      <calculatedColumnFormula>IF(AS30="","",AV30-AU30)</calculatedColumnFormula>
    </tableColumn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3" xr:uid="{00000000-000C-0000-FFFF-FFFF16000000}" name="JS3_TabM2" displayName="JS3_TabM2" ref="AZ29:BE39" totalsRowShown="0" headerRowDxfId="51">
  <autoFilter ref="AZ29:BE39" xr:uid="{00000000-0009-0000-0100-000099000000}"/>
  <tableColumns count="6">
    <tableColumn id="2" xr3:uid="{00000000-0010-0000-1600-000002000000}" name="Op">
      <calculatedColumnFormula>IF(Q30="","",Q30)</calculatedColumnFormula>
    </tableColumn>
    <tableColumn id="1" xr3:uid="{00000000-0010-0000-1600-000001000000}" name="Job">
      <calculatedColumnFormula>IF(R30="","",R30)</calculatedColumnFormula>
    </tableColumn>
    <tableColumn id="5" xr3:uid="{00000000-0010-0000-1600-000005000000}" name="ti">
      <calculatedColumnFormula>IF(AZ30="","",VLOOKUP(JS3_TabM2[[#This Row],[Op]],JS3_TabOp[],10))</calculatedColumnFormula>
    </tableColumn>
    <tableColumn id="6" xr3:uid="{00000000-0010-0000-1600-000006000000}" name="tf">
      <calculatedColumnFormula>IF(AZ30="","",VLOOKUP(AZ30,JS3_TabOp[],11))</calculatedColumnFormula>
    </tableColumn>
    <tableColumn id="8" xr3:uid="{00000000-0010-0000-1600-000008000000}" name="oc">
      <calculatedColumnFormula>IF(AZ30="","",IF(ISNUMBER(BC29),BB30-BC29,BB30))</calculatedColumnFormula>
    </tableColumn>
    <tableColumn id="9" xr3:uid="{00000000-0010-0000-1600-000009000000}" name="pr">
      <calculatedColumnFormula>IF(AZ30="","",BC30-BB30)</calculatedColumnFormula>
    </tableColumn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2" xr:uid="{00000000-000C-0000-FFFF-FFFF17000000}" name="JS3_TabM3" displayName="JS3_TabM3" ref="BG29:BL39" totalsRowShown="0" headerRowDxfId="50">
  <autoFilter ref="BG29:BL39" xr:uid="{00000000-0009-0000-0100-0000A2000000}"/>
  <tableColumns count="6">
    <tableColumn id="2" xr3:uid="{00000000-0010-0000-1700-000002000000}" name="Op">
      <calculatedColumnFormula>IF(U30="","",U30)</calculatedColumnFormula>
    </tableColumn>
    <tableColumn id="1" xr3:uid="{00000000-0010-0000-1700-000001000000}" name="Job">
      <calculatedColumnFormula>IF(V30="","",V30)</calculatedColumnFormula>
    </tableColumn>
    <tableColumn id="5" xr3:uid="{00000000-0010-0000-1700-000005000000}" name="ti">
      <calculatedColumnFormula>IF(BG30="","",VLOOKUP(JS3_TabM3[[#This Row],[Op]],JS3_TabOp[],10))</calculatedColumnFormula>
    </tableColumn>
    <tableColumn id="6" xr3:uid="{00000000-0010-0000-1700-000006000000}" name="tf">
      <calculatedColumnFormula>IF(BG30="","",VLOOKUP(BG30,JS3_TabOp[],11))</calculatedColumnFormula>
    </tableColumn>
    <tableColumn id="8" xr3:uid="{00000000-0010-0000-1700-000008000000}" name="oc">
      <calculatedColumnFormula>IF(BG30="","",IF(ISNUMBER(BJ29),BI30-BJ29,BI30))</calculatedColumnFormula>
    </tableColumn>
    <tableColumn id="9" xr3:uid="{00000000-0010-0000-1700-000009000000}" name="pr">
      <calculatedColumnFormula>IF(BG30="","",BJ30-BI30)</calculatedColumnFormula>
    </tableColumn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7" xr:uid="{00000000-000C-0000-FFFF-FFFF18000000}" name="JS3_Tab21" displayName="JS3_Tab21" ref="L29:N39" totalsRowShown="0" headerRowDxfId="49">
  <autoFilter ref="L29:N39" xr:uid="{00000000-0009-0000-0100-0000ED000000}"/>
  <sortState xmlns:xlrd2="http://schemas.microsoft.com/office/spreadsheetml/2017/richdata2" ref="L30:N39">
    <sortCondition ref="L29:L39"/>
  </sortState>
  <tableColumns count="3">
    <tableColumn id="3" xr3:uid="{00000000-0010-0000-1800-000003000000}" name="#" dataCellStyle="Normal 2"/>
    <tableColumn id="2" xr3:uid="{00000000-0010-0000-1800-000002000000}" name="Op" dataDxfId="48"/>
    <tableColumn id="1" xr3:uid="{00000000-0010-0000-1800-000001000000}" name="Job" dataDxfId="47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8" xr:uid="{00000000-000C-0000-FFFF-FFFF19000000}" name="JS3_Tab22" displayName="JS3_Tab22" ref="P29:R39" totalsRowShown="0" headerRowDxfId="46">
  <autoFilter ref="P29:R39" xr:uid="{00000000-0009-0000-0100-0000EE000000}"/>
  <sortState xmlns:xlrd2="http://schemas.microsoft.com/office/spreadsheetml/2017/richdata2" ref="P29:R38">
    <sortCondition ref="Q5:Q15"/>
  </sortState>
  <tableColumns count="3">
    <tableColumn id="3" xr3:uid="{00000000-0010-0000-1900-000003000000}" name="#" dataCellStyle="Normal 2"/>
    <tableColumn id="2" xr3:uid="{00000000-0010-0000-1900-000002000000}" name="Op"/>
    <tableColumn id="1" xr3:uid="{00000000-0010-0000-1900-000001000000}" name="Job" dataDxfId="45"/>
  </tableColumns>
  <tableStyleInfo name="TableStyleMedium9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9" xr:uid="{00000000-000C-0000-FFFF-FFFF1A000000}" name="JS3_Tab23" displayName="JS3_Tab23" ref="T29:V39" totalsRowShown="0" headerRowDxfId="44">
  <autoFilter ref="T29:V39" xr:uid="{00000000-0009-0000-0100-0000EF000000}"/>
  <sortState xmlns:xlrd2="http://schemas.microsoft.com/office/spreadsheetml/2017/richdata2" ref="T30:V39">
    <sortCondition ref="T29:T39"/>
  </sortState>
  <tableColumns count="3">
    <tableColumn id="3" xr3:uid="{00000000-0010-0000-1A00-000003000000}" name="#" dataCellStyle="Normal 2"/>
    <tableColumn id="2" xr3:uid="{00000000-0010-0000-1A00-000002000000}" name="Op"/>
    <tableColumn id="1" xr3:uid="{00000000-0010-0000-1A00-000001000000}" name="Job" dataDxfId="43"/>
  </tableColumns>
  <tableStyleInfo name="TableStyleMedium9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6" xr:uid="{00000000-000C-0000-FFFF-FFFF1B000000}" name="JS3_TabRot" displayName="JS3_TabRot" ref="F29:J40" totalsRowShown="0" headerRowDxfId="42">
  <autoFilter ref="F29:J40" xr:uid="{00000000-0009-0000-0100-00009C000000}"/>
  <sortState xmlns:xlrd2="http://schemas.microsoft.com/office/spreadsheetml/2017/richdata2" ref="F30:J40">
    <sortCondition ref="F29:F40"/>
  </sortState>
  <tableColumns count="5">
    <tableColumn id="5" xr3:uid="{00000000-0010-0000-1B00-000005000000}" name="Op"/>
    <tableColumn id="1" xr3:uid="{00000000-0010-0000-1B00-000001000000}" name="Job"/>
    <tableColumn id="2" xr3:uid="{00000000-0010-0000-1B00-000002000000}" name="Seq"/>
    <tableColumn id="3" xr3:uid="{00000000-0010-0000-1B00-000003000000}" name="Maq"/>
    <tableColumn id="4" xr3:uid="{00000000-0010-0000-1B00-000004000000}" name="p"/>
  </tableColumns>
  <tableStyleInfo name="TableStyleMedium9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5" xr:uid="{00000000-000C-0000-FFFF-FFFF1C000000}" name="JS3_TabJob" displayName="JS3_TabJob" ref="B29:D34" totalsRowShown="0" headerRowDxfId="41">
  <autoFilter ref="B29:D34" xr:uid="{00000000-0009-0000-0100-00009B000000}"/>
  <tableColumns count="3">
    <tableColumn id="1" xr3:uid="{00000000-0010-0000-1C00-000001000000}" name="Job"/>
    <tableColumn id="2" xr3:uid="{00000000-0010-0000-1C00-000002000000}" name="r"/>
    <tableColumn id="3" xr3:uid="{00000000-0010-0000-1C00-000003000000}" name="d"/>
  </tableColumns>
  <tableStyleInfo name="TableStyleMedium9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8" xr:uid="{00000000-000C-0000-FFFF-FFFF1D000000}" name="JS3_TabOp" displayName="JS3_TabOp" ref="X29:AH40" totalsRowShown="0" headerRowDxfId="40" headerRowBorderDxfId="39" tableBorderDxfId="38">
  <autoFilter ref="X29:AH40" xr:uid="{00000000-0009-0000-0100-000058000000}"/>
  <tableColumns count="11">
    <tableColumn id="1" xr3:uid="{00000000-0010-0000-1D00-000001000000}" name="Op" dataDxfId="37">
      <calculatedColumnFormula>JS3_TabRot[[#This Row],[Op]]</calculatedColumnFormula>
    </tableColumn>
    <tableColumn id="3" xr3:uid="{00000000-0010-0000-1D00-000003000000}" name="Job" dataDxfId="36"/>
    <tableColumn id="4" xr3:uid="{00000000-0010-0000-1D00-000004000000}" name="Seq" dataDxfId="35">
      <calculatedColumnFormula>JS3_TabRot[[#This Row],[Seq]]</calculatedColumnFormula>
    </tableColumn>
    <tableColumn id="2" xr3:uid="{00000000-0010-0000-1D00-000002000000}" name="Maq" dataDxfId="34">
      <calculatedColumnFormula>JS3_TabRot[[#This Row],[Maq]]</calculatedColumnFormula>
    </tableColumn>
    <tableColumn id="8" xr3:uid="{00000000-0010-0000-1D00-000008000000}" name="p" dataDxfId="33">
      <calculatedColumnFormula>JS3_TabRot[[#This Row],[p]]</calculatedColumnFormula>
    </tableColumn>
    <tableColumn id="10" xr3:uid="{00000000-0010-0000-1D00-00000A000000}" name="antR" dataDxfId="32">
      <calculatedColumnFormula>IF(Z30=1,0,X30-1)</calculatedColumnFormula>
    </tableColumn>
    <tableColumn id="11" xr3:uid="{00000000-0010-0000-1D00-00000B000000}" name="antM">
      <calculatedColumnFormula>IF(MATCH(X30,INDIRECT("JS3_Tab2"&amp;AA30&amp;"[Op]"),0)=1,0,OFFSET(INDIRECT("JS3_Tab2"&amp;AA30&amp;"[[#Cabeçalhos];[Op]]"),MATCH(X30,INDIRECT("JS3_Tab2"&amp;AA30&amp;"[Op]"),0)-1,0))</calculatedColumnFormula>
    </tableColumn>
    <tableColumn id="7" xr3:uid="{00000000-0010-0000-1D00-000007000000}" name="r" dataDxfId="31">
      <calculatedColumnFormula>IF(AC30=0,VLOOKUP(Y30,JS3_TabJob[],2),"")</calculatedColumnFormula>
    </tableColumn>
    <tableColumn id="9" xr3:uid="{00000000-0010-0000-1D00-000009000000}" name="d" dataDxfId="30">
      <calculatedColumnFormula>VLOOKUP(Y30,JS3_TabJob[],3,0)</calculatedColumnFormula>
    </tableColumn>
    <tableColumn id="5" xr3:uid="{00000000-0010-0000-1D00-000005000000}" name="ti" dataDxfId="29">
      <calculatedColumnFormula>MAX(IF(AC30=0,AE30,OFFSET($AH$29,AC30,0)),OFFSET($AH$29,AD30,0))</calculatedColumnFormula>
    </tableColumn>
    <tableColumn id="6" xr3:uid="{00000000-0010-0000-1D00-000006000000}" name="tf" dataDxfId="28">
      <calculatedColumnFormula>JS3_TabOp[[#This Row],[ti]]+JS3_TabOp[[#This Row],[p]]</calculatedColumnFormula>
    </tableColumn>
  </tableColumns>
  <tableStyleInfo name="TableStyleMedium10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E000000}" name="JS3_TabInd1" displayName="JS3_TabInd1" ref="AJ29:AN34" totalsRowShown="0" headerRowDxfId="27">
  <autoFilter ref="AJ29:AN34" xr:uid="{00000000-0009-0000-0100-000014000000}"/>
  <tableColumns count="5">
    <tableColumn id="1" xr3:uid="{00000000-0010-0000-1E00-000001000000}" name="Job">
      <calculatedColumnFormula>JS3_TabJob[[#This Row],[Job]]</calculatedColumnFormula>
    </tableColumn>
    <tableColumn id="2" xr3:uid="{00000000-0010-0000-1E00-000002000000}" name="C" dataDxfId="26">
      <calculatedColumnFormula array="1">MAX(IF(JS3_TabOp[Job]=JS3_TabInd1[[#This Row],[Job]],JS3_TabOp[tf]))</calculatedColumnFormula>
    </tableColumn>
    <tableColumn id="7" xr3:uid="{00000000-0010-0000-1E00-000007000000}" name="F" dataDxfId="25">
      <calculatedColumnFormula>AK30-C30</calculatedColumnFormula>
    </tableColumn>
    <tableColumn id="4" xr3:uid="{00000000-0010-0000-1E00-000004000000}" name="L">
      <calculatedColumnFormula>AK30-D30</calculatedColumnFormula>
    </tableColumn>
    <tableColumn id="5" xr3:uid="{00000000-0010-0000-1E00-000005000000}" name="T">
      <calculatedColumnFormula>MAX(0,AM30)</calculatedColumnFormula>
    </tableColumn>
  </tableColumns>
  <tableStyleInfo name="TableStyleMedium11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1F000000}" name="JS3_TabInd2" displayName="JS3_TabInd2" ref="AP29:AQ34" totalsRowShown="0" headerRowDxfId="24">
  <autoFilter ref="AP29:AQ34" xr:uid="{00000000-0009-0000-0100-000001000000}"/>
  <tableColumns count="2">
    <tableColumn id="1" xr3:uid="{00000000-0010-0000-1F00-000001000000}" name="Indicador"/>
    <tableColumn id="2" xr3:uid="{00000000-0010-0000-1F00-000002000000}" name="Valor" dataDxfId="23"/>
  </tableColumns>
  <tableStyleInfo name="TableStyleMedium1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20000000}" name="AS2_Tab0" displayName="AS2_Tab0" ref="B28:G33" totalsRowShown="0" headerRowDxfId="22">
  <autoFilter ref="B28:G33" xr:uid="{00000000-0009-0000-0100-000018000000}"/>
  <sortState xmlns:xlrd2="http://schemas.microsoft.com/office/spreadsheetml/2017/richdata2" ref="B22:G26">
    <sortCondition ref="C21:C26"/>
  </sortState>
  <tableColumns count="6">
    <tableColumn id="1" xr3:uid="{00000000-0010-0000-2000-000001000000}" name="#"/>
    <tableColumn id="2" xr3:uid="{00000000-0010-0000-2000-000002000000}" name="Job"/>
    <tableColumn id="3" xr3:uid="{00000000-0010-0000-2000-000003000000}" name="p1"/>
    <tableColumn id="4" xr3:uid="{00000000-0010-0000-2000-000004000000}" name="p2"/>
    <tableColumn id="6" xr3:uid="{00000000-0010-0000-2000-000006000000}" name="p12" dataCellStyle="Normal 3"/>
    <tableColumn id="5" xr3:uid="{00000000-0010-0000-2000-000005000000}" name="d"/>
  </tableColumns>
  <tableStyleInfo name="TableStyleMedium9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21000000}" name="AS2_Tab1a" displayName="AS2_Tab1a" ref="I28:K33" totalsRowShown="0" headerRowDxfId="21">
  <autoFilter ref="I28:K33" xr:uid="{00000000-0009-0000-0100-000019000000}"/>
  <tableColumns count="3">
    <tableColumn id="1" xr3:uid="{00000000-0010-0000-2100-000001000000}" name="Job">
      <calculatedColumnFormula>C29</calculatedColumnFormula>
    </tableColumn>
    <tableColumn id="2" xr3:uid="{00000000-0010-0000-2100-000002000000}" name="ti">
      <calculatedColumnFormula>IF(ISNUMBER(K28),K28,0)</calculatedColumnFormula>
    </tableColumn>
    <tableColumn id="3" xr3:uid="{00000000-0010-0000-2100-000003000000}" name="tf">
      <calculatedColumnFormula>J29+D29</calculatedColumnFormula>
    </tableColumn>
  </tableColumns>
  <tableStyleInfo name="TableStyleMedium10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22000000}" name="AS2_Tab1b" displayName="AS2_Tab1b" ref="M28:O33" totalsRowShown="0" headerRowDxfId="20">
  <autoFilter ref="M28:O33" xr:uid="{00000000-0009-0000-0100-00001A000000}"/>
  <tableColumns count="3">
    <tableColumn id="1" xr3:uid="{00000000-0010-0000-2200-000001000000}" name="Job">
      <calculatedColumnFormula>I29</calculatedColumnFormula>
    </tableColumn>
    <tableColumn id="2" xr3:uid="{00000000-0010-0000-2200-000002000000}" name="ti" dataCellStyle="Normal 3">
      <calculatedColumnFormula>IF(ISNUMBER(O28),O28,0)</calculatedColumnFormula>
    </tableColumn>
    <tableColumn id="3" xr3:uid="{00000000-0010-0000-2200-000003000000}" name="tf" dataCellStyle="Normal 3">
      <calculatedColumnFormula>N29+E29</calculatedColumnFormula>
    </tableColumn>
  </tableColumns>
  <tableStyleInfo name="TableStyleMedium10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23000000}" name="AS2_Tab2" displayName="AS2_Tab2" ref="U28:Y33" totalsRowShown="0" headerRowDxfId="19">
  <autoFilter ref="U28:Y33" xr:uid="{00000000-0009-0000-0100-00001B000000}"/>
  <tableColumns count="5">
    <tableColumn id="1" xr3:uid="{00000000-0010-0000-2300-000001000000}" name="Job">
      <calculatedColumnFormula>M29</calculatedColumnFormula>
    </tableColumn>
    <tableColumn id="2" xr3:uid="{00000000-0010-0000-2300-000002000000}" name="C">
      <calculatedColumnFormula>S29</calculatedColumnFormula>
    </tableColumn>
    <tableColumn id="3" xr3:uid="{00000000-0010-0000-2300-000003000000}" name="d">
      <calculatedColumnFormula>G29</calculatedColumnFormula>
    </tableColumn>
    <tableColumn id="4" xr3:uid="{00000000-0010-0000-2300-000004000000}" name="L">
      <calculatedColumnFormula>V29-W29</calculatedColumnFormula>
    </tableColumn>
    <tableColumn id="5" xr3:uid="{00000000-0010-0000-2300-000005000000}" name="T">
      <calculatedColumnFormula>MAX(0,X29)</calculatedColumnFormula>
    </tableColumn>
  </tableColumns>
  <tableStyleInfo name="TableStyleMedium11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24000000}" name="AS2_Tab4a" displayName="AS2_Tab4a" ref="AD28:AF33" totalsRowShown="0" headerRowDxfId="18" dataDxfId="17">
  <autoFilter ref="AD28:AF33" xr:uid="{00000000-0009-0000-0100-00001C000000}"/>
  <tableColumns count="3">
    <tableColumn id="1" xr3:uid="{00000000-0010-0000-2400-000001000000}" name="Job" dataDxfId="16" dataCellStyle="Normal 3">
      <calculatedColumnFormula>I29</calculatedColumnFormula>
    </tableColumn>
    <tableColumn id="2" xr3:uid="{00000000-0010-0000-2400-000002000000}" name="oc" dataDxfId="15" dataCellStyle="Normal 3">
      <calculatedColumnFormula>J29</calculatedColumnFormula>
    </tableColumn>
    <tableColumn id="3" xr3:uid="{00000000-0010-0000-2400-000003000000}" name="pr" dataDxfId="14" dataCellStyle="Normal 3">
      <calculatedColumnFormula>K29-J29</calculatedColumnFormula>
    </tableColumn>
  </tableColumns>
  <tableStyleInfo name="TableStyleMedium14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25000000}" name="AS2_Tab4b" displayName="AS2_Tab4b" ref="AH28:AJ33" totalsRowShown="0" headerRowDxfId="13" dataDxfId="12" dataCellStyle="Normal 3">
  <autoFilter ref="AH28:AJ33" xr:uid="{00000000-0009-0000-0100-00001D000000}"/>
  <tableColumns count="3">
    <tableColumn id="1" xr3:uid="{00000000-0010-0000-2500-000001000000}" name="Job" dataDxfId="11" dataCellStyle="Normal 3">
      <calculatedColumnFormula>M29</calculatedColumnFormula>
    </tableColumn>
    <tableColumn id="2" xr3:uid="{00000000-0010-0000-2500-000002000000}" name="oc" dataDxfId="10" dataCellStyle="Normal 3"/>
    <tableColumn id="3" xr3:uid="{00000000-0010-0000-2500-000003000000}" name="pr" dataDxfId="9" dataCellStyle="Normal 3">
      <calculatedColumnFormula>O29-N29</calculatedColumnFormula>
    </tableColumn>
  </tableColumns>
  <tableStyleInfo name="TableStyleMedium14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26000000}" name="AS2_Tab3" displayName="AS2_Tab3" ref="AA28:AB33" totalsRowShown="0" headerRowDxfId="8">
  <autoFilter ref="AA28:AB33" xr:uid="{00000000-0009-0000-0100-00001E000000}"/>
  <tableColumns count="2">
    <tableColumn id="1" xr3:uid="{00000000-0010-0000-2600-000001000000}" name="Indicador" dataDxfId="7" dataCellStyle="Normal 3"/>
    <tableColumn id="2" xr3:uid="{00000000-0010-0000-2600-000002000000}" name="Valor" dataDxfId="6"/>
  </tableColumns>
  <tableStyleInfo name="TableStyleMedium12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27000000}" name="AS2_Tab1c" displayName="AS2_Tab1c" ref="Q28:S33" totalsRowShown="0" headerRowDxfId="5">
  <autoFilter ref="Q28:S33" xr:uid="{00000000-0009-0000-0100-00001F000000}"/>
  <tableColumns count="3">
    <tableColumn id="1" xr3:uid="{00000000-0010-0000-2700-000001000000}" name="Job" dataCellStyle="Normal 3">
      <calculatedColumnFormula>M29</calculatedColumnFormula>
    </tableColumn>
    <tableColumn id="2" xr3:uid="{00000000-0010-0000-2700-000002000000}" name="ti" dataCellStyle="Normal 3">
      <calculatedColumnFormula>MAX(K29,O29,S28)</calculatedColumnFormula>
    </tableColumn>
    <tableColumn id="3" xr3:uid="{00000000-0010-0000-2700-000003000000}" name="tf" dataCellStyle="Normal 3">
      <calculatedColumnFormula>R29+F29</calculatedColumnFormula>
    </tableColumn>
  </tableColumns>
  <tableStyleInfo name="TableStyleMedium10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28000000}" name="AS2_Tab4c" displayName="AS2_Tab4c" ref="AL28:AN33" totalsRowShown="0" headerRowDxfId="4" dataDxfId="3" dataCellStyle="Normal 3">
  <autoFilter ref="AL28:AN33" xr:uid="{00000000-0009-0000-0100-000020000000}"/>
  <tableColumns count="3">
    <tableColumn id="1" xr3:uid="{00000000-0010-0000-2800-000001000000}" name="Job" dataDxfId="2" dataCellStyle="Normal 3">
      <calculatedColumnFormula>Q29</calculatedColumnFormula>
    </tableColumn>
    <tableColumn id="2" xr3:uid="{00000000-0010-0000-2800-000002000000}" name="oc" dataDxfId="1" dataCellStyle="Normal 3"/>
    <tableColumn id="3" xr3:uid="{00000000-0010-0000-2800-000003000000}" name="pr" dataDxfId="0" dataCellStyle="Normal 3">
      <calculatedColumnFormula>S29-R29</calculatedColumnFormula>
    </tableColumn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1.xml"/><Relationship Id="rId3" Type="http://schemas.openxmlformats.org/officeDocument/2006/relationships/table" Target="../tables/table6.xml"/><Relationship Id="rId7" Type="http://schemas.openxmlformats.org/officeDocument/2006/relationships/table" Target="../tables/table10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9.xml"/><Relationship Id="rId11" Type="http://schemas.openxmlformats.org/officeDocument/2006/relationships/table" Target="../tables/table14.xml"/><Relationship Id="rId5" Type="http://schemas.openxmlformats.org/officeDocument/2006/relationships/table" Target="../tables/table8.xml"/><Relationship Id="rId10" Type="http://schemas.openxmlformats.org/officeDocument/2006/relationships/table" Target="../tables/table13.xml"/><Relationship Id="rId4" Type="http://schemas.openxmlformats.org/officeDocument/2006/relationships/table" Target="../tables/table7.xml"/><Relationship Id="rId9" Type="http://schemas.openxmlformats.org/officeDocument/2006/relationships/table" Target="../tables/table1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0.xml"/><Relationship Id="rId3" Type="http://schemas.openxmlformats.org/officeDocument/2006/relationships/table" Target="../tables/table15.xml"/><Relationship Id="rId7" Type="http://schemas.openxmlformats.org/officeDocument/2006/relationships/table" Target="../tables/table19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Relationship Id="rId9" Type="http://schemas.openxmlformats.org/officeDocument/2006/relationships/table" Target="../tables/table2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7.xml"/><Relationship Id="rId13" Type="http://schemas.openxmlformats.org/officeDocument/2006/relationships/table" Target="../tables/table32.xml"/><Relationship Id="rId3" Type="http://schemas.openxmlformats.org/officeDocument/2006/relationships/table" Target="../tables/table22.xml"/><Relationship Id="rId7" Type="http://schemas.openxmlformats.org/officeDocument/2006/relationships/table" Target="../tables/table26.xml"/><Relationship Id="rId12" Type="http://schemas.openxmlformats.org/officeDocument/2006/relationships/table" Target="../tables/table31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25.xml"/><Relationship Id="rId11" Type="http://schemas.openxmlformats.org/officeDocument/2006/relationships/table" Target="../tables/table30.xml"/><Relationship Id="rId5" Type="http://schemas.openxmlformats.org/officeDocument/2006/relationships/table" Target="../tables/table24.xml"/><Relationship Id="rId10" Type="http://schemas.openxmlformats.org/officeDocument/2006/relationships/table" Target="../tables/table29.xml"/><Relationship Id="rId4" Type="http://schemas.openxmlformats.org/officeDocument/2006/relationships/table" Target="../tables/table23.xml"/><Relationship Id="rId9" Type="http://schemas.openxmlformats.org/officeDocument/2006/relationships/table" Target="../tables/table28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8.xml"/><Relationship Id="rId3" Type="http://schemas.openxmlformats.org/officeDocument/2006/relationships/table" Target="../tables/table33.xml"/><Relationship Id="rId7" Type="http://schemas.openxmlformats.org/officeDocument/2006/relationships/table" Target="../tables/table37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6" Type="http://schemas.openxmlformats.org/officeDocument/2006/relationships/table" Target="../tables/table36.xml"/><Relationship Id="rId11" Type="http://schemas.openxmlformats.org/officeDocument/2006/relationships/table" Target="../tables/table41.xml"/><Relationship Id="rId5" Type="http://schemas.openxmlformats.org/officeDocument/2006/relationships/table" Target="../tables/table35.xml"/><Relationship Id="rId10" Type="http://schemas.openxmlformats.org/officeDocument/2006/relationships/table" Target="../tables/table40.xml"/><Relationship Id="rId4" Type="http://schemas.openxmlformats.org/officeDocument/2006/relationships/table" Target="../tables/table34.xml"/><Relationship Id="rId9" Type="http://schemas.openxmlformats.org/officeDocument/2006/relationships/table" Target="../tables/table3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27"/>
  <sheetViews>
    <sheetView tabSelected="1" zoomScaleNormal="100" zoomScaleSheetLayoutView="100" workbookViewId="0">
      <selection activeCell="A2" sqref="A2"/>
    </sheetView>
  </sheetViews>
  <sheetFormatPr defaultColWidth="8.88671875" defaultRowHeight="14.4" x14ac:dyDescent="0.3"/>
  <cols>
    <col min="1" max="16" width="5.6640625" style="13" customWidth="1"/>
    <col min="17" max="17" width="20.6640625" style="13" customWidth="1"/>
    <col min="18" max="26" width="5.6640625" style="13" customWidth="1"/>
    <col min="27" max="16384" width="8.88671875" style="13"/>
  </cols>
  <sheetData>
    <row r="1" spans="1:32" s="12" customFormat="1" ht="25.8" x14ac:dyDescent="0.5">
      <c r="A1" s="10" t="s">
        <v>26</v>
      </c>
      <c r="B1" s="11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spans="1:32" x14ac:dyDescent="0.3"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spans="1:32" x14ac:dyDescent="0.3">
      <c r="D3" s="14"/>
      <c r="E3" s="14"/>
      <c r="F3" s="14"/>
    </row>
    <row r="4" spans="1:32" x14ac:dyDescent="0.3">
      <c r="B4" s="14"/>
      <c r="C4" s="14"/>
      <c r="D4" s="14"/>
      <c r="E4" s="14"/>
      <c r="F4" s="14"/>
      <c r="U4" s="15"/>
      <c r="V4" s="15"/>
      <c r="W4" s="15"/>
      <c r="X4" s="15"/>
      <c r="Y4" s="15"/>
      <c r="Z4" s="15"/>
      <c r="AA4" s="15"/>
    </row>
    <row r="5" spans="1:32" x14ac:dyDescent="0.3">
      <c r="B5" s="14"/>
      <c r="C5" s="14"/>
      <c r="D5" s="14"/>
      <c r="E5" s="14"/>
      <c r="F5" s="14"/>
      <c r="U5" s="15"/>
      <c r="V5" s="15"/>
      <c r="W5" s="15"/>
      <c r="X5" s="15"/>
      <c r="Y5" s="15"/>
      <c r="Z5" s="15"/>
      <c r="AA5" s="15"/>
    </row>
    <row r="6" spans="1:32" x14ac:dyDescent="0.3">
      <c r="B6" s="14"/>
      <c r="C6" s="14"/>
      <c r="D6" s="14"/>
      <c r="E6" s="14"/>
      <c r="F6" s="14"/>
      <c r="U6" s="15"/>
      <c r="V6" s="15"/>
      <c r="W6" s="15"/>
      <c r="X6" s="15"/>
      <c r="Y6" s="15"/>
      <c r="Z6" s="15"/>
      <c r="AA6" s="15"/>
    </row>
    <row r="7" spans="1:32" x14ac:dyDescent="0.3">
      <c r="B7" s="14"/>
      <c r="C7" s="14"/>
      <c r="D7" s="14"/>
      <c r="E7" s="14"/>
      <c r="F7" s="14"/>
    </row>
    <row r="8" spans="1:32" x14ac:dyDescent="0.3">
      <c r="B8" s="14"/>
      <c r="C8" s="14"/>
      <c r="D8" s="14"/>
      <c r="E8" s="14"/>
      <c r="F8" s="14"/>
    </row>
    <row r="9" spans="1:32" x14ac:dyDescent="0.3">
      <c r="B9" s="14"/>
      <c r="C9" s="14"/>
      <c r="D9" s="14"/>
      <c r="E9" s="14"/>
      <c r="F9" s="14"/>
    </row>
    <row r="10" spans="1:32" x14ac:dyDescent="0.3"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</row>
    <row r="11" spans="1:32" x14ac:dyDescent="0.3"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</row>
    <row r="12" spans="1:32" x14ac:dyDescent="0.3">
      <c r="B12" s="16" t="s">
        <v>24</v>
      </c>
      <c r="H12" s="15"/>
      <c r="I12" s="15"/>
      <c r="J12" s="15"/>
      <c r="K12" s="15"/>
      <c r="L12" s="15"/>
      <c r="S12" s="15"/>
      <c r="T12" s="43" t="s">
        <v>27</v>
      </c>
      <c r="U12" s="43"/>
      <c r="V12" s="43"/>
      <c r="W12" s="15"/>
      <c r="X12" s="15"/>
      <c r="Y12" s="15"/>
      <c r="Z12" s="15"/>
      <c r="AA12" s="15"/>
      <c r="AB12" s="15"/>
      <c r="AC12" s="15"/>
    </row>
    <row r="13" spans="1:32" x14ac:dyDescent="0.3">
      <c r="B13" s="15"/>
      <c r="C13" s="17"/>
      <c r="D13" s="17"/>
      <c r="E13" s="17"/>
      <c r="F13" s="17"/>
      <c r="G13" s="17"/>
      <c r="M13" s="17"/>
      <c r="N13" s="17"/>
      <c r="O13" s="17"/>
      <c r="P13" s="17"/>
      <c r="Q13" s="17"/>
      <c r="R13" s="17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</row>
    <row r="14" spans="1:32" customFormat="1" ht="13.2" x14ac:dyDescent="0.25">
      <c r="B14" s="41" t="s">
        <v>0</v>
      </c>
      <c r="C14" s="41" t="s">
        <v>1</v>
      </c>
      <c r="D14" s="41" t="s">
        <v>2</v>
      </c>
      <c r="E14" s="41" t="s">
        <v>10</v>
      </c>
      <c r="G14" s="41" t="s">
        <v>1</v>
      </c>
      <c r="H14" s="41" t="s">
        <v>12</v>
      </c>
      <c r="I14" s="41" t="s">
        <v>13</v>
      </c>
      <c r="K14" s="41" t="s">
        <v>1</v>
      </c>
      <c r="L14" s="41" t="s">
        <v>3</v>
      </c>
      <c r="M14" s="41" t="s">
        <v>10</v>
      </c>
      <c r="N14" s="41" t="s">
        <v>9</v>
      </c>
      <c r="O14" s="41" t="s">
        <v>11</v>
      </c>
      <c r="Q14" s="41" t="s">
        <v>47</v>
      </c>
      <c r="R14" s="41" t="s">
        <v>25</v>
      </c>
      <c r="T14" s="41" t="s">
        <v>1</v>
      </c>
      <c r="U14" s="41" t="s">
        <v>14</v>
      </c>
      <c r="V14" s="41" t="s">
        <v>46</v>
      </c>
    </row>
    <row r="15" spans="1:32" x14ac:dyDescent="0.3">
      <c r="B15" s="15"/>
      <c r="C15" s="15" t="s">
        <v>4</v>
      </c>
      <c r="D15" s="15">
        <v>3</v>
      </c>
      <c r="E15" s="15">
        <v>7</v>
      </c>
      <c r="F15" s="15"/>
      <c r="G15" s="15" t="str">
        <f>C15</f>
        <v>A</v>
      </c>
      <c r="H15" s="15">
        <f>IF(ISNUMBER(I14),I14,0)</f>
        <v>0</v>
      </c>
      <c r="I15" s="15">
        <f>H15+D15</f>
        <v>3</v>
      </c>
      <c r="J15" s="15"/>
      <c r="K15" s="15" t="str">
        <f>G15</f>
        <v>A</v>
      </c>
      <c r="L15" s="15">
        <f>I15</f>
        <v>3</v>
      </c>
      <c r="M15" s="15">
        <f>E15</f>
        <v>7</v>
      </c>
      <c r="N15" s="15">
        <f>L15-M15</f>
        <v>-4</v>
      </c>
      <c r="O15" s="15">
        <f>MAX(0,N15)</f>
        <v>0</v>
      </c>
      <c r="Q15" t="s">
        <v>19</v>
      </c>
      <c r="R15" s="9">
        <f>MAX(M1_Tab2[C])</f>
        <v>16</v>
      </c>
      <c r="T15" s="17" t="str">
        <f>G15</f>
        <v>A</v>
      </c>
      <c r="U15" s="35">
        <f>H15</f>
        <v>0</v>
      </c>
      <c r="V15" s="35">
        <f>I15-H15</f>
        <v>3</v>
      </c>
      <c r="W15" s="15"/>
      <c r="X15" s="15"/>
    </row>
    <row r="16" spans="1:32" x14ac:dyDescent="0.3">
      <c r="B16" s="15"/>
      <c r="C16" s="15" t="s">
        <v>5</v>
      </c>
      <c r="D16" s="15">
        <v>4</v>
      </c>
      <c r="E16" s="15">
        <v>8</v>
      </c>
      <c r="F16" s="15"/>
      <c r="G16" s="15" t="str">
        <f>C16</f>
        <v>B</v>
      </c>
      <c r="H16" s="15">
        <f>IF(ISNUMBER(I15),I15,0)</f>
        <v>3</v>
      </c>
      <c r="I16" s="15">
        <f>H16+D16</f>
        <v>7</v>
      </c>
      <c r="J16" s="15"/>
      <c r="K16" s="15" t="str">
        <f>G16</f>
        <v>B</v>
      </c>
      <c r="L16" s="15">
        <f>I16</f>
        <v>7</v>
      </c>
      <c r="M16" s="15">
        <f>E16</f>
        <v>8</v>
      </c>
      <c r="N16" s="15">
        <f>L16-M16</f>
        <v>-1</v>
      </c>
      <c r="O16" s="15">
        <f>MAX(0,N16)</f>
        <v>0</v>
      </c>
      <c r="Q16" t="s">
        <v>18</v>
      </c>
      <c r="R16" s="9">
        <f>AVERAGE(M1_Tab2[C])</f>
        <v>10</v>
      </c>
      <c r="T16" s="17" t="str">
        <f>G16</f>
        <v>B</v>
      </c>
      <c r="U16" s="35">
        <f t="shared" ref="U16:U19" si="0">H16-I15</f>
        <v>0</v>
      </c>
      <c r="V16" s="35">
        <f t="shared" ref="V16:V19" si="1">I16-H16</f>
        <v>4</v>
      </c>
      <c r="W16" s="15"/>
      <c r="X16" s="15"/>
    </row>
    <row r="17" spans="2:32" x14ac:dyDescent="0.3">
      <c r="B17" s="15"/>
      <c r="C17" s="15" t="s">
        <v>3</v>
      </c>
      <c r="D17" s="15">
        <v>2</v>
      </c>
      <c r="E17" s="15">
        <v>9</v>
      </c>
      <c r="F17" s="15"/>
      <c r="G17" s="15" t="str">
        <f>C17</f>
        <v>C</v>
      </c>
      <c r="H17" s="15">
        <f>IF(ISNUMBER(I16),I16,0)</f>
        <v>7</v>
      </c>
      <c r="I17" s="15">
        <f>H17+D17</f>
        <v>9</v>
      </c>
      <c r="J17" s="15"/>
      <c r="K17" s="15" t="str">
        <f>G17</f>
        <v>C</v>
      </c>
      <c r="L17" s="15">
        <f>I17</f>
        <v>9</v>
      </c>
      <c r="M17" s="15">
        <f>E17</f>
        <v>9</v>
      </c>
      <c r="N17" s="15">
        <f>L17-M17</f>
        <v>0</v>
      </c>
      <c r="O17" s="15">
        <f>MAX(0,N17)</f>
        <v>0</v>
      </c>
      <c r="Q17" t="s">
        <v>20</v>
      </c>
      <c r="R17" s="9">
        <f>SUM(M1_Tab2[T])</f>
        <v>15</v>
      </c>
      <c r="T17" s="17" t="str">
        <f>G17</f>
        <v>C</v>
      </c>
      <c r="U17" s="35">
        <f t="shared" si="0"/>
        <v>0</v>
      </c>
      <c r="V17" s="35">
        <f t="shared" si="1"/>
        <v>2</v>
      </c>
      <c r="W17" s="15"/>
      <c r="X17" s="15"/>
    </row>
    <row r="18" spans="2:32" x14ac:dyDescent="0.3">
      <c r="B18" s="15"/>
      <c r="C18" s="15" t="s">
        <v>6</v>
      </c>
      <c r="D18" s="15">
        <v>6</v>
      </c>
      <c r="E18" s="15">
        <v>12</v>
      </c>
      <c r="F18" s="15"/>
      <c r="G18" s="15" t="str">
        <f>C18</f>
        <v>D</v>
      </c>
      <c r="H18" s="15">
        <f>IF(ISNUMBER(I17),I17,0)</f>
        <v>9</v>
      </c>
      <c r="I18" s="15">
        <f>H18+D18</f>
        <v>15</v>
      </c>
      <c r="J18" s="15"/>
      <c r="K18" s="15" t="str">
        <f>G18</f>
        <v>D</v>
      </c>
      <c r="L18" s="15">
        <f>I18</f>
        <v>15</v>
      </c>
      <c r="M18" s="15">
        <f>E18</f>
        <v>12</v>
      </c>
      <c r="N18" s="15">
        <f>L18-M18</f>
        <v>3</v>
      </c>
      <c r="O18" s="15">
        <f>MAX(0,N18)</f>
        <v>3</v>
      </c>
      <c r="Q18" t="s">
        <v>21</v>
      </c>
      <c r="R18" s="9">
        <f>MAX(M1_Tab2[T])</f>
        <v>12</v>
      </c>
      <c r="T18" s="17" t="str">
        <f>G18</f>
        <v>D</v>
      </c>
      <c r="U18" s="35">
        <f t="shared" si="0"/>
        <v>0</v>
      </c>
      <c r="V18" s="35">
        <f t="shared" si="1"/>
        <v>6</v>
      </c>
      <c r="W18" s="15"/>
      <c r="X18" s="15"/>
    </row>
    <row r="19" spans="2:32" x14ac:dyDescent="0.3">
      <c r="B19" s="15"/>
      <c r="C19" s="15" t="s">
        <v>7</v>
      </c>
      <c r="D19" s="15">
        <v>1</v>
      </c>
      <c r="E19" s="15">
        <v>4</v>
      </c>
      <c r="F19" s="15"/>
      <c r="G19" s="15" t="str">
        <f>C19</f>
        <v>E</v>
      </c>
      <c r="H19" s="15">
        <f>IF(ISNUMBER(I18),I18,0)</f>
        <v>15</v>
      </c>
      <c r="I19" s="15">
        <f>H19+D19</f>
        <v>16</v>
      </c>
      <c r="J19" s="15"/>
      <c r="K19" s="15" t="str">
        <f>G19</f>
        <v>E</v>
      </c>
      <c r="L19" s="15">
        <f>I19</f>
        <v>16</v>
      </c>
      <c r="M19" s="15">
        <f>E19</f>
        <v>4</v>
      </c>
      <c r="N19" s="15">
        <f>L19-M19</f>
        <v>12</v>
      </c>
      <c r="O19" s="15">
        <f>MAX(0,N19)</f>
        <v>12</v>
      </c>
      <c r="Q19" t="s">
        <v>22</v>
      </c>
      <c r="R19" s="25">
        <f>COUNTIF(M1_Tab2[T],"&gt;0")</f>
        <v>2</v>
      </c>
      <c r="T19" s="17" t="str">
        <f>G19</f>
        <v>E</v>
      </c>
      <c r="U19" s="35">
        <f t="shared" si="0"/>
        <v>0</v>
      </c>
      <c r="V19" s="35">
        <f t="shared" si="1"/>
        <v>1</v>
      </c>
      <c r="W19" s="15"/>
      <c r="X19" s="15"/>
    </row>
    <row r="20" spans="2:32" x14ac:dyDescent="0.3">
      <c r="B20" s="18"/>
      <c r="C20" s="19"/>
      <c r="D20" s="18"/>
      <c r="E20" s="18"/>
      <c r="F20" s="15"/>
      <c r="G20" s="18"/>
      <c r="H20" s="18"/>
      <c r="I20" s="18"/>
      <c r="J20" s="18"/>
      <c r="K20" s="18"/>
      <c r="L20" s="18"/>
      <c r="M20" s="18"/>
      <c r="N20" s="18"/>
      <c r="O20" s="18"/>
      <c r="P20" s="15"/>
      <c r="Q20" s="20"/>
      <c r="R20" s="20"/>
      <c r="T20" s="15"/>
      <c r="U20" s="15"/>
      <c r="V20" s="15"/>
      <c r="W20" s="15"/>
      <c r="X20" s="15"/>
    </row>
    <row r="21" spans="2:32" x14ac:dyDescent="0.3"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T21" s="15"/>
      <c r="U21" s="15"/>
      <c r="V21" s="15"/>
      <c r="W21" s="15"/>
      <c r="X21" s="15"/>
    </row>
    <row r="22" spans="2:32" x14ac:dyDescent="0.3"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</row>
    <row r="23" spans="2:32" x14ac:dyDescent="0.3"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</row>
    <row r="24" spans="2:32" x14ac:dyDescent="0.3"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</row>
    <row r="25" spans="2:32" x14ac:dyDescent="0.3">
      <c r="T25" s="15"/>
      <c r="U25" s="15"/>
      <c r="V25" s="15"/>
      <c r="W25" s="15"/>
      <c r="X25" s="15"/>
      <c r="Y25" s="15"/>
      <c r="Z25" s="15"/>
      <c r="AA25" s="15"/>
      <c r="AB25" s="15"/>
      <c r="AC25" s="15"/>
    </row>
    <row r="26" spans="2:32" x14ac:dyDescent="0.3"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</row>
    <row r="27" spans="2:32" x14ac:dyDescent="0.3"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</row>
  </sheetData>
  <mergeCells count="1">
    <mergeCell ref="T12:V12"/>
  </mergeCells>
  <pageMargins left="0.78740157480314965" right="0.78740157480314965" top="0.98425196850393704" bottom="0.98425196850393704" header="0.51181102362204722" footer="0.51181102362204722"/>
  <pageSetup paperSize="9" scale="88" orientation="landscape" horizontalDpi="300" verticalDpi="300" r:id="rId1"/>
  <headerFooter alignWithMargins="0">
    <oddHeader>&amp;A</oddHeader>
    <oddFooter>Página &amp;P de &amp;N</oddFooter>
  </headerFooter>
  <ignoredErrors>
    <ignoredError sqref="U16:U19" calculatedColumn="1"/>
  </ignoredErrors>
  <drawing r:id="rId2"/>
  <tableParts count="5"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X47"/>
  <sheetViews>
    <sheetView zoomScaleNormal="100" zoomScaleSheetLayoutView="100" workbookViewId="0">
      <selection activeCell="A2" sqref="A2"/>
    </sheetView>
  </sheetViews>
  <sheetFormatPr defaultColWidth="8.88671875" defaultRowHeight="14.4" x14ac:dyDescent="0.3"/>
  <cols>
    <col min="1" max="30" width="5.6640625" style="13" customWidth="1"/>
    <col min="31" max="31" width="20.6640625" style="13" customWidth="1"/>
    <col min="32" max="44" width="5.6640625" style="13" customWidth="1"/>
    <col min="45" max="16384" width="8.88671875" style="13"/>
  </cols>
  <sheetData>
    <row r="1" spans="1:50" s="12" customFormat="1" ht="25.8" x14ac:dyDescent="0.5">
      <c r="A1" s="10" t="s">
        <v>28</v>
      </c>
      <c r="B1" s="11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3" spans="1:50" x14ac:dyDescent="0.3">
      <c r="Z3"/>
      <c r="AA3"/>
      <c r="AB3"/>
      <c r="AC3"/>
      <c r="AD3"/>
      <c r="AE3"/>
      <c r="AF3"/>
      <c r="AG3"/>
      <c r="AH3"/>
      <c r="AI3"/>
      <c r="AJ3"/>
    </row>
    <row r="4" spans="1:50" x14ac:dyDescent="0.3">
      <c r="B4" s="14"/>
      <c r="C4" s="14"/>
      <c r="D4" s="14"/>
      <c r="E4" s="14"/>
      <c r="F4" s="14"/>
      <c r="Z4"/>
      <c r="AA4"/>
      <c r="AD4" s="4"/>
      <c r="AE4" s="4"/>
      <c r="AF4" s="4"/>
      <c r="AG4" s="4"/>
      <c r="AJ4"/>
      <c r="AN4" s="15"/>
      <c r="AO4" s="15"/>
      <c r="AP4" s="15"/>
      <c r="AQ4" s="15"/>
      <c r="AR4" s="15"/>
      <c r="AS4" s="15"/>
      <c r="AT4" s="15"/>
      <c r="AU4" s="15"/>
    </row>
    <row r="5" spans="1:50" x14ac:dyDescent="0.3">
      <c r="B5" s="14"/>
      <c r="C5" s="14"/>
      <c r="D5" s="14"/>
      <c r="E5" s="14"/>
      <c r="F5" s="14"/>
      <c r="Z5"/>
      <c r="AA5"/>
      <c r="AD5" s="9"/>
      <c r="AE5" s="9"/>
      <c r="AF5" s="9"/>
      <c r="AG5" s="9"/>
      <c r="AJ5"/>
      <c r="AN5" s="15"/>
      <c r="AO5" s="15"/>
      <c r="AP5" s="15"/>
      <c r="AQ5" s="15"/>
      <c r="AR5" s="15"/>
      <c r="AS5" s="15"/>
      <c r="AT5" s="15"/>
      <c r="AU5" s="15"/>
    </row>
    <row r="6" spans="1:50" x14ac:dyDescent="0.3">
      <c r="B6" s="14"/>
      <c r="C6" s="14"/>
      <c r="D6" s="14"/>
      <c r="E6" s="14"/>
      <c r="F6" s="14"/>
      <c r="Z6"/>
      <c r="AA6"/>
      <c r="AD6" s="9"/>
      <c r="AE6" s="9"/>
      <c r="AF6" s="9"/>
      <c r="AG6" s="9"/>
      <c r="AJ6"/>
      <c r="AN6" s="15"/>
      <c r="AO6" s="15"/>
      <c r="AP6" s="15"/>
      <c r="AQ6" s="15"/>
      <c r="AR6" s="15"/>
      <c r="AS6" s="15"/>
      <c r="AT6" s="15"/>
      <c r="AU6" s="15"/>
    </row>
    <row r="7" spans="1:50" x14ac:dyDescent="0.3">
      <c r="B7" s="14"/>
      <c r="C7" s="14"/>
      <c r="D7" s="14"/>
      <c r="E7" s="14"/>
      <c r="F7" s="14"/>
      <c r="Z7"/>
      <c r="AA7"/>
      <c r="AD7" s="9"/>
      <c r="AE7" s="9"/>
      <c r="AF7" s="9"/>
      <c r="AG7" s="9"/>
      <c r="AJ7"/>
    </row>
    <row r="8" spans="1:50" x14ac:dyDescent="0.3">
      <c r="B8" s="14"/>
      <c r="C8" s="14"/>
      <c r="D8" s="14"/>
      <c r="E8" s="14"/>
      <c r="F8" s="14"/>
      <c r="Z8"/>
      <c r="AA8"/>
      <c r="AD8" s="9"/>
      <c r="AE8" s="9"/>
      <c r="AF8" s="9"/>
      <c r="AG8" s="9"/>
      <c r="AJ8"/>
    </row>
    <row r="9" spans="1:50" x14ac:dyDescent="0.3">
      <c r="B9" s="14"/>
      <c r="C9" s="14"/>
      <c r="D9" s="14"/>
      <c r="E9" s="14"/>
      <c r="F9" s="14"/>
      <c r="Z9"/>
      <c r="AA9"/>
      <c r="AD9" s="25"/>
      <c r="AE9" s="25"/>
      <c r="AF9" s="25"/>
      <c r="AG9" s="25"/>
      <c r="AJ9"/>
    </row>
    <row r="10" spans="1:50" x14ac:dyDescent="0.3">
      <c r="B10" s="14"/>
      <c r="C10" s="14"/>
      <c r="D10" s="14"/>
      <c r="E10" s="14"/>
      <c r="F10" s="14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P10" s="15"/>
      <c r="AQ10" s="15"/>
    </row>
    <row r="11" spans="1:50" x14ac:dyDescent="0.3">
      <c r="B11" s="14"/>
      <c r="C11" s="14"/>
      <c r="D11" s="14"/>
      <c r="E11" s="14"/>
      <c r="F11" s="14"/>
      <c r="AA11" s="15"/>
      <c r="AB11" s="15"/>
      <c r="AC11" s="15"/>
      <c r="AD11" s="15"/>
      <c r="AE11" s="15"/>
      <c r="AF11" s="15"/>
      <c r="AG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</row>
    <row r="12" spans="1:50" x14ac:dyDescent="0.3">
      <c r="B12" s="14"/>
      <c r="C12" s="14"/>
      <c r="D12" s="14"/>
      <c r="E12" s="14"/>
      <c r="F12" s="14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</row>
    <row r="13" spans="1:50" x14ac:dyDescent="0.3">
      <c r="B13" s="14"/>
      <c r="C13" s="14"/>
      <c r="D13" s="14"/>
      <c r="E13" s="14"/>
      <c r="F13" s="14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</row>
    <row r="14" spans="1:50" x14ac:dyDescent="0.3">
      <c r="B14" s="14"/>
      <c r="C14" s="14"/>
      <c r="D14" s="14"/>
      <c r="E14" s="14"/>
      <c r="F14" s="14"/>
      <c r="AJ14" s="15"/>
      <c r="AK14" s="15"/>
      <c r="AL14" s="15"/>
      <c r="AM14" s="15"/>
      <c r="AN14" s="15"/>
      <c r="AO14" s="15"/>
      <c r="AP14" s="15"/>
      <c r="AQ14" s="15"/>
    </row>
    <row r="15" spans="1:50" x14ac:dyDescent="0.3">
      <c r="B15" s="14"/>
      <c r="C15" s="14"/>
      <c r="D15" s="14"/>
      <c r="E15" s="14"/>
      <c r="F15" s="14"/>
      <c r="AJ15" s="15"/>
      <c r="AK15" s="15"/>
      <c r="AL15" s="15"/>
      <c r="AM15" s="15"/>
      <c r="AN15" s="15"/>
      <c r="AO15" s="15"/>
      <c r="AP15" s="15"/>
      <c r="AQ15" s="15"/>
    </row>
    <row r="16" spans="1:50" x14ac:dyDescent="0.3">
      <c r="B16" s="14"/>
      <c r="C16" s="14"/>
      <c r="D16" s="14"/>
      <c r="E16" s="14"/>
      <c r="F16" s="14"/>
      <c r="AA16" s="15"/>
      <c r="AB16" s="15"/>
      <c r="AC16" s="15"/>
      <c r="AD16" s="15"/>
      <c r="AE16" s="15"/>
      <c r="AF16" s="15"/>
      <c r="AG16" s="15"/>
      <c r="AJ16" s="15"/>
      <c r="AK16" s="15"/>
      <c r="AL16" s="15"/>
      <c r="AM16" s="15"/>
      <c r="AN16" s="15"/>
      <c r="AO16" s="15"/>
      <c r="AP16" s="15"/>
      <c r="AQ16" s="15"/>
    </row>
    <row r="17" spans="2:50" x14ac:dyDescent="0.3">
      <c r="B17" s="14"/>
      <c r="C17" s="14"/>
      <c r="D17" s="14"/>
      <c r="E17" s="14"/>
      <c r="F17" s="14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</row>
    <row r="18" spans="2:50" x14ac:dyDescent="0.3">
      <c r="B18" s="14"/>
      <c r="C18" s="14"/>
      <c r="D18" s="14"/>
      <c r="E18" s="14"/>
      <c r="F18" s="14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</row>
    <row r="19" spans="2:50" x14ac:dyDescent="0.3">
      <c r="B19" s="14"/>
      <c r="C19" s="14"/>
      <c r="D19" s="14"/>
      <c r="E19" s="14"/>
      <c r="F19" s="14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</row>
    <row r="20" spans="2:50" x14ac:dyDescent="0.3">
      <c r="B20" s="14"/>
      <c r="C20" s="14"/>
      <c r="D20" s="14"/>
      <c r="E20" s="14"/>
      <c r="F20" s="14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</row>
    <row r="21" spans="2:50" x14ac:dyDescent="0.3">
      <c r="B21" s="14"/>
      <c r="C21" s="14"/>
      <c r="D21" s="14"/>
      <c r="E21" s="14"/>
      <c r="F21" s="14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</row>
    <row r="22" spans="2:50" x14ac:dyDescent="0.3">
      <c r="B22" s="14"/>
      <c r="C22" s="14"/>
      <c r="D22" s="14"/>
      <c r="E22" s="14"/>
      <c r="F22" s="14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</row>
    <row r="23" spans="2:50" x14ac:dyDescent="0.3">
      <c r="B23" s="14"/>
      <c r="C23" s="14"/>
      <c r="D23" s="14"/>
      <c r="E23" s="14"/>
      <c r="F23" s="14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</row>
    <row r="24" spans="2:50" x14ac:dyDescent="0.3">
      <c r="B24" s="14"/>
      <c r="C24" s="14"/>
      <c r="D24" s="14"/>
      <c r="E24" s="14"/>
      <c r="F24" s="14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</row>
    <row r="25" spans="2:50" x14ac:dyDescent="0.3">
      <c r="B25" s="14"/>
      <c r="C25" s="14"/>
      <c r="D25" s="14"/>
      <c r="E25" s="14"/>
      <c r="F25" s="14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</row>
    <row r="26" spans="2:50" x14ac:dyDescent="0.3">
      <c r="B26" s="16" t="s">
        <v>17</v>
      </c>
      <c r="C26" s="16" t="s">
        <v>24</v>
      </c>
      <c r="I26" s="44" t="s">
        <v>27</v>
      </c>
      <c r="J26" s="44"/>
      <c r="K26" s="44"/>
      <c r="L26" s="44"/>
      <c r="M26" s="21"/>
      <c r="N26" s="44" t="s">
        <v>30</v>
      </c>
      <c r="O26" s="44"/>
      <c r="P26" s="44"/>
      <c r="Q26" s="44"/>
      <c r="R26" s="21"/>
      <c r="S26" s="44" t="s">
        <v>31</v>
      </c>
      <c r="T26" s="44"/>
      <c r="U26" s="44"/>
      <c r="V26" s="44"/>
      <c r="W26" s="21"/>
      <c r="X26" s="21"/>
      <c r="Y26" s="21"/>
      <c r="AH26" s="43" t="s">
        <v>27</v>
      </c>
      <c r="AI26" s="43"/>
      <c r="AJ26" s="43"/>
      <c r="AK26" s="15"/>
      <c r="AL26" s="43" t="s">
        <v>30</v>
      </c>
      <c r="AM26" s="43"/>
      <c r="AN26" s="43"/>
      <c r="AO26" s="15"/>
      <c r="AP26" s="43" t="s">
        <v>31</v>
      </c>
      <c r="AQ26" s="43"/>
      <c r="AR26" s="43"/>
    </row>
    <row r="27" spans="2:50" x14ac:dyDescent="0.3">
      <c r="B27" s="22"/>
      <c r="C27" s="22"/>
      <c r="D27" s="17"/>
      <c r="E27" s="17"/>
      <c r="F27" s="17"/>
      <c r="G27" s="17"/>
      <c r="M27" s="17"/>
      <c r="S27" s="17"/>
      <c r="T27" s="17"/>
      <c r="Y27" s="17"/>
      <c r="Z27" s="17"/>
      <c r="AA27" s="17"/>
      <c r="AB27" s="17"/>
      <c r="AC27" s="17"/>
      <c r="AD27" s="23"/>
      <c r="AE27" s="23"/>
      <c r="AF27" s="23"/>
      <c r="AG27" s="23"/>
      <c r="AH27" s="15"/>
      <c r="AI27" s="15"/>
      <c r="AJ27" s="15"/>
      <c r="AK27" s="15"/>
      <c r="AL27" s="15"/>
      <c r="AM27" s="15"/>
      <c r="AN27" s="15"/>
      <c r="AP27" s="15"/>
      <c r="AQ27" s="15"/>
      <c r="AR27" s="15"/>
    </row>
    <row r="28" spans="2:50" customFormat="1" ht="13.2" x14ac:dyDescent="0.25">
      <c r="B28" s="41" t="s">
        <v>29</v>
      </c>
      <c r="C28" s="41" t="s">
        <v>0</v>
      </c>
      <c r="D28" s="41" t="s">
        <v>23</v>
      </c>
      <c r="E28" s="41" t="s">
        <v>1</v>
      </c>
      <c r="F28" s="41" t="s">
        <v>2</v>
      </c>
      <c r="G28" s="41" t="s">
        <v>10</v>
      </c>
      <c r="I28" s="41" t="s">
        <v>23</v>
      </c>
      <c r="J28" s="41" t="s">
        <v>1</v>
      </c>
      <c r="K28" s="41" t="s">
        <v>12</v>
      </c>
      <c r="L28" s="41" t="s">
        <v>13</v>
      </c>
      <c r="N28" s="41" t="s">
        <v>23</v>
      </c>
      <c r="O28" s="41" t="s">
        <v>1</v>
      </c>
      <c r="P28" s="41" t="s">
        <v>12</v>
      </c>
      <c r="Q28" s="41" t="s">
        <v>13</v>
      </c>
      <c r="S28" s="41" t="s">
        <v>23</v>
      </c>
      <c r="T28" s="41" t="s">
        <v>1</v>
      </c>
      <c r="U28" s="41" t="s">
        <v>12</v>
      </c>
      <c r="V28" s="41" t="s">
        <v>13</v>
      </c>
      <c r="X28" s="41" t="s">
        <v>23</v>
      </c>
      <c r="Y28" s="41" t="s">
        <v>1</v>
      </c>
      <c r="Z28" s="41" t="s">
        <v>3</v>
      </c>
      <c r="AA28" s="41" t="s">
        <v>10</v>
      </c>
      <c r="AB28" s="41" t="s">
        <v>9</v>
      </c>
      <c r="AC28" s="41" t="s">
        <v>11</v>
      </c>
      <c r="AE28" s="41" t="s">
        <v>47</v>
      </c>
      <c r="AF28" s="41" t="s">
        <v>25</v>
      </c>
      <c r="AH28" s="41" t="s">
        <v>1</v>
      </c>
      <c r="AI28" s="41" t="s">
        <v>14</v>
      </c>
      <c r="AJ28" s="41" t="s">
        <v>46</v>
      </c>
      <c r="AL28" s="41" t="s">
        <v>1</v>
      </c>
      <c r="AM28" s="41" t="s">
        <v>14</v>
      </c>
      <c r="AN28" s="41" t="s">
        <v>46</v>
      </c>
      <c r="AP28" s="41" t="s">
        <v>1</v>
      </c>
      <c r="AQ28" s="41" t="s">
        <v>14</v>
      </c>
      <c r="AR28" s="41" t="s">
        <v>46</v>
      </c>
    </row>
    <row r="29" spans="2:50" x14ac:dyDescent="0.3">
      <c r="B29" s="13">
        <v>1</v>
      </c>
      <c r="C29" s="13">
        <v>1</v>
      </c>
      <c r="D29" s="15">
        <f>B29*100+C29</f>
        <v>101</v>
      </c>
      <c r="E29" s="15" t="s">
        <v>4</v>
      </c>
      <c r="F29" s="15">
        <v>4</v>
      </c>
      <c r="G29" s="15">
        <v>20</v>
      </c>
      <c r="H29" s="15"/>
      <c r="I29" s="15">
        <v>101</v>
      </c>
      <c r="J29" s="15" t="str">
        <f>IF(ISERROR(VLOOKUP(I29,MP3_Tab0[[Op]:[Job]],2,0)),"",VLOOKUP(I29,MP3_Tab0[[Op]:[Job]],2,0))</f>
        <v>A</v>
      </c>
      <c r="K29" s="15">
        <f>IF(J29="","",IF(ISNUMBER(L28),L28,0))</f>
        <v>0</v>
      </c>
      <c r="L29" s="15">
        <f>IF(J29="","",K29+VLOOKUP(I29,MP3_Tab0[[Op]:[p]],3,0))</f>
        <v>4</v>
      </c>
      <c r="M29" s="15"/>
      <c r="N29" s="15">
        <v>201</v>
      </c>
      <c r="O29" s="15" t="str">
        <f>IF(ISERROR(VLOOKUP(N29,MP3_Tab0[[Op]:[Job]],2,0)),"",VLOOKUP(N29,MP3_Tab0[[Op]:[Job]],2,0))</f>
        <v>D</v>
      </c>
      <c r="P29" s="15">
        <f>IF(O29="","",IF(ISNUMBER(Q28),Q28,0))</f>
        <v>0</v>
      </c>
      <c r="Q29" s="15">
        <f>IF(O29="","",P29+VLOOKUP(N29,MP3_Tab0[[Op]:[p]],3,0))</f>
        <v>12</v>
      </c>
      <c r="R29" s="15"/>
      <c r="S29" s="15">
        <v>301</v>
      </c>
      <c r="T29" s="15" t="str">
        <f>IF(ISERROR(VLOOKUP(S29,MP3_Tab0[[Op]:[Job]],2,0)),"",VLOOKUP(S29,MP3_Tab0[[Op]:[Job]],2,0))</f>
        <v>F</v>
      </c>
      <c r="U29" s="15">
        <f>IF(T29="","",IF(ISNUMBER(V28),V28,0))</f>
        <v>0</v>
      </c>
      <c r="V29" s="15">
        <f>IF(T29="","",U29+VLOOKUP(S29,MP3_Tab0[[Op]:[p]],3,0))</f>
        <v>1</v>
      </c>
      <c r="W29" s="15"/>
      <c r="X29" s="15">
        <f t="shared" ref="X29:X38" si="0">D29</f>
        <v>101</v>
      </c>
      <c r="Y29" s="15" t="str">
        <f>VLOOKUP(X29,MP3_Tab0[[Op]:[Job]],2,0)</f>
        <v>A</v>
      </c>
      <c r="Z29" s="15" cm="1">
        <f t="array" aca="1" ref="Z29" ca="1">INDEX(INDIRECT("MP3_TabM"&amp;B29),C29,4)</f>
        <v>4</v>
      </c>
      <c r="AA29" s="15">
        <f t="shared" ref="AA29:AA38" si="1">G29</f>
        <v>20</v>
      </c>
      <c r="AB29" s="15">
        <f t="shared" ref="AB29:AB38" ca="1" si="2">Z29-AA29</f>
        <v>-16</v>
      </c>
      <c r="AC29" s="15">
        <f t="shared" ref="AC29:AC38" ca="1" si="3">MAX(0,AB29)</f>
        <v>0</v>
      </c>
      <c r="AD29" s="15"/>
      <c r="AE29" t="s">
        <v>19</v>
      </c>
      <c r="AF29" s="9">
        <f ca="1">MAX(MP3_Tab2[C])</f>
        <v>27</v>
      </c>
      <c r="AG29" s="15"/>
      <c r="AH29" s="17" t="str">
        <f>IF(J29="","",J29)</f>
        <v>A</v>
      </c>
      <c r="AI29" s="37">
        <f>IF(K29="","",K29)</f>
        <v>0</v>
      </c>
      <c r="AJ29" s="37">
        <f t="shared" ref="AJ29:AJ38" si="4">IF(L29="","",L29-K29)</f>
        <v>4</v>
      </c>
      <c r="AL29" s="37" t="str">
        <f t="shared" ref="AL29:AL38" si="5">IF(O29="","",O29)</f>
        <v>D</v>
      </c>
      <c r="AM29" s="37">
        <f>IF(P29="","",P29)</f>
        <v>0</v>
      </c>
      <c r="AN29" s="37">
        <f>IF(Q29="","",Q29-P29)</f>
        <v>12</v>
      </c>
      <c r="AP29" s="37" t="str">
        <f t="shared" ref="AP29:AP38" si="6">IF(T29="","",T29)</f>
        <v>F</v>
      </c>
      <c r="AQ29" s="37">
        <f>IF(U29="","",U29)</f>
        <v>0</v>
      </c>
      <c r="AR29" s="37">
        <f t="shared" ref="AR29:AR38" si="7">IF(V29="","",V29-U29)</f>
        <v>1</v>
      </c>
    </row>
    <row r="30" spans="2:50" x14ac:dyDescent="0.3">
      <c r="B30" s="13">
        <v>1</v>
      </c>
      <c r="C30" s="13">
        <v>2</v>
      </c>
      <c r="D30" s="15">
        <f>B30*100+C30</f>
        <v>102</v>
      </c>
      <c r="E30" s="15" t="s">
        <v>5</v>
      </c>
      <c r="F30" s="15">
        <v>2</v>
      </c>
      <c r="G30" s="15">
        <v>20</v>
      </c>
      <c r="H30" s="15"/>
      <c r="I30" s="15">
        <v>102</v>
      </c>
      <c r="J30" s="15" t="str">
        <f>IF(ISERROR(VLOOKUP(I30,MP3_Tab0[[Op]:[Job]],2,0)),"",VLOOKUP(I30,MP3_Tab0[[Op]:[Job]],2,0))</f>
        <v>B</v>
      </c>
      <c r="K30" s="15">
        <f>IF(J30="","",IF(ISNUMBER(L29),L29,0))</f>
        <v>4</v>
      </c>
      <c r="L30" s="15">
        <f>IF(J30="","",K30+VLOOKUP(I30,MP3_Tab0[[Op]:[p]],3,0))</f>
        <v>6</v>
      </c>
      <c r="M30" s="15"/>
      <c r="N30" s="15">
        <v>202</v>
      </c>
      <c r="O30" s="15" t="str">
        <f>IF(ISERROR(VLOOKUP(N30,MP3_Tab0[[Op]:[Job]],2,0)),"",VLOOKUP(N30,MP3_Tab0[[Op]:[Job]],2,0))</f>
        <v>E</v>
      </c>
      <c r="P30" s="15">
        <f>IF(O30="","",IF(ISNUMBER(Q29),Q29,0))</f>
        <v>12</v>
      </c>
      <c r="Q30" s="15">
        <f>IF(O30="","",P30+VLOOKUP(N30,MP3_Tab0[[Op]:[p]],3,0))</f>
        <v>27</v>
      </c>
      <c r="R30" s="15"/>
      <c r="S30" s="15">
        <v>302</v>
      </c>
      <c r="T30" s="15" t="str">
        <f>IF(ISERROR(VLOOKUP(S30,MP3_Tab0[[Op]:[Job]],2,0)),"",VLOOKUP(S30,MP3_Tab0[[Op]:[Job]],2,0))</f>
        <v>G</v>
      </c>
      <c r="U30" s="15">
        <f>IF(T30="","",IF(ISNUMBER(V29),V29,0))</f>
        <v>1</v>
      </c>
      <c r="V30" s="15">
        <f>IF(T30="","",U30+VLOOKUP(S30,MP3_Tab0[[Op]:[p]],3,0))</f>
        <v>6</v>
      </c>
      <c r="W30" s="15"/>
      <c r="X30" s="15">
        <f t="shared" si="0"/>
        <v>102</v>
      </c>
      <c r="Y30" s="15" t="str">
        <f>VLOOKUP(X30,MP3_Tab0[[Op]:[Job]],2,0)</f>
        <v>B</v>
      </c>
      <c r="Z30" s="15" cm="1">
        <f t="array" aca="1" ref="Z30" ca="1">INDEX(INDIRECT("MP3_TabM"&amp;B30),C30,4)</f>
        <v>6</v>
      </c>
      <c r="AA30" s="15">
        <f t="shared" si="1"/>
        <v>20</v>
      </c>
      <c r="AB30" s="15">
        <f t="shared" ca="1" si="2"/>
        <v>-14</v>
      </c>
      <c r="AC30" s="15">
        <f t="shared" ca="1" si="3"/>
        <v>0</v>
      </c>
      <c r="AD30" s="15"/>
      <c r="AE30" t="s">
        <v>18</v>
      </c>
      <c r="AF30" s="9">
        <f ca="1">AVERAGE(MP3_Tab2[C])</f>
        <v>10.5</v>
      </c>
      <c r="AG30" s="15"/>
      <c r="AH30" s="37" t="str">
        <f t="shared" ref="AH30:AH38" si="8">IF(J30="","",J30)</f>
        <v>B</v>
      </c>
      <c r="AI30" s="37">
        <f t="shared" ref="AI30:AI38" si="9">IF(K30="","",K30-L29)</f>
        <v>0</v>
      </c>
      <c r="AJ30" s="37">
        <f t="shared" si="4"/>
        <v>2</v>
      </c>
      <c r="AL30" s="37" t="str">
        <f t="shared" si="5"/>
        <v>E</v>
      </c>
      <c r="AM30" s="37">
        <f>IF(P30="","",P30-Q29)</f>
        <v>0</v>
      </c>
      <c r="AN30" s="37">
        <f t="shared" ref="AN30:AN38" si="10">IF(Q30="","",Q30-P30)</f>
        <v>15</v>
      </c>
      <c r="AP30" s="37" t="str">
        <f t="shared" si="6"/>
        <v>G</v>
      </c>
      <c r="AQ30" s="37">
        <f>IF(U30="","",U30-V29)</f>
        <v>0</v>
      </c>
      <c r="AR30" s="37">
        <f t="shared" si="7"/>
        <v>5</v>
      </c>
    </row>
    <row r="31" spans="2:50" x14ac:dyDescent="0.3">
      <c r="B31" s="13">
        <v>1</v>
      </c>
      <c r="C31" s="13">
        <v>3</v>
      </c>
      <c r="D31" s="15">
        <f>B31*100+C31</f>
        <v>103</v>
      </c>
      <c r="E31" s="15" t="s">
        <v>3</v>
      </c>
      <c r="F31" s="15">
        <v>9</v>
      </c>
      <c r="G31" s="15">
        <v>20</v>
      </c>
      <c r="H31" s="15"/>
      <c r="I31" s="15">
        <v>103</v>
      </c>
      <c r="J31" s="15" t="str">
        <f>IF(ISERROR(VLOOKUP(I31,MP3_Tab0[[Op]:[Job]],2,0)),"",VLOOKUP(I31,MP3_Tab0[[Op]:[Job]],2,0))</f>
        <v>C</v>
      </c>
      <c r="K31" s="15">
        <f t="shared" ref="K31:K38" si="11">IF(J31="","",IF(ISNUMBER(L30),L30,0))</f>
        <v>6</v>
      </c>
      <c r="L31" s="15">
        <f>IF(J31="","",K31+VLOOKUP(I31,MP3_Tab0[[Op]:[p]],3,0))</f>
        <v>15</v>
      </c>
      <c r="M31" s="15"/>
      <c r="N31" s="15">
        <v>203</v>
      </c>
      <c r="O31" s="15" t="str">
        <f>IF(ISERROR(VLOOKUP(N31,MP3_Tab0[[Op]:[Job]],2,0)),"",VLOOKUP(N31,MP3_Tab0[[Op]:[Job]],2,0))</f>
        <v/>
      </c>
      <c r="P31" s="15" t="str">
        <f t="shared" ref="P31:P38" si="12">IF(O31="","",IF(ISNUMBER(Q30),Q30,0))</f>
        <v/>
      </c>
      <c r="Q31" s="15" t="str">
        <f>IF(O31="","",P31+VLOOKUP(N31,MP3_Tab0[[Op]:[p]],3,0))</f>
        <v/>
      </c>
      <c r="R31" s="15"/>
      <c r="S31" s="15">
        <v>303</v>
      </c>
      <c r="T31" s="15" t="str">
        <f>IF(ISERROR(VLOOKUP(S31,MP3_Tab0[[Op]:[Job]],2,0)),"",VLOOKUP(S31,MP3_Tab0[[Op]:[Job]],2,0))</f>
        <v>H</v>
      </c>
      <c r="U31" s="15">
        <f t="shared" ref="U31:U38" si="13">IF(T31="","",IF(ISNUMBER(V30),V30,0))</f>
        <v>6</v>
      </c>
      <c r="V31" s="15">
        <f>IF(T31="","",U31+VLOOKUP(S31,MP3_Tab0[[Op]:[p]],3,0))</f>
        <v>7</v>
      </c>
      <c r="W31" s="15"/>
      <c r="X31" s="15">
        <f t="shared" si="0"/>
        <v>103</v>
      </c>
      <c r="Y31" s="15" t="str">
        <f>VLOOKUP(X31,MP3_Tab0[[Op]:[Job]],2,0)</f>
        <v>C</v>
      </c>
      <c r="Z31" s="15" cm="1">
        <f t="array" aca="1" ref="Z31" ca="1">INDEX(INDIRECT("MP3_TabM"&amp;B31),C31,4)</f>
        <v>15</v>
      </c>
      <c r="AA31" s="15">
        <f t="shared" si="1"/>
        <v>20</v>
      </c>
      <c r="AB31" s="15">
        <f t="shared" ca="1" si="2"/>
        <v>-5</v>
      </c>
      <c r="AC31" s="15">
        <f t="shared" ca="1" si="3"/>
        <v>0</v>
      </c>
      <c r="AD31" s="15"/>
      <c r="AE31" t="s">
        <v>20</v>
      </c>
      <c r="AF31" s="9">
        <f ca="1">SUM(MP3_Tab2[T])</f>
        <v>7</v>
      </c>
      <c r="AG31" s="15"/>
      <c r="AH31" s="37" t="str">
        <f t="shared" si="8"/>
        <v>C</v>
      </c>
      <c r="AI31" s="37">
        <f t="shared" si="9"/>
        <v>0</v>
      </c>
      <c r="AJ31" s="37">
        <f t="shared" si="4"/>
        <v>9</v>
      </c>
      <c r="AL31" s="37" t="str">
        <f t="shared" si="5"/>
        <v/>
      </c>
      <c r="AM31" s="37" t="str">
        <f t="shared" ref="AM31:AM38" si="14">IF(P31="","",P31-Q30)</f>
        <v/>
      </c>
      <c r="AN31" s="37" t="str">
        <f t="shared" si="10"/>
        <v/>
      </c>
      <c r="AP31" s="37" t="str">
        <f t="shared" si="6"/>
        <v>H</v>
      </c>
      <c r="AQ31" s="37">
        <f t="shared" ref="AQ31:AQ38" si="15">IF(U31="","",U31-V30)</f>
        <v>0</v>
      </c>
      <c r="AR31" s="37">
        <f t="shared" si="7"/>
        <v>1</v>
      </c>
    </row>
    <row r="32" spans="2:50" x14ac:dyDescent="0.3">
      <c r="B32" s="13">
        <v>2</v>
      </c>
      <c r="C32" s="13">
        <v>1</v>
      </c>
      <c r="D32" s="15">
        <f>B32*100+C32</f>
        <v>201</v>
      </c>
      <c r="E32" s="15" t="s">
        <v>6</v>
      </c>
      <c r="F32" s="15">
        <v>12</v>
      </c>
      <c r="G32" s="15">
        <v>20</v>
      </c>
      <c r="H32" s="15"/>
      <c r="I32" s="15">
        <v>104</v>
      </c>
      <c r="J32" s="15" t="str">
        <f>IF(ISERROR(VLOOKUP(I32,MP3_Tab0[[Op]:[Job]],2,0)),"",VLOOKUP(I32,MP3_Tab0[[Op]:[Job]],2,0))</f>
        <v/>
      </c>
      <c r="K32" s="15" t="str">
        <f t="shared" si="11"/>
        <v/>
      </c>
      <c r="L32" s="15" t="str">
        <f>IF(J32="","",K32+VLOOKUP(I32,MP3_Tab0[[Op]:[p]],3,0))</f>
        <v/>
      </c>
      <c r="M32" s="15"/>
      <c r="N32" s="15">
        <v>204</v>
      </c>
      <c r="O32" s="15" t="str">
        <f>IF(ISERROR(VLOOKUP(N32,MP3_Tab0[[Op]:[Job]],2,0)),"",VLOOKUP(N32,MP3_Tab0[[Op]:[Job]],2,0))</f>
        <v/>
      </c>
      <c r="P32" s="15" t="str">
        <f t="shared" si="12"/>
        <v/>
      </c>
      <c r="Q32" s="15" t="str">
        <f>IF(O32="","",P32+VLOOKUP(N32,MP3_Tab0[[Op]:[p]],3,0))</f>
        <v/>
      </c>
      <c r="R32" s="15"/>
      <c r="S32" s="15">
        <v>304</v>
      </c>
      <c r="T32" s="15" t="str">
        <f>IF(ISERROR(VLOOKUP(S32,MP3_Tab0[[Op]:[Job]],2,0)),"",VLOOKUP(S32,MP3_Tab0[[Op]:[Job]],2,0))</f>
        <v>I</v>
      </c>
      <c r="U32" s="15">
        <f t="shared" si="13"/>
        <v>7</v>
      </c>
      <c r="V32" s="15">
        <f>IF(T32="","",U32+VLOOKUP(S32,MP3_Tab0[[Op]:[p]],3,0))</f>
        <v>10</v>
      </c>
      <c r="W32" s="15"/>
      <c r="X32" s="15">
        <f t="shared" si="0"/>
        <v>201</v>
      </c>
      <c r="Y32" s="15" t="str">
        <f>VLOOKUP(X32,MP3_Tab0[[Op]:[Job]],2,0)</f>
        <v>D</v>
      </c>
      <c r="Z32" s="15" cm="1">
        <f t="array" aca="1" ref="Z32" ca="1">INDEX(INDIRECT("MP3_TabM"&amp;B32),C32,4)</f>
        <v>12</v>
      </c>
      <c r="AA32" s="15">
        <f t="shared" si="1"/>
        <v>20</v>
      </c>
      <c r="AB32" s="15">
        <f t="shared" ca="1" si="2"/>
        <v>-8</v>
      </c>
      <c r="AC32" s="15">
        <f t="shared" ca="1" si="3"/>
        <v>0</v>
      </c>
      <c r="AD32" s="15"/>
      <c r="AE32" t="s">
        <v>21</v>
      </c>
      <c r="AF32" s="9">
        <f ca="1">MAX(MP3_Tab2[T])</f>
        <v>7</v>
      </c>
      <c r="AG32" s="15"/>
      <c r="AH32" s="37" t="str">
        <f t="shared" si="8"/>
        <v/>
      </c>
      <c r="AI32" s="37" t="str">
        <f t="shared" si="9"/>
        <v/>
      </c>
      <c r="AJ32" s="37" t="str">
        <f t="shared" si="4"/>
        <v/>
      </c>
      <c r="AL32" s="37" t="str">
        <f t="shared" si="5"/>
        <v/>
      </c>
      <c r="AM32" s="37" t="str">
        <f t="shared" si="14"/>
        <v/>
      </c>
      <c r="AN32" s="37" t="str">
        <f t="shared" si="10"/>
        <v/>
      </c>
      <c r="AP32" s="37" t="str">
        <f t="shared" si="6"/>
        <v>I</v>
      </c>
      <c r="AQ32" s="37">
        <f t="shared" si="15"/>
        <v>0</v>
      </c>
      <c r="AR32" s="37">
        <f t="shared" si="7"/>
        <v>3</v>
      </c>
    </row>
    <row r="33" spans="1:44" x14ac:dyDescent="0.3">
      <c r="B33" s="15">
        <v>2</v>
      </c>
      <c r="C33" s="13">
        <v>2</v>
      </c>
      <c r="D33" s="15">
        <f>B33*100+C33</f>
        <v>202</v>
      </c>
      <c r="E33" s="15" t="s">
        <v>7</v>
      </c>
      <c r="F33" s="15">
        <v>15</v>
      </c>
      <c r="G33" s="15">
        <v>20</v>
      </c>
      <c r="H33" s="15"/>
      <c r="I33" s="15">
        <v>105</v>
      </c>
      <c r="J33" s="15" t="str">
        <f>IF(ISERROR(VLOOKUP(I33,MP3_Tab0[[Op]:[Job]],2,0)),"",VLOOKUP(I33,MP3_Tab0[[Op]:[Job]],2,0))</f>
        <v/>
      </c>
      <c r="K33" s="15" t="str">
        <f t="shared" si="11"/>
        <v/>
      </c>
      <c r="L33" s="15" t="str">
        <f>IF(J33="","",K33+VLOOKUP(I33,MP3_Tab0[[Op]:[p]],3,0))</f>
        <v/>
      </c>
      <c r="M33" s="15"/>
      <c r="N33" s="15">
        <v>205</v>
      </c>
      <c r="O33" s="15" t="str">
        <f>IF(ISERROR(VLOOKUP(N33,MP3_Tab0[[Op]:[Job]],2,0)),"",VLOOKUP(N33,MP3_Tab0[[Op]:[Job]],2,0))</f>
        <v/>
      </c>
      <c r="P33" s="15" t="str">
        <f t="shared" si="12"/>
        <v/>
      </c>
      <c r="Q33" s="15" t="str">
        <f>IF(O33="","",P33+VLOOKUP(N33,MP3_Tab0[[Op]:[p]],3,0))</f>
        <v/>
      </c>
      <c r="R33" s="15"/>
      <c r="S33" s="15">
        <v>305</v>
      </c>
      <c r="T33" s="15" t="str">
        <f>IF(ISERROR(VLOOKUP(S33,MP3_Tab0[[Op]:[Job]],2,0)),"",VLOOKUP(S33,MP3_Tab0[[Op]:[Job]],2,0))</f>
        <v>J</v>
      </c>
      <c r="U33" s="15">
        <f t="shared" si="13"/>
        <v>10</v>
      </c>
      <c r="V33" s="15">
        <f>IF(T33="","",U33+VLOOKUP(S33,MP3_Tab0[[Op]:[p]],3,0))</f>
        <v>17</v>
      </c>
      <c r="W33" s="15"/>
      <c r="X33" s="15">
        <f t="shared" si="0"/>
        <v>202</v>
      </c>
      <c r="Y33" s="15" t="str">
        <f>VLOOKUP(X33,MP3_Tab0[[Op]:[Job]],2,0)</f>
        <v>E</v>
      </c>
      <c r="Z33" s="15" cm="1">
        <f t="array" aca="1" ref="Z33" ca="1">INDEX(INDIRECT("MP3_TabM"&amp;B33),C33,4)</f>
        <v>27</v>
      </c>
      <c r="AA33" s="15">
        <f t="shared" si="1"/>
        <v>20</v>
      </c>
      <c r="AB33" s="15">
        <f t="shared" ca="1" si="2"/>
        <v>7</v>
      </c>
      <c r="AC33" s="15">
        <f t="shared" ca="1" si="3"/>
        <v>7</v>
      </c>
      <c r="AD33" s="15"/>
      <c r="AE33" t="s">
        <v>22</v>
      </c>
      <c r="AF33" s="25">
        <f ca="1">COUNTIF(MP3_Tab2[T],"&gt;0")</f>
        <v>1</v>
      </c>
      <c r="AG33" s="15"/>
      <c r="AH33" s="37" t="str">
        <f t="shared" si="8"/>
        <v/>
      </c>
      <c r="AI33" s="37" t="str">
        <f t="shared" si="9"/>
        <v/>
      </c>
      <c r="AJ33" s="37" t="str">
        <f t="shared" si="4"/>
        <v/>
      </c>
      <c r="AL33" s="37" t="str">
        <f t="shared" si="5"/>
        <v/>
      </c>
      <c r="AM33" s="37" t="str">
        <f t="shared" si="14"/>
        <v/>
      </c>
      <c r="AN33" s="37" t="str">
        <f t="shared" si="10"/>
        <v/>
      </c>
      <c r="AP33" s="37" t="str">
        <f t="shared" si="6"/>
        <v>J</v>
      </c>
      <c r="AQ33" s="37">
        <f t="shared" si="15"/>
        <v>0</v>
      </c>
      <c r="AR33" s="37">
        <f t="shared" si="7"/>
        <v>7</v>
      </c>
    </row>
    <row r="34" spans="1:44" x14ac:dyDescent="0.3">
      <c r="B34" s="15">
        <v>3</v>
      </c>
      <c r="C34" s="13">
        <v>1</v>
      </c>
      <c r="D34" s="15">
        <f>B34*100+C34</f>
        <v>301</v>
      </c>
      <c r="E34" s="15" t="s">
        <v>8</v>
      </c>
      <c r="F34" s="15">
        <v>1</v>
      </c>
      <c r="G34" s="13">
        <v>20</v>
      </c>
      <c r="I34" s="15">
        <v>106</v>
      </c>
      <c r="J34" s="15" t="str">
        <f>IF(ISERROR(VLOOKUP(I34,MP3_Tab0[[Op]:[Job]],2,0)),"",VLOOKUP(I34,MP3_Tab0[[Op]:[Job]],2,0))</f>
        <v/>
      </c>
      <c r="K34" s="15" t="str">
        <f t="shared" si="11"/>
        <v/>
      </c>
      <c r="L34" s="15" t="str">
        <f>IF(J34="","",K34+VLOOKUP(I34,MP3_Tab0[[Op]:[p]],3,0))</f>
        <v/>
      </c>
      <c r="N34" s="15">
        <v>206</v>
      </c>
      <c r="O34" s="15" t="str">
        <f>IF(ISERROR(VLOOKUP(N34,MP3_Tab0[[Op]:[Job]],2,0)),"",VLOOKUP(N34,MP3_Tab0[[Op]:[Job]],2,0))</f>
        <v/>
      </c>
      <c r="P34" s="15" t="str">
        <f t="shared" si="12"/>
        <v/>
      </c>
      <c r="Q34" s="15" t="str">
        <f>IF(O34="","",P34+VLOOKUP(N34,MP3_Tab0[[Op]:[p]],3,0))</f>
        <v/>
      </c>
      <c r="S34" s="15">
        <v>306</v>
      </c>
      <c r="T34" s="15" t="str">
        <f>IF(ISERROR(VLOOKUP(S34,MP3_Tab0[[Op]:[Job]],2,0)),"",VLOOKUP(S34,MP3_Tab0[[Op]:[Job]],2,0))</f>
        <v/>
      </c>
      <c r="U34" s="15" t="str">
        <f t="shared" si="13"/>
        <v/>
      </c>
      <c r="V34" s="15" t="str">
        <f>IF(T34="","",U34+VLOOKUP(S34,MP3_Tab0[[Op]:[p]],3,0))</f>
        <v/>
      </c>
      <c r="X34" s="15">
        <f t="shared" si="0"/>
        <v>301</v>
      </c>
      <c r="Y34" s="15" t="str">
        <f>VLOOKUP(X34,MP3_Tab0[[Op]:[Job]],2,0)</f>
        <v>F</v>
      </c>
      <c r="Z34" s="15" cm="1">
        <f t="array" aca="1" ref="Z34" ca="1">INDEX(INDIRECT("MP3_TabM"&amp;B34),C34,4)</f>
        <v>1</v>
      </c>
      <c r="AA34" s="15">
        <f t="shared" si="1"/>
        <v>20</v>
      </c>
      <c r="AB34" s="15">
        <f t="shared" ca="1" si="2"/>
        <v>-19</v>
      </c>
      <c r="AC34" s="15">
        <f t="shared" ca="1" si="3"/>
        <v>0</v>
      </c>
      <c r="AD34" s="15"/>
      <c r="AE34" s="15"/>
      <c r="AF34" s="15"/>
      <c r="AG34" s="15"/>
      <c r="AH34" s="37" t="str">
        <f t="shared" si="8"/>
        <v/>
      </c>
      <c r="AI34" s="37" t="str">
        <f t="shared" si="9"/>
        <v/>
      </c>
      <c r="AJ34" s="37" t="str">
        <f t="shared" si="4"/>
        <v/>
      </c>
      <c r="AL34" s="37" t="str">
        <f t="shared" si="5"/>
        <v/>
      </c>
      <c r="AM34" s="37" t="str">
        <f t="shared" si="14"/>
        <v/>
      </c>
      <c r="AN34" s="37" t="str">
        <f t="shared" si="10"/>
        <v/>
      </c>
      <c r="AP34" s="37" t="str">
        <f t="shared" si="6"/>
        <v/>
      </c>
      <c r="AQ34" s="37" t="str">
        <f t="shared" si="15"/>
        <v/>
      </c>
      <c r="AR34" s="37" t="str">
        <f t="shared" si="7"/>
        <v/>
      </c>
    </row>
    <row r="35" spans="1:44" x14ac:dyDescent="0.3">
      <c r="B35" s="15">
        <v>3</v>
      </c>
      <c r="C35" s="13">
        <v>2</v>
      </c>
      <c r="D35" s="15">
        <f>B35*100+C35</f>
        <v>302</v>
      </c>
      <c r="E35" s="15" t="s">
        <v>32</v>
      </c>
      <c r="F35" s="15">
        <v>5</v>
      </c>
      <c r="G35" s="13">
        <v>20</v>
      </c>
      <c r="I35" s="15">
        <v>107</v>
      </c>
      <c r="J35" s="15" t="str">
        <f>IF(ISERROR(VLOOKUP(I35,MP3_Tab0[[Op]:[Job]],2,0)),"",VLOOKUP(I35,MP3_Tab0[[Op]:[Job]],2,0))</f>
        <v/>
      </c>
      <c r="K35" s="15" t="str">
        <f t="shared" si="11"/>
        <v/>
      </c>
      <c r="L35" s="15" t="str">
        <f>IF(J35="","",K35+VLOOKUP(I35,MP3_Tab0[[Op]:[p]],3,0))</f>
        <v/>
      </c>
      <c r="N35" s="15">
        <v>207</v>
      </c>
      <c r="O35" s="15" t="str">
        <f>IF(ISERROR(VLOOKUP(N35,MP3_Tab0[[Op]:[Job]],2,0)),"",VLOOKUP(N35,MP3_Tab0[[Op]:[Job]],2,0))</f>
        <v/>
      </c>
      <c r="P35" s="15" t="str">
        <f t="shared" si="12"/>
        <v/>
      </c>
      <c r="Q35" s="15" t="str">
        <f>IF(O35="","",P35+VLOOKUP(N35,MP3_Tab0[[Op]:[p]],3,0))</f>
        <v/>
      </c>
      <c r="S35" s="15">
        <v>307</v>
      </c>
      <c r="T35" s="15" t="str">
        <f>IF(ISERROR(VLOOKUP(S35,MP3_Tab0[[Op]:[Job]],2,0)),"",VLOOKUP(S35,MP3_Tab0[[Op]:[Job]],2,0))</f>
        <v/>
      </c>
      <c r="U35" s="15" t="str">
        <f t="shared" si="13"/>
        <v/>
      </c>
      <c r="V35" s="15" t="str">
        <f>IF(T35="","",U35+VLOOKUP(S35,MP3_Tab0[[Op]:[p]],3,0))</f>
        <v/>
      </c>
      <c r="X35" s="15">
        <f t="shared" si="0"/>
        <v>302</v>
      </c>
      <c r="Y35" s="15" t="str">
        <f>VLOOKUP(X35,MP3_Tab0[[Op]:[Job]],2,0)</f>
        <v>G</v>
      </c>
      <c r="Z35" s="15" cm="1">
        <f t="array" aca="1" ref="Z35" ca="1">INDEX(INDIRECT("MP3_TabM"&amp;B35),C35,4)</f>
        <v>6</v>
      </c>
      <c r="AA35" s="15">
        <f t="shared" si="1"/>
        <v>20</v>
      </c>
      <c r="AB35" s="15">
        <f t="shared" ca="1" si="2"/>
        <v>-14</v>
      </c>
      <c r="AC35" s="15">
        <f t="shared" ca="1" si="3"/>
        <v>0</v>
      </c>
      <c r="AD35" s="15"/>
      <c r="AE35" s="15"/>
      <c r="AF35" s="15"/>
      <c r="AG35" s="15"/>
      <c r="AH35" s="37" t="str">
        <f t="shared" si="8"/>
        <v/>
      </c>
      <c r="AI35" s="37" t="str">
        <f t="shared" si="9"/>
        <v/>
      </c>
      <c r="AJ35" s="37" t="str">
        <f t="shared" si="4"/>
        <v/>
      </c>
      <c r="AL35" s="37" t="str">
        <f t="shared" si="5"/>
        <v/>
      </c>
      <c r="AM35" s="37" t="str">
        <f t="shared" si="14"/>
        <v/>
      </c>
      <c r="AN35" s="37" t="str">
        <f t="shared" si="10"/>
        <v/>
      </c>
      <c r="AP35" s="37" t="str">
        <f t="shared" si="6"/>
        <v/>
      </c>
      <c r="AQ35" s="37" t="str">
        <f t="shared" si="15"/>
        <v/>
      </c>
      <c r="AR35" s="37" t="str">
        <f t="shared" si="7"/>
        <v/>
      </c>
    </row>
    <row r="36" spans="1:44" x14ac:dyDescent="0.3">
      <c r="A36" s="15"/>
      <c r="B36" s="13">
        <v>3</v>
      </c>
      <c r="C36" s="13">
        <v>3</v>
      </c>
      <c r="D36" s="15">
        <f>B36*100+C36</f>
        <v>303</v>
      </c>
      <c r="E36" s="15" t="s">
        <v>33</v>
      </c>
      <c r="F36" s="15">
        <v>1</v>
      </c>
      <c r="G36" s="13">
        <v>20</v>
      </c>
      <c r="H36" s="15"/>
      <c r="I36" s="15">
        <v>108</v>
      </c>
      <c r="J36" s="15" t="str">
        <f>IF(ISERROR(VLOOKUP(I36,MP3_Tab0[[Op]:[Job]],2,0)),"",VLOOKUP(I36,MP3_Tab0[[Op]:[Job]],2,0))</f>
        <v/>
      </c>
      <c r="K36" s="15" t="str">
        <f t="shared" si="11"/>
        <v/>
      </c>
      <c r="L36" s="15" t="str">
        <f>IF(J36="","",K36+VLOOKUP(I36,MP3_Tab0[[Op]:[p]],3,0))</f>
        <v/>
      </c>
      <c r="M36" s="15"/>
      <c r="N36" s="15">
        <v>208</v>
      </c>
      <c r="O36" s="15" t="str">
        <f>IF(ISERROR(VLOOKUP(N36,MP3_Tab0[[Op]:[Job]],2,0)),"",VLOOKUP(N36,MP3_Tab0[[Op]:[Job]],2,0))</f>
        <v/>
      </c>
      <c r="P36" s="15" t="str">
        <f t="shared" si="12"/>
        <v/>
      </c>
      <c r="Q36" s="15" t="str">
        <f>IF(O36="","",P36+VLOOKUP(N36,MP3_Tab0[[Op]:[p]],3,0))</f>
        <v/>
      </c>
      <c r="S36" s="15">
        <v>308</v>
      </c>
      <c r="T36" s="15" t="str">
        <f>IF(ISERROR(VLOOKUP(S36,MP3_Tab0[[Op]:[Job]],2,0)),"",VLOOKUP(S36,MP3_Tab0[[Op]:[Job]],2,0))</f>
        <v/>
      </c>
      <c r="U36" s="15" t="str">
        <f t="shared" si="13"/>
        <v/>
      </c>
      <c r="V36" s="15" t="str">
        <f>IF(T36="","",U36+VLOOKUP(S36,MP3_Tab0[[Op]:[p]],3,0))</f>
        <v/>
      </c>
      <c r="X36" s="15">
        <f t="shared" si="0"/>
        <v>303</v>
      </c>
      <c r="Y36" s="15" t="str">
        <f>VLOOKUP(X36,MP3_Tab0[[Op]:[Job]],2,0)</f>
        <v>H</v>
      </c>
      <c r="Z36" s="15" cm="1">
        <f t="array" aca="1" ref="Z36" ca="1">INDEX(INDIRECT("MP3_TabM"&amp;B36),C36,4)</f>
        <v>7</v>
      </c>
      <c r="AA36" s="15">
        <f t="shared" si="1"/>
        <v>20</v>
      </c>
      <c r="AB36" s="15">
        <f t="shared" ca="1" si="2"/>
        <v>-13</v>
      </c>
      <c r="AC36" s="15">
        <f t="shared" ca="1" si="3"/>
        <v>0</v>
      </c>
      <c r="AD36" s="15"/>
      <c r="AE36" s="15"/>
      <c r="AF36" s="15"/>
      <c r="AG36" s="15"/>
      <c r="AH36" s="37" t="str">
        <f t="shared" si="8"/>
        <v/>
      </c>
      <c r="AI36" s="37" t="str">
        <f t="shared" si="9"/>
        <v/>
      </c>
      <c r="AJ36" s="37" t="str">
        <f t="shared" si="4"/>
        <v/>
      </c>
      <c r="AL36" s="37" t="str">
        <f t="shared" si="5"/>
        <v/>
      </c>
      <c r="AM36" s="37" t="str">
        <f t="shared" si="14"/>
        <v/>
      </c>
      <c r="AN36" s="37" t="str">
        <f t="shared" si="10"/>
        <v/>
      </c>
      <c r="AP36" s="37" t="str">
        <f t="shared" si="6"/>
        <v/>
      </c>
      <c r="AQ36" s="37" t="str">
        <f t="shared" si="15"/>
        <v/>
      </c>
      <c r="AR36" s="37" t="str">
        <f t="shared" si="7"/>
        <v/>
      </c>
    </row>
    <row r="37" spans="1:44" x14ac:dyDescent="0.3">
      <c r="A37" s="15"/>
      <c r="B37" s="13">
        <v>3</v>
      </c>
      <c r="C37" s="13">
        <v>4</v>
      </c>
      <c r="D37" s="15">
        <f>B37*100+C37</f>
        <v>304</v>
      </c>
      <c r="E37" s="15" t="s">
        <v>34</v>
      </c>
      <c r="F37" s="15">
        <v>3</v>
      </c>
      <c r="G37" s="13">
        <v>20</v>
      </c>
      <c r="H37" s="15"/>
      <c r="I37" s="15">
        <v>109</v>
      </c>
      <c r="J37" s="15" t="str">
        <f>IF(ISERROR(VLOOKUP(I37,MP3_Tab0[[Op]:[Job]],2,0)),"",VLOOKUP(I37,MP3_Tab0[[Op]:[Job]],2,0))</f>
        <v/>
      </c>
      <c r="K37" s="15" t="str">
        <f t="shared" si="11"/>
        <v/>
      </c>
      <c r="L37" s="15" t="str">
        <f>IF(J37="","",K37+VLOOKUP(I37,MP3_Tab0[[Op]:[p]],3,0))</f>
        <v/>
      </c>
      <c r="M37" s="15"/>
      <c r="N37" s="15">
        <v>209</v>
      </c>
      <c r="O37" s="15" t="str">
        <f>IF(ISERROR(VLOOKUP(N37,MP3_Tab0[[Op]:[Job]],2,0)),"",VLOOKUP(N37,MP3_Tab0[[Op]:[Job]],2,0))</f>
        <v/>
      </c>
      <c r="P37" s="15" t="str">
        <f t="shared" si="12"/>
        <v/>
      </c>
      <c r="Q37" s="15" t="str">
        <f>IF(O37="","",P37+VLOOKUP(N37,MP3_Tab0[[Op]:[p]],3,0))</f>
        <v/>
      </c>
      <c r="S37" s="15">
        <v>309</v>
      </c>
      <c r="T37" s="15" t="str">
        <f>IF(ISERROR(VLOOKUP(S37,MP3_Tab0[[Op]:[Job]],2,0)),"",VLOOKUP(S37,MP3_Tab0[[Op]:[Job]],2,0))</f>
        <v/>
      </c>
      <c r="U37" s="15" t="str">
        <f t="shared" si="13"/>
        <v/>
      </c>
      <c r="V37" s="15" t="str">
        <f>IF(T37="","",U37+VLOOKUP(S37,MP3_Tab0[[Op]:[p]],3,0))</f>
        <v/>
      </c>
      <c r="X37" s="15">
        <f t="shared" si="0"/>
        <v>304</v>
      </c>
      <c r="Y37" s="15" t="str">
        <f>VLOOKUP(X37,MP3_Tab0[[Op]:[Job]],2,0)</f>
        <v>I</v>
      </c>
      <c r="Z37" s="15" cm="1">
        <f t="array" aca="1" ref="Z37" ca="1">INDEX(INDIRECT("MP3_TabM"&amp;B37),C37,4)</f>
        <v>10</v>
      </c>
      <c r="AA37" s="15">
        <f t="shared" si="1"/>
        <v>20</v>
      </c>
      <c r="AB37" s="15">
        <f t="shared" ca="1" si="2"/>
        <v>-10</v>
      </c>
      <c r="AC37" s="15">
        <f t="shared" ca="1" si="3"/>
        <v>0</v>
      </c>
      <c r="AD37" s="15"/>
      <c r="AE37" s="15"/>
      <c r="AF37" s="15"/>
      <c r="AG37" s="15"/>
      <c r="AH37" s="37" t="str">
        <f t="shared" si="8"/>
        <v/>
      </c>
      <c r="AI37" s="37" t="str">
        <f t="shared" si="9"/>
        <v/>
      </c>
      <c r="AJ37" s="37" t="str">
        <f t="shared" si="4"/>
        <v/>
      </c>
      <c r="AL37" s="37" t="str">
        <f t="shared" si="5"/>
        <v/>
      </c>
      <c r="AM37" s="37" t="str">
        <f t="shared" si="14"/>
        <v/>
      </c>
      <c r="AN37" s="37" t="str">
        <f t="shared" si="10"/>
        <v/>
      </c>
      <c r="AP37" s="37" t="str">
        <f t="shared" si="6"/>
        <v/>
      </c>
      <c r="AQ37" s="37" t="str">
        <f t="shared" si="15"/>
        <v/>
      </c>
      <c r="AR37" s="37" t="str">
        <f t="shared" si="7"/>
        <v/>
      </c>
    </row>
    <row r="38" spans="1:44" x14ac:dyDescent="0.3">
      <c r="A38" s="15"/>
      <c r="B38" s="13">
        <v>3</v>
      </c>
      <c r="C38" s="13">
        <v>5</v>
      </c>
      <c r="D38" s="15">
        <f>B38*100+C38</f>
        <v>305</v>
      </c>
      <c r="E38" s="13" t="s">
        <v>35</v>
      </c>
      <c r="F38" s="13">
        <v>7</v>
      </c>
      <c r="G38" s="13">
        <v>20</v>
      </c>
      <c r="H38" s="15"/>
      <c r="I38" s="15">
        <v>110</v>
      </c>
      <c r="J38" s="15" t="str">
        <f>IF(ISERROR(VLOOKUP(I38,MP3_Tab0[[Op]:[Job]],2,0)),"",VLOOKUP(I38,MP3_Tab0[[Op]:[Job]],2,0))</f>
        <v/>
      </c>
      <c r="K38" s="15" t="str">
        <f t="shared" si="11"/>
        <v/>
      </c>
      <c r="L38" s="15" t="str">
        <f>IF(J38="","",K38+VLOOKUP(I38,MP3_Tab0[[Op]:[p]],3,0))</f>
        <v/>
      </c>
      <c r="M38" s="15"/>
      <c r="N38" s="15">
        <v>210</v>
      </c>
      <c r="O38" s="15" t="str">
        <f>IF(ISERROR(VLOOKUP(N38,MP3_Tab0[[Op]:[Job]],2,0)),"",VLOOKUP(N38,MP3_Tab0[[Op]:[Job]],2,0))</f>
        <v/>
      </c>
      <c r="P38" s="15" t="str">
        <f t="shared" si="12"/>
        <v/>
      </c>
      <c r="Q38" s="15" t="str">
        <f>IF(O38="","",P38+VLOOKUP(N38,MP3_Tab0[[Op]:[p]],3,0))</f>
        <v/>
      </c>
      <c r="S38" s="15">
        <v>310</v>
      </c>
      <c r="T38" s="15" t="str">
        <f>IF(ISERROR(VLOOKUP(S38,MP3_Tab0[[Op]:[Job]],2,0)),"",VLOOKUP(S38,MP3_Tab0[[Op]:[Job]],2,0))</f>
        <v/>
      </c>
      <c r="U38" s="15" t="str">
        <f t="shared" si="13"/>
        <v/>
      </c>
      <c r="V38" s="15" t="str">
        <f>IF(T38="","",U38+VLOOKUP(S38,MP3_Tab0[[Op]:[p]],3,0))</f>
        <v/>
      </c>
      <c r="X38" s="15">
        <f t="shared" si="0"/>
        <v>305</v>
      </c>
      <c r="Y38" s="15" t="str">
        <f>VLOOKUP(X38,MP3_Tab0[[Op]:[Job]],2,0)</f>
        <v>J</v>
      </c>
      <c r="Z38" s="15" cm="1">
        <f t="array" aca="1" ref="Z38" ca="1">INDEX(INDIRECT("MP3_TabM"&amp;B38),C38,4)</f>
        <v>17</v>
      </c>
      <c r="AA38" s="15">
        <f t="shared" si="1"/>
        <v>20</v>
      </c>
      <c r="AB38" s="15">
        <f t="shared" ca="1" si="2"/>
        <v>-3</v>
      </c>
      <c r="AC38" s="15">
        <f t="shared" ca="1" si="3"/>
        <v>0</v>
      </c>
      <c r="AD38" s="15"/>
      <c r="AE38" s="15"/>
      <c r="AF38" s="15"/>
      <c r="AG38" s="15"/>
      <c r="AH38" s="37" t="str">
        <f t="shared" si="8"/>
        <v/>
      </c>
      <c r="AI38" s="37" t="str">
        <f t="shared" si="9"/>
        <v/>
      </c>
      <c r="AJ38" s="37" t="str">
        <f t="shared" si="4"/>
        <v/>
      </c>
      <c r="AL38" s="37" t="str">
        <f t="shared" si="5"/>
        <v/>
      </c>
      <c r="AM38" s="37" t="str">
        <f t="shared" si="14"/>
        <v/>
      </c>
      <c r="AN38" s="37" t="str">
        <f t="shared" si="10"/>
        <v/>
      </c>
      <c r="AP38" s="37" t="str">
        <f t="shared" si="6"/>
        <v/>
      </c>
      <c r="AQ38" s="37" t="str">
        <f t="shared" si="15"/>
        <v/>
      </c>
      <c r="AR38" s="37" t="str">
        <f t="shared" si="7"/>
        <v/>
      </c>
    </row>
    <row r="39" spans="1:44" x14ac:dyDescent="0.3">
      <c r="A39" s="15"/>
      <c r="B39" s="33"/>
      <c r="C39" s="33"/>
      <c r="D39" s="34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</row>
    <row r="40" spans="1:44" x14ac:dyDescent="0.3">
      <c r="A40" s="15"/>
      <c r="B40" s="15"/>
      <c r="C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</row>
    <row r="41" spans="1:44" x14ac:dyDescent="0.3">
      <c r="A41" s="15"/>
      <c r="B41" s="15"/>
      <c r="C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</row>
    <row r="42" spans="1:44" x14ac:dyDescent="0.3">
      <c r="A42" s="15"/>
      <c r="B42" s="15"/>
      <c r="C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</row>
    <row r="43" spans="1:44" x14ac:dyDescent="0.3">
      <c r="A43" s="15"/>
      <c r="B43" s="15"/>
      <c r="C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</row>
    <row r="44" spans="1:44" x14ac:dyDescent="0.3">
      <c r="A44" s="15"/>
      <c r="B44" s="15"/>
      <c r="C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</row>
    <row r="45" spans="1:44" x14ac:dyDescent="0.3">
      <c r="B45" s="15"/>
      <c r="C45" s="15"/>
      <c r="F45" s="15"/>
      <c r="G45" s="15"/>
      <c r="H45" s="15"/>
    </row>
    <row r="46" spans="1:44" x14ac:dyDescent="0.3">
      <c r="B46" s="15"/>
      <c r="C46" s="15"/>
      <c r="F46" s="15"/>
      <c r="G46" s="15"/>
      <c r="H46" s="15"/>
    </row>
    <row r="47" spans="1:44" x14ac:dyDescent="0.3">
      <c r="B47" s="15"/>
      <c r="C47" s="15"/>
      <c r="F47" s="15"/>
      <c r="G47" s="15"/>
      <c r="H47" s="15"/>
    </row>
  </sheetData>
  <mergeCells count="6">
    <mergeCell ref="AP26:AR26"/>
    <mergeCell ref="I26:L26"/>
    <mergeCell ref="N26:Q26"/>
    <mergeCell ref="S26:V26"/>
    <mergeCell ref="AH26:AJ26"/>
    <mergeCell ref="AL26:AN26"/>
  </mergeCells>
  <pageMargins left="0.78740157480314965" right="0.78740157480314965" top="0.98425196850393704" bottom="0.98425196850393704" header="0.51181102362204722" footer="0.51181102362204722"/>
  <pageSetup paperSize="9" scale="34" orientation="landscape" horizontalDpi="300" verticalDpi="300" r:id="rId1"/>
  <headerFooter alignWithMargins="0">
    <oddHeader>&amp;A</oddHeader>
    <oddFooter>Página &amp;P de &amp;N</oddFooter>
  </headerFooter>
  <drawing r:id="rId2"/>
  <tableParts count="9"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G29"/>
  <sheetViews>
    <sheetView zoomScaleNormal="100" zoomScaleSheetLayoutView="100" workbookViewId="0">
      <selection activeCell="A2" sqref="A2"/>
    </sheetView>
  </sheetViews>
  <sheetFormatPr defaultColWidth="8.88671875" defaultRowHeight="14.4" x14ac:dyDescent="0.3"/>
  <cols>
    <col min="1" max="21" width="5.6640625" style="13" customWidth="1"/>
    <col min="22" max="22" width="20.6640625" style="13" customWidth="1"/>
    <col min="23" max="31" width="5.6640625" style="13" customWidth="1"/>
    <col min="32" max="16384" width="8.88671875" style="13"/>
  </cols>
  <sheetData>
    <row r="1" spans="1:33" s="12" customFormat="1" ht="25.8" x14ac:dyDescent="0.5">
      <c r="A1" s="10" t="s">
        <v>36</v>
      </c>
      <c r="B1" s="11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3" spans="1:33" x14ac:dyDescent="0.3">
      <c r="B3" s="14"/>
      <c r="C3" s="14"/>
      <c r="D3" s="14"/>
      <c r="E3" s="14"/>
      <c r="F3" s="14"/>
      <c r="X3"/>
      <c r="Y3"/>
      <c r="Z3"/>
      <c r="AA3"/>
      <c r="AB3"/>
      <c r="AC3"/>
      <c r="AD3"/>
    </row>
    <row r="4" spans="1:33" x14ac:dyDescent="0.3">
      <c r="B4" s="14"/>
      <c r="C4" s="14"/>
      <c r="D4" s="14"/>
      <c r="E4" s="14"/>
      <c r="F4" s="14"/>
      <c r="X4"/>
      <c r="Y4"/>
      <c r="Z4"/>
      <c r="AA4"/>
      <c r="AB4"/>
      <c r="AC4"/>
      <c r="AD4"/>
      <c r="AE4" s="15"/>
      <c r="AF4" s="15"/>
      <c r="AG4" s="15"/>
    </row>
    <row r="5" spans="1:33" x14ac:dyDescent="0.3">
      <c r="B5" s="14"/>
      <c r="C5" s="14"/>
      <c r="D5" s="14"/>
      <c r="E5" s="14"/>
      <c r="F5" s="14"/>
      <c r="X5"/>
      <c r="Y5"/>
      <c r="Z5"/>
      <c r="AA5"/>
      <c r="AB5"/>
      <c r="AC5"/>
      <c r="AD5"/>
      <c r="AE5" s="15"/>
    </row>
    <row r="6" spans="1:33" x14ac:dyDescent="0.3">
      <c r="B6" s="14"/>
      <c r="C6" s="14"/>
      <c r="D6" s="14"/>
      <c r="E6" s="14"/>
      <c r="F6" s="14"/>
      <c r="X6"/>
      <c r="Y6"/>
      <c r="Z6"/>
      <c r="AA6"/>
      <c r="AB6"/>
      <c r="AC6"/>
      <c r="AD6"/>
      <c r="AE6" s="15"/>
    </row>
    <row r="7" spans="1:33" x14ac:dyDescent="0.3">
      <c r="B7" s="14"/>
      <c r="C7" s="14"/>
      <c r="D7" s="14"/>
      <c r="E7" s="14"/>
      <c r="F7" s="14"/>
      <c r="X7"/>
      <c r="Y7"/>
      <c r="Z7"/>
      <c r="AA7"/>
      <c r="AB7"/>
      <c r="AC7"/>
      <c r="AD7"/>
    </row>
    <row r="8" spans="1:33" x14ac:dyDescent="0.3">
      <c r="B8" s="14"/>
      <c r="C8" s="14"/>
      <c r="D8" s="14"/>
      <c r="E8" s="14"/>
      <c r="F8" s="14"/>
      <c r="X8"/>
      <c r="Y8"/>
      <c r="Z8"/>
      <c r="AA8"/>
      <c r="AB8"/>
      <c r="AC8"/>
      <c r="AD8"/>
    </row>
    <row r="9" spans="1:33" x14ac:dyDescent="0.3">
      <c r="B9" s="14"/>
      <c r="C9" s="14"/>
      <c r="D9" s="14"/>
      <c r="E9" s="14"/>
      <c r="F9" s="14"/>
      <c r="X9"/>
      <c r="Y9"/>
      <c r="Z9"/>
      <c r="AA9"/>
      <c r="AB9"/>
      <c r="AC9"/>
      <c r="AD9"/>
    </row>
    <row r="10" spans="1:33" x14ac:dyDescent="0.3">
      <c r="B10" s="14"/>
      <c r="C10" s="14"/>
      <c r="D10" s="14"/>
      <c r="E10" s="14"/>
      <c r="F10" s="14"/>
      <c r="X10"/>
      <c r="Y10"/>
      <c r="Z10"/>
      <c r="AA10"/>
      <c r="AB10"/>
      <c r="AC10"/>
      <c r="AD10"/>
    </row>
    <row r="11" spans="1:33" x14ac:dyDescent="0.3">
      <c r="B11" s="14"/>
      <c r="C11" s="14"/>
      <c r="D11" s="14"/>
      <c r="E11" s="14"/>
      <c r="F11" s="14"/>
      <c r="W11" s="15"/>
      <c r="X11"/>
      <c r="Y11"/>
      <c r="Z11"/>
      <c r="AA11"/>
      <c r="AB11"/>
      <c r="AC11"/>
      <c r="AD11"/>
      <c r="AE11" s="15"/>
    </row>
    <row r="12" spans="1:33" x14ac:dyDescent="0.3">
      <c r="B12" s="14"/>
      <c r="C12" s="14"/>
      <c r="D12" s="14"/>
      <c r="E12" s="14"/>
      <c r="F12" s="14"/>
      <c r="W12" s="15"/>
      <c r="X12"/>
      <c r="Y12"/>
      <c r="Z12"/>
      <c r="AA12"/>
      <c r="AB12"/>
      <c r="AC12"/>
      <c r="AD12"/>
      <c r="AE12" s="15"/>
    </row>
    <row r="13" spans="1:33" x14ac:dyDescent="0.3">
      <c r="B13" s="14"/>
      <c r="C13" s="14"/>
      <c r="D13" s="14"/>
      <c r="E13" s="14"/>
      <c r="F13" s="14"/>
      <c r="W13" s="15"/>
      <c r="X13" s="15"/>
      <c r="Y13" s="15"/>
      <c r="Z13" s="15"/>
      <c r="AA13" s="15"/>
      <c r="AB13" s="15"/>
      <c r="AC13" s="15"/>
      <c r="AD13" s="15"/>
      <c r="AE13" s="15"/>
    </row>
    <row r="18" spans="2:31" x14ac:dyDescent="0.3">
      <c r="B18" s="16" t="s">
        <v>24</v>
      </c>
      <c r="H18" s="44" t="s">
        <v>27</v>
      </c>
      <c r="I18" s="44"/>
      <c r="J18" s="44"/>
      <c r="L18" s="44" t="s">
        <v>30</v>
      </c>
      <c r="M18" s="44"/>
      <c r="N18" s="44"/>
      <c r="U18" s="15"/>
      <c r="V18" s="15"/>
      <c r="W18" s="15"/>
      <c r="X18" s="15"/>
      <c r="Y18" s="43" t="s">
        <v>27</v>
      </c>
      <c r="Z18" s="43"/>
      <c r="AA18" s="43"/>
      <c r="AC18" s="43" t="s">
        <v>30</v>
      </c>
      <c r="AD18" s="43"/>
      <c r="AE18" s="43"/>
    </row>
    <row r="19" spans="2:31" x14ac:dyDescent="0.3">
      <c r="B19" s="15"/>
      <c r="C19" s="17"/>
      <c r="D19" s="17"/>
      <c r="E19" s="17"/>
      <c r="F19" s="17"/>
      <c r="G19" s="17"/>
      <c r="K19" s="17"/>
      <c r="O19" s="17"/>
      <c r="P19" s="17"/>
      <c r="Q19" s="17"/>
      <c r="R19" s="17"/>
      <c r="S19" s="17"/>
      <c r="T19" s="17"/>
      <c r="U19" s="15"/>
      <c r="V19" s="15"/>
      <c r="W19" s="15"/>
      <c r="X19" s="15"/>
      <c r="Y19" s="15"/>
      <c r="Z19" s="15"/>
      <c r="AA19" s="15"/>
      <c r="AC19" s="15"/>
      <c r="AD19" s="15"/>
      <c r="AE19" s="15"/>
    </row>
    <row r="20" spans="2:31" customFormat="1" ht="13.2" x14ac:dyDescent="0.25">
      <c r="B20" s="41" t="s">
        <v>0</v>
      </c>
      <c r="C20" s="41" t="s">
        <v>1</v>
      </c>
      <c r="D20" s="41" t="s">
        <v>37</v>
      </c>
      <c r="E20" s="41" t="s">
        <v>38</v>
      </c>
      <c r="F20" s="41" t="s">
        <v>10</v>
      </c>
      <c r="H20" s="41" t="s">
        <v>1</v>
      </c>
      <c r="I20" s="41" t="s">
        <v>12</v>
      </c>
      <c r="J20" s="41" t="s">
        <v>13</v>
      </c>
      <c r="L20" s="41" t="s">
        <v>1</v>
      </c>
      <c r="M20" s="41" t="s">
        <v>12</v>
      </c>
      <c r="N20" s="41" t="s">
        <v>13</v>
      </c>
      <c r="P20" s="41" t="s">
        <v>1</v>
      </c>
      <c r="Q20" s="41" t="s">
        <v>3</v>
      </c>
      <c r="R20" s="41" t="s">
        <v>10</v>
      </c>
      <c r="S20" s="41" t="s">
        <v>9</v>
      </c>
      <c r="T20" s="41" t="s">
        <v>11</v>
      </c>
      <c r="V20" s="41" t="s">
        <v>47</v>
      </c>
      <c r="W20" s="41" t="s">
        <v>25</v>
      </c>
      <c r="Y20" s="41" t="s">
        <v>1</v>
      </c>
      <c r="Z20" s="41" t="s">
        <v>14</v>
      </c>
      <c r="AA20" s="41" t="s">
        <v>46</v>
      </c>
      <c r="AC20" s="41" t="s">
        <v>1</v>
      </c>
      <c r="AD20" s="41" t="s">
        <v>14</v>
      </c>
      <c r="AE20" s="41" t="s">
        <v>46</v>
      </c>
    </row>
    <row r="21" spans="2:31" x14ac:dyDescent="0.3">
      <c r="B21" s="15"/>
      <c r="C21" s="15" t="s">
        <v>4</v>
      </c>
      <c r="D21" s="15">
        <v>6</v>
      </c>
      <c r="E21" s="15">
        <v>3</v>
      </c>
      <c r="F21" s="15">
        <v>25</v>
      </c>
      <c r="G21" s="15"/>
      <c r="H21" s="15" t="str">
        <f>C21</f>
        <v>A</v>
      </c>
      <c r="I21" s="15">
        <f>IF(ISNUMBER(J20),J20,0)</f>
        <v>0</v>
      </c>
      <c r="J21" s="15">
        <f>I21+D21</f>
        <v>6</v>
      </c>
      <c r="K21" s="15"/>
      <c r="L21" s="15" t="str">
        <f>H21</f>
        <v>A</v>
      </c>
      <c r="M21" s="15">
        <f>MAX(J21,N20)</f>
        <v>6</v>
      </c>
      <c r="N21" s="15">
        <f>M21+E21</f>
        <v>9</v>
      </c>
      <c r="O21" s="15"/>
      <c r="P21" s="15" t="str">
        <f>L21</f>
        <v>A</v>
      </c>
      <c r="Q21" s="15">
        <f>N21</f>
        <v>9</v>
      </c>
      <c r="R21" s="15">
        <f>F21</f>
        <v>25</v>
      </c>
      <c r="S21" s="15">
        <f>Q21-R21</f>
        <v>-16</v>
      </c>
      <c r="T21" s="15">
        <f>MAX(0,S21)</f>
        <v>0</v>
      </c>
      <c r="V21" t="s">
        <v>19</v>
      </c>
      <c r="W21" s="9">
        <f>MAX(MS2_Tab2[C])</f>
        <v>32</v>
      </c>
      <c r="Y21" s="35" t="str">
        <f>H21</f>
        <v>A</v>
      </c>
      <c r="Z21" s="35">
        <f>I21</f>
        <v>0</v>
      </c>
      <c r="AA21" s="35">
        <f>J21-I21</f>
        <v>6</v>
      </c>
      <c r="AC21" s="35" t="str">
        <f>L21</f>
        <v>A</v>
      </c>
      <c r="AD21" s="35">
        <f>M21</f>
        <v>6</v>
      </c>
      <c r="AE21" s="35">
        <f t="shared" ref="AE21:AE25" si="0">N21-M21</f>
        <v>3</v>
      </c>
    </row>
    <row r="22" spans="2:31" x14ac:dyDescent="0.3">
      <c r="B22" s="15"/>
      <c r="C22" s="15" t="s">
        <v>5</v>
      </c>
      <c r="D22" s="15">
        <v>1</v>
      </c>
      <c r="E22" s="15">
        <v>3</v>
      </c>
      <c r="F22" s="15">
        <v>25</v>
      </c>
      <c r="G22" s="15"/>
      <c r="H22" s="15" t="str">
        <f>C22</f>
        <v>B</v>
      </c>
      <c r="I22" s="15">
        <f>IF(ISNUMBER(J21),J21,0)</f>
        <v>6</v>
      </c>
      <c r="J22" s="15">
        <f>I22+D22</f>
        <v>7</v>
      </c>
      <c r="K22" s="15"/>
      <c r="L22" s="15" t="str">
        <f>H22</f>
        <v>B</v>
      </c>
      <c r="M22" s="15">
        <f>MAX(J22,N21)</f>
        <v>9</v>
      </c>
      <c r="N22" s="15">
        <f>M22+E22</f>
        <v>12</v>
      </c>
      <c r="O22" s="15"/>
      <c r="P22" s="15" t="str">
        <f>L22</f>
        <v>B</v>
      </c>
      <c r="Q22" s="15">
        <f>N22</f>
        <v>12</v>
      </c>
      <c r="R22" s="15">
        <f>F22</f>
        <v>25</v>
      </c>
      <c r="S22" s="15">
        <f>Q22-R22</f>
        <v>-13</v>
      </c>
      <c r="T22" s="15">
        <f>MAX(0,S22)</f>
        <v>0</v>
      </c>
      <c r="V22" t="s">
        <v>18</v>
      </c>
      <c r="W22" s="9">
        <f>AVERAGE(MS2_Tab2[C])</f>
        <v>20.2</v>
      </c>
      <c r="Y22" s="35" t="str">
        <f>H22</f>
        <v>B</v>
      </c>
      <c r="Z22" s="35">
        <f>I22-J21</f>
        <v>0</v>
      </c>
      <c r="AA22" s="35">
        <f>J22-I22</f>
        <v>1</v>
      </c>
      <c r="AC22" s="35" t="str">
        <f>L22</f>
        <v>B</v>
      </c>
      <c r="AD22" s="35">
        <f>M22-N21</f>
        <v>0</v>
      </c>
      <c r="AE22" s="35">
        <f t="shared" si="0"/>
        <v>3</v>
      </c>
    </row>
    <row r="23" spans="2:31" x14ac:dyDescent="0.3">
      <c r="B23" s="15"/>
      <c r="C23" s="15" t="s">
        <v>3</v>
      </c>
      <c r="D23" s="15">
        <v>8</v>
      </c>
      <c r="E23" s="15">
        <v>6</v>
      </c>
      <c r="F23" s="15">
        <v>25</v>
      </c>
      <c r="G23" s="15"/>
      <c r="H23" s="15" t="str">
        <f>C23</f>
        <v>C</v>
      </c>
      <c r="I23" s="15">
        <f>IF(ISNUMBER(J22),J22,0)</f>
        <v>7</v>
      </c>
      <c r="J23" s="15">
        <f>I23+D23</f>
        <v>15</v>
      </c>
      <c r="K23" s="15"/>
      <c r="L23" s="15" t="str">
        <f>H23</f>
        <v>C</v>
      </c>
      <c r="M23" s="15">
        <f>MAX(J23,N22)</f>
        <v>15</v>
      </c>
      <c r="N23" s="15">
        <f>M23+E23</f>
        <v>21</v>
      </c>
      <c r="O23" s="15"/>
      <c r="P23" s="15" t="str">
        <f>L23</f>
        <v>C</v>
      </c>
      <c r="Q23" s="15">
        <f>N23</f>
        <v>21</v>
      </c>
      <c r="R23" s="15">
        <f>F23</f>
        <v>25</v>
      </c>
      <c r="S23" s="15">
        <f>Q23-R23</f>
        <v>-4</v>
      </c>
      <c r="T23" s="15">
        <f>MAX(0,S23)</f>
        <v>0</v>
      </c>
      <c r="V23" t="s">
        <v>20</v>
      </c>
      <c r="W23" s="9">
        <f>SUM(MS2_Tab2[T])</f>
        <v>9</v>
      </c>
      <c r="Y23" s="35" t="str">
        <f>H23</f>
        <v>C</v>
      </c>
      <c r="Z23" s="35">
        <f>I23-J22</f>
        <v>0</v>
      </c>
      <c r="AA23" s="35">
        <f>J23-I23</f>
        <v>8</v>
      </c>
      <c r="AC23" s="35" t="str">
        <f>L23</f>
        <v>C</v>
      </c>
      <c r="AD23" s="35">
        <f t="shared" ref="AD23:AD25" si="1">M23-N22</f>
        <v>3</v>
      </c>
      <c r="AE23" s="35">
        <f t="shared" si="0"/>
        <v>6</v>
      </c>
    </row>
    <row r="24" spans="2:31" x14ac:dyDescent="0.3">
      <c r="B24" s="15"/>
      <c r="C24" s="15" t="s">
        <v>6</v>
      </c>
      <c r="D24" s="15">
        <v>4</v>
      </c>
      <c r="E24" s="15">
        <v>6</v>
      </c>
      <c r="F24" s="15">
        <v>25</v>
      </c>
      <c r="G24" s="15"/>
      <c r="H24" s="15" t="str">
        <f>C24</f>
        <v>D</v>
      </c>
      <c r="I24" s="15">
        <f>IF(ISNUMBER(J23),J23,0)</f>
        <v>15</v>
      </c>
      <c r="J24" s="15">
        <f>I24+D24</f>
        <v>19</v>
      </c>
      <c r="K24" s="15"/>
      <c r="L24" s="15" t="str">
        <f>H24</f>
        <v>D</v>
      </c>
      <c r="M24" s="15">
        <f>MAX(J24,N23)</f>
        <v>21</v>
      </c>
      <c r="N24" s="15">
        <f>M24+E24</f>
        <v>27</v>
      </c>
      <c r="O24" s="15"/>
      <c r="P24" s="15" t="str">
        <f>L24</f>
        <v>D</v>
      </c>
      <c r="Q24" s="15">
        <f>N24</f>
        <v>27</v>
      </c>
      <c r="R24" s="15">
        <f>F24</f>
        <v>25</v>
      </c>
      <c r="S24" s="15">
        <f>Q24-R24</f>
        <v>2</v>
      </c>
      <c r="T24" s="15">
        <f>MAX(0,S24)</f>
        <v>2</v>
      </c>
      <c r="V24" t="s">
        <v>21</v>
      </c>
      <c r="W24" s="9">
        <f>MAX(MS2_Tab2[T])</f>
        <v>7</v>
      </c>
      <c r="Y24" s="35" t="str">
        <f>H24</f>
        <v>D</v>
      </c>
      <c r="Z24" s="35">
        <f>I24-J23</f>
        <v>0</v>
      </c>
      <c r="AA24" s="35">
        <f>J24-I24</f>
        <v>4</v>
      </c>
      <c r="AC24" s="35" t="str">
        <f>L24</f>
        <v>D</v>
      </c>
      <c r="AD24" s="35">
        <f t="shared" si="1"/>
        <v>0</v>
      </c>
      <c r="AE24" s="35">
        <f t="shared" si="0"/>
        <v>6</v>
      </c>
    </row>
    <row r="25" spans="2:31" x14ac:dyDescent="0.3">
      <c r="B25" s="15"/>
      <c r="C25" s="15" t="s">
        <v>7</v>
      </c>
      <c r="D25" s="15">
        <v>2</v>
      </c>
      <c r="E25" s="15">
        <v>5</v>
      </c>
      <c r="F25" s="15">
        <v>25</v>
      </c>
      <c r="G25" s="15"/>
      <c r="H25" s="15" t="str">
        <f>C25</f>
        <v>E</v>
      </c>
      <c r="I25" s="15">
        <f>IF(ISNUMBER(J24),J24,0)</f>
        <v>19</v>
      </c>
      <c r="J25" s="15">
        <f>I25+D25</f>
        <v>21</v>
      </c>
      <c r="K25" s="15"/>
      <c r="L25" s="15" t="str">
        <f>H25</f>
        <v>E</v>
      </c>
      <c r="M25" s="15">
        <f>MAX(J25,N24)</f>
        <v>27</v>
      </c>
      <c r="N25" s="15">
        <f>M25+E25</f>
        <v>32</v>
      </c>
      <c r="O25" s="15"/>
      <c r="P25" s="15" t="str">
        <f>L25</f>
        <v>E</v>
      </c>
      <c r="Q25" s="15">
        <f>N25</f>
        <v>32</v>
      </c>
      <c r="R25" s="15">
        <f>F25</f>
        <v>25</v>
      </c>
      <c r="S25" s="15">
        <f>Q25-R25</f>
        <v>7</v>
      </c>
      <c r="T25" s="15">
        <f>MAX(0,S25)</f>
        <v>7</v>
      </c>
      <c r="V25" t="s">
        <v>22</v>
      </c>
      <c r="W25" s="25">
        <f>COUNTIF(MS2_Tab2[T],"&gt;0")</f>
        <v>2</v>
      </c>
      <c r="Y25" s="35" t="str">
        <f>H25</f>
        <v>E</v>
      </c>
      <c r="Z25" s="35">
        <f>I25-J24</f>
        <v>0</v>
      </c>
      <c r="AA25" s="35">
        <f>J25-I25</f>
        <v>2</v>
      </c>
      <c r="AC25" s="35" t="str">
        <f>L25</f>
        <v>E</v>
      </c>
      <c r="AD25" s="35">
        <f t="shared" si="1"/>
        <v>0</v>
      </c>
      <c r="AE25" s="35">
        <f t="shared" si="0"/>
        <v>5</v>
      </c>
    </row>
    <row r="26" spans="2:31" x14ac:dyDescent="0.3"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</row>
    <row r="27" spans="2:31" x14ac:dyDescent="0.3"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Y27" s="17"/>
      <c r="Z27" s="17"/>
      <c r="AA27" s="17"/>
      <c r="AB27" s="17"/>
      <c r="AC27" s="17"/>
      <c r="AD27" s="17"/>
      <c r="AE27" s="17"/>
    </row>
    <row r="28" spans="2:31" x14ac:dyDescent="0.3">
      <c r="B28" s="24"/>
      <c r="C28" s="24"/>
      <c r="D28" s="24"/>
      <c r="E28" s="2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</row>
    <row r="29" spans="2:31" x14ac:dyDescent="0.3"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</row>
  </sheetData>
  <mergeCells count="4">
    <mergeCell ref="AC18:AE18"/>
    <mergeCell ref="H18:J18"/>
    <mergeCell ref="L18:N18"/>
    <mergeCell ref="Y18:AA18"/>
  </mergeCells>
  <pageMargins left="0.78740157480314965" right="0.78740157480314965" top="0.98425196850393704" bottom="0.98425196850393704" header="0.51181102362204722" footer="0.51181102362204722"/>
  <pageSetup paperSize="9" scale="60" orientation="landscape" horizontalDpi="300" verticalDpi="300" r:id="rId1"/>
  <headerFooter alignWithMargins="0">
    <oddHeader>&amp;A</oddHeader>
    <oddFooter>Página &amp;P de &amp;N</oddFooter>
  </headerFooter>
  <drawing r:id="rId2"/>
  <tableParts count="7">
    <tablePart r:id="rId3"/>
    <tablePart r:id="rId4"/>
    <tablePart r:id="rId5"/>
    <tablePart r:id="rId6"/>
    <tablePart r:id="rId7"/>
    <tablePart r:id="rId8"/>
    <tablePart r:id="rId9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M53"/>
  <sheetViews>
    <sheetView zoomScaleNormal="100" workbookViewId="0">
      <selection activeCell="A2" sqref="A2"/>
    </sheetView>
  </sheetViews>
  <sheetFormatPr defaultColWidth="8.88671875" defaultRowHeight="14.4" x14ac:dyDescent="0.3"/>
  <cols>
    <col min="1" max="1" width="5.6640625" customWidth="1"/>
    <col min="2" max="41" width="5.6640625" style="1" customWidth="1"/>
    <col min="42" max="42" width="20.6640625" style="1" customWidth="1"/>
    <col min="43" max="64" width="5.6640625" style="1" customWidth="1"/>
    <col min="65" max="16384" width="8.88671875" style="1"/>
  </cols>
  <sheetData>
    <row r="1" spans="1:58" ht="25.8" x14ac:dyDescent="0.5">
      <c r="A1" s="3" t="s">
        <v>16</v>
      </c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58" x14ac:dyDescent="0.3">
      <c r="AI2"/>
      <c r="AJ2"/>
      <c r="AK2"/>
      <c r="AL2"/>
      <c r="AM2"/>
      <c r="AN2"/>
      <c r="AR2"/>
      <c r="AS2"/>
      <c r="AV2" s="6"/>
      <c r="AW2"/>
      <c r="AX2"/>
      <c r="AY2"/>
      <c r="AZ2"/>
      <c r="BB2" s="6"/>
      <c r="BC2"/>
      <c r="BD2"/>
      <c r="BE2"/>
      <c r="BF2"/>
    </row>
    <row r="3" spans="1:58" x14ac:dyDescent="0.3"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</row>
    <row r="4" spans="1:58" x14ac:dyDescent="0.3">
      <c r="X4" s="42" t="s">
        <v>48</v>
      </c>
      <c r="AC4" s="32" t="s">
        <v>40</v>
      </c>
      <c r="AN4"/>
      <c r="AR4"/>
      <c r="AS4"/>
      <c r="AV4" s="6"/>
      <c r="AW4"/>
      <c r="AX4"/>
      <c r="AY4"/>
      <c r="AZ4"/>
      <c r="BB4" s="6"/>
      <c r="BC4"/>
      <c r="BD4"/>
      <c r="BE4"/>
      <c r="BF4"/>
    </row>
    <row r="5" spans="1:58" x14ac:dyDescent="0.3">
      <c r="X5" s="42" t="s">
        <v>4</v>
      </c>
      <c r="Y5" s="1" t="s">
        <v>27</v>
      </c>
      <c r="Z5" s="1" t="s">
        <v>31</v>
      </c>
      <c r="AD5" s="47" t="s">
        <v>27</v>
      </c>
      <c r="AE5" s="32" t="s">
        <v>4</v>
      </c>
      <c r="AF5" s="32" t="s">
        <v>5</v>
      </c>
      <c r="AG5" s="32" t="s">
        <v>6</v>
      </c>
      <c r="AH5" s="32" t="s">
        <v>7</v>
      </c>
      <c r="AN5"/>
      <c r="AR5"/>
      <c r="AS5"/>
      <c r="AV5" s="6"/>
      <c r="AW5"/>
      <c r="AX5"/>
      <c r="AY5"/>
      <c r="AZ5"/>
      <c r="BB5" s="6"/>
      <c r="BC5"/>
      <c r="BD5"/>
      <c r="BE5"/>
      <c r="BF5"/>
    </row>
    <row r="6" spans="1:58" x14ac:dyDescent="0.3">
      <c r="X6" s="42" t="s">
        <v>5</v>
      </c>
      <c r="Y6" s="1" t="s">
        <v>27</v>
      </c>
      <c r="Z6" s="1" t="s">
        <v>30</v>
      </c>
      <c r="AA6" s="1" t="s">
        <v>31</v>
      </c>
      <c r="AD6" s="47" t="s">
        <v>30</v>
      </c>
      <c r="AE6" s="32" t="s">
        <v>3</v>
      </c>
      <c r="AF6" s="32" t="s">
        <v>5</v>
      </c>
      <c r="AG6" s="32" t="s">
        <v>6</v>
      </c>
      <c r="AN6"/>
      <c r="AR6"/>
      <c r="AS6"/>
      <c r="AV6" s="6"/>
      <c r="AW6"/>
      <c r="AX6"/>
      <c r="AY6"/>
      <c r="AZ6"/>
      <c r="BB6" s="6"/>
      <c r="BC6"/>
      <c r="BD6"/>
      <c r="BE6"/>
      <c r="BF6"/>
    </row>
    <row r="7" spans="1:58" x14ac:dyDescent="0.3">
      <c r="X7" s="42" t="s">
        <v>3</v>
      </c>
      <c r="Y7" s="1" t="s">
        <v>30</v>
      </c>
      <c r="Z7" s="1" t="s">
        <v>31</v>
      </c>
      <c r="AD7" s="47" t="s">
        <v>31</v>
      </c>
      <c r="AE7" s="32" t="s">
        <v>4</v>
      </c>
      <c r="AF7" s="32" t="s">
        <v>3</v>
      </c>
      <c r="AG7" s="32" t="s">
        <v>5</v>
      </c>
      <c r="AH7" s="32" t="s">
        <v>7</v>
      </c>
      <c r="AN7"/>
      <c r="AR7"/>
      <c r="AS7"/>
      <c r="AV7" s="6"/>
      <c r="AW7"/>
      <c r="AX7"/>
      <c r="AY7"/>
      <c r="AZ7"/>
      <c r="BB7" s="6"/>
      <c r="BC7"/>
      <c r="BD7"/>
      <c r="BE7"/>
      <c r="BF7"/>
    </row>
    <row r="8" spans="1:58" x14ac:dyDescent="0.3">
      <c r="X8" s="42" t="s">
        <v>6</v>
      </c>
      <c r="Y8" s="1" t="s">
        <v>27</v>
      </c>
      <c r="Z8" s="1" t="s">
        <v>30</v>
      </c>
      <c r="AN8"/>
      <c r="AR8"/>
      <c r="AS8"/>
      <c r="AV8" s="6"/>
      <c r="AW8"/>
      <c r="AX8"/>
      <c r="AY8"/>
      <c r="AZ8"/>
      <c r="BB8" s="6"/>
      <c r="BC8"/>
      <c r="BD8"/>
      <c r="BE8"/>
      <c r="BF8"/>
    </row>
    <row r="9" spans="1:58" x14ac:dyDescent="0.3">
      <c r="X9" s="42" t="s">
        <v>7</v>
      </c>
      <c r="Y9" s="1" t="s">
        <v>27</v>
      </c>
      <c r="Z9" s="1" t="s">
        <v>31</v>
      </c>
      <c r="AN9"/>
      <c r="AR9"/>
      <c r="AS9"/>
      <c r="AV9" s="6"/>
      <c r="AW9"/>
      <c r="AX9"/>
      <c r="AY9"/>
      <c r="AZ9"/>
      <c r="BB9" s="6"/>
      <c r="BC9"/>
      <c r="BD9"/>
      <c r="BE9"/>
      <c r="BF9"/>
    </row>
    <row r="10" spans="1:58" x14ac:dyDescent="0.3">
      <c r="AN10"/>
      <c r="AR10"/>
      <c r="AS10"/>
      <c r="AV10" s="6"/>
      <c r="AW10"/>
      <c r="AX10"/>
      <c r="AY10"/>
      <c r="AZ10"/>
      <c r="BB10" s="6"/>
      <c r="BC10"/>
      <c r="BD10"/>
      <c r="BE10"/>
      <c r="BF10"/>
    </row>
    <row r="11" spans="1:58" x14ac:dyDescent="0.3">
      <c r="AC11" s="32" t="s">
        <v>41</v>
      </c>
      <c r="AN11"/>
      <c r="AR11"/>
      <c r="AS11"/>
      <c r="AV11" s="6"/>
      <c r="AW11"/>
      <c r="AX11"/>
      <c r="AY11"/>
      <c r="AZ11"/>
      <c r="BB11" s="6"/>
      <c r="BC11"/>
      <c r="BD11"/>
      <c r="BE11"/>
      <c r="BF11"/>
    </row>
    <row r="12" spans="1:58" x14ac:dyDescent="0.3">
      <c r="AD12" s="47" t="s">
        <v>27</v>
      </c>
      <c r="AE12" s="32" t="s">
        <v>5</v>
      </c>
      <c r="AF12" s="32" t="s">
        <v>4</v>
      </c>
      <c r="AG12" s="32" t="s">
        <v>6</v>
      </c>
      <c r="AH12" s="32" t="s">
        <v>7</v>
      </c>
      <c r="AN12"/>
      <c r="AR12"/>
      <c r="AS12"/>
      <c r="AV12" s="6"/>
      <c r="AW12"/>
      <c r="AX12"/>
      <c r="AY12"/>
      <c r="AZ12"/>
      <c r="BB12" s="6"/>
      <c r="BC12"/>
      <c r="BD12"/>
      <c r="BE12"/>
      <c r="BF12"/>
    </row>
    <row r="13" spans="1:58" x14ac:dyDescent="0.3">
      <c r="AD13" s="47" t="s">
        <v>30</v>
      </c>
      <c r="AE13" s="32" t="s">
        <v>3</v>
      </c>
      <c r="AF13" s="32" t="s">
        <v>5</v>
      </c>
      <c r="AG13" s="32" t="s">
        <v>6</v>
      </c>
      <c r="AN13"/>
      <c r="AR13"/>
      <c r="AS13"/>
      <c r="AV13" s="6"/>
      <c r="AW13"/>
      <c r="AX13"/>
      <c r="AY13"/>
      <c r="AZ13"/>
      <c r="BB13" s="6"/>
      <c r="BC13"/>
      <c r="BD13"/>
      <c r="BE13"/>
      <c r="BF13"/>
    </row>
    <row r="14" spans="1:58" x14ac:dyDescent="0.3">
      <c r="AD14" s="47" t="s">
        <v>31</v>
      </c>
      <c r="AE14" s="32" t="s">
        <v>3</v>
      </c>
      <c r="AF14" s="32" t="s">
        <v>5</v>
      </c>
      <c r="AG14" s="32" t="s">
        <v>4</v>
      </c>
      <c r="AH14" s="32" t="s">
        <v>7</v>
      </c>
      <c r="AN14"/>
      <c r="AR14"/>
      <c r="AS14"/>
      <c r="AV14" s="6"/>
      <c r="AW14"/>
      <c r="AX14"/>
      <c r="AY14"/>
      <c r="AZ14"/>
      <c r="BB14" s="6"/>
      <c r="BC14"/>
      <c r="BD14"/>
      <c r="BE14"/>
      <c r="BF14"/>
    </row>
    <row r="15" spans="1:58" x14ac:dyDescent="0.3">
      <c r="AN15"/>
      <c r="AR15"/>
      <c r="AS15"/>
      <c r="AV15" s="6"/>
      <c r="AW15"/>
      <c r="AX15"/>
      <c r="AY15"/>
      <c r="AZ15"/>
      <c r="BB15" s="6"/>
      <c r="BC15"/>
      <c r="BD15"/>
      <c r="BE15"/>
      <c r="BF15"/>
    </row>
    <row r="16" spans="1:58" x14ac:dyDescent="0.3">
      <c r="AN16"/>
      <c r="AR16"/>
      <c r="AS16"/>
      <c r="AV16" s="6"/>
      <c r="AW16"/>
      <c r="AX16"/>
      <c r="AY16"/>
      <c r="AZ16"/>
      <c r="BB16" s="6"/>
      <c r="BC16"/>
      <c r="BD16"/>
      <c r="BE16"/>
      <c r="BF16"/>
    </row>
    <row r="17" spans="2:65" x14ac:dyDescent="0.3">
      <c r="AN17"/>
      <c r="AR17"/>
      <c r="AS17"/>
      <c r="AV17" s="6"/>
      <c r="AW17"/>
      <c r="AX17"/>
      <c r="AY17"/>
      <c r="AZ17"/>
      <c r="BB17" s="6"/>
      <c r="BC17"/>
      <c r="BD17"/>
      <c r="BE17"/>
      <c r="BF17"/>
    </row>
    <row r="18" spans="2:65" x14ac:dyDescent="0.3">
      <c r="AC18" s="32" t="s">
        <v>42</v>
      </c>
      <c r="AN18"/>
      <c r="AR18"/>
      <c r="AS18"/>
      <c r="AV18" s="6"/>
      <c r="AW18"/>
      <c r="AX18"/>
      <c r="AY18"/>
      <c r="AZ18"/>
      <c r="BB18" s="6"/>
      <c r="BC18"/>
      <c r="BD18"/>
      <c r="BE18"/>
      <c r="BF18"/>
    </row>
    <row r="19" spans="2:65" x14ac:dyDescent="0.3">
      <c r="AD19" s="47" t="s">
        <v>27</v>
      </c>
      <c r="AE19" s="32" t="s">
        <v>4</v>
      </c>
      <c r="AF19" s="32" t="s">
        <v>5</v>
      </c>
      <c r="AG19" s="32" t="s">
        <v>7</v>
      </c>
      <c r="AH19" s="32" t="s">
        <v>6</v>
      </c>
      <c r="AN19"/>
      <c r="AR19"/>
      <c r="AS19"/>
      <c r="AV19" s="6"/>
      <c r="AW19"/>
      <c r="AX19"/>
      <c r="AY19"/>
      <c r="AZ19"/>
      <c r="BB19" s="6"/>
      <c r="BC19"/>
      <c r="BD19"/>
      <c r="BE19"/>
      <c r="BF19"/>
    </row>
    <row r="20" spans="2:65" x14ac:dyDescent="0.3">
      <c r="AD20" s="47" t="s">
        <v>30</v>
      </c>
      <c r="AE20" s="32" t="s">
        <v>3</v>
      </c>
      <c r="AF20" s="32" t="s">
        <v>5</v>
      </c>
      <c r="AG20" s="32" t="s">
        <v>6</v>
      </c>
      <c r="AN20"/>
      <c r="AR20"/>
      <c r="AS20"/>
      <c r="AV20" s="6"/>
      <c r="AW20"/>
      <c r="AX20"/>
      <c r="AY20"/>
      <c r="AZ20"/>
      <c r="BB20" s="6"/>
      <c r="BC20"/>
      <c r="BD20"/>
      <c r="BE20"/>
      <c r="BF20"/>
    </row>
    <row r="21" spans="2:65" x14ac:dyDescent="0.3">
      <c r="AD21" s="47" t="s">
        <v>31</v>
      </c>
      <c r="AE21" s="32" t="s">
        <v>4</v>
      </c>
      <c r="AF21" s="32" t="s">
        <v>5</v>
      </c>
      <c r="AG21" s="32" t="s">
        <v>3</v>
      </c>
      <c r="AH21" s="32" t="s">
        <v>7</v>
      </c>
      <c r="AN21"/>
      <c r="AR21"/>
      <c r="AS21"/>
      <c r="AV21" s="6"/>
      <c r="AW21"/>
      <c r="AX21"/>
      <c r="AY21"/>
      <c r="AZ21"/>
      <c r="BB21" s="6"/>
      <c r="BC21"/>
      <c r="BD21"/>
      <c r="BE21"/>
      <c r="BF21"/>
    </row>
    <row r="22" spans="2:65" x14ac:dyDescent="0.3">
      <c r="AD22"/>
      <c r="AE22"/>
      <c r="AF22"/>
      <c r="AG22"/>
      <c r="AH22"/>
      <c r="AN22"/>
      <c r="AR22"/>
      <c r="AS22"/>
      <c r="AV22" s="6"/>
      <c r="AW22"/>
      <c r="AX22"/>
      <c r="AY22"/>
      <c r="AZ22"/>
      <c r="BB22" s="6"/>
      <c r="BC22"/>
      <c r="BD22"/>
      <c r="BE22"/>
      <c r="BF22"/>
    </row>
    <row r="23" spans="2:65" x14ac:dyDescent="0.3">
      <c r="AI23"/>
      <c r="AJ23"/>
      <c r="AK23"/>
      <c r="AL23"/>
      <c r="AM23"/>
      <c r="AN23"/>
      <c r="AR23"/>
      <c r="AS23"/>
      <c r="AV23" s="6"/>
      <c r="AW23"/>
      <c r="AX23"/>
      <c r="AY23"/>
      <c r="AZ23"/>
      <c r="BB23" s="6"/>
      <c r="BC23"/>
      <c r="BD23"/>
      <c r="BE23"/>
      <c r="BF23"/>
    </row>
    <row r="24" spans="2:65" x14ac:dyDescent="0.3">
      <c r="AI24"/>
      <c r="AJ24"/>
      <c r="AK24"/>
      <c r="AL24"/>
      <c r="AM24"/>
      <c r="AN24"/>
      <c r="AR24"/>
      <c r="AS24"/>
      <c r="AV24" s="6"/>
      <c r="AW24"/>
      <c r="AX24"/>
      <c r="AY24"/>
      <c r="AZ24"/>
      <c r="BB24" s="6"/>
      <c r="BC24"/>
      <c r="BD24"/>
      <c r="BE24"/>
    </row>
    <row r="25" spans="2:65" x14ac:dyDescent="0.3">
      <c r="V25" s="7"/>
      <c r="AJ25"/>
      <c r="AK25"/>
      <c r="AL25"/>
      <c r="AM25"/>
      <c r="AN25"/>
      <c r="AO25"/>
      <c r="BC25" s="6"/>
      <c r="BE25"/>
      <c r="BF25"/>
      <c r="BG25"/>
      <c r="BI25" s="6"/>
      <c r="BJ25" s="38"/>
    </row>
    <row r="26" spans="2:65" x14ac:dyDescent="0.3">
      <c r="L26" s="45" t="s">
        <v>27</v>
      </c>
      <c r="M26" s="45"/>
      <c r="N26" s="45"/>
      <c r="P26" s="45" t="s">
        <v>30</v>
      </c>
      <c r="Q26" s="45"/>
      <c r="R26" s="45"/>
      <c r="T26" s="45" t="s">
        <v>31</v>
      </c>
      <c r="U26" s="45"/>
      <c r="V26" s="45"/>
      <c r="AJ26"/>
      <c r="AK26"/>
      <c r="AL26"/>
      <c r="AM26"/>
      <c r="AN26"/>
      <c r="AO26"/>
      <c r="AS26"/>
      <c r="AT26"/>
      <c r="AY26"/>
    </row>
    <row r="27" spans="2:65" x14ac:dyDescent="0.3">
      <c r="L27" s="7" t="s">
        <v>24</v>
      </c>
      <c r="N27" s="7"/>
      <c r="P27" s="7" t="s">
        <v>24</v>
      </c>
      <c r="R27" s="7"/>
      <c r="T27" s="7" t="s">
        <v>24</v>
      </c>
      <c r="V27" s="7"/>
      <c r="AJ27"/>
      <c r="AK27"/>
      <c r="AL27"/>
      <c r="AM27"/>
      <c r="AN27"/>
      <c r="AO27"/>
      <c r="AS27" s="45" t="s">
        <v>27</v>
      </c>
      <c r="AT27" s="45"/>
      <c r="AU27" s="45"/>
      <c r="AV27" s="45"/>
      <c r="AW27" s="45"/>
      <c r="AX27" s="45"/>
      <c r="AZ27" s="45" t="s">
        <v>30</v>
      </c>
      <c r="BA27" s="45"/>
      <c r="BB27" s="45"/>
      <c r="BC27" s="45"/>
      <c r="BD27" s="45"/>
      <c r="BE27" s="45"/>
      <c r="BG27" s="45" t="s">
        <v>31</v>
      </c>
      <c r="BH27" s="45"/>
      <c r="BI27" s="45"/>
      <c r="BJ27" s="45"/>
      <c r="BK27" s="45"/>
      <c r="BL27" s="45"/>
    </row>
    <row r="28" spans="2:65" x14ac:dyDescent="0.3">
      <c r="L28"/>
      <c r="N28"/>
      <c r="P28"/>
      <c r="R28"/>
      <c r="T28"/>
      <c r="V28"/>
      <c r="AJ28"/>
      <c r="AK28"/>
      <c r="AL28"/>
      <c r="AM28"/>
      <c r="AN28"/>
      <c r="AO28"/>
      <c r="AR28" s="2"/>
      <c r="AS28"/>
      <c r="AU28"/>
      <c r="AV28"/>
      <c r="AW28" s="2"/>
      <c r="AX28" s="2"/>
      <c r="AY28"/>
      <c r="BA28"/>
      <c r="BB28"/>
      <c r="BC28"/>
      <c r="BD28" s="2"/>
      <c r="BE28"/>
      <c r="BH28"/>
      <c r="BI28"/>
    </row>
    <row r="29" spans="2:65" customFormat="1" ht="13.2" x14ac:dyDescent="0.25">
      <c r="B29" s="41" t="s">
        <v>1</v>
      </c>
      <c r="C29" s="41" t="s">
        <v>15</v>
      </c>
      <c r="D29" s="41" t="s">
        <v>10</v>
      </c>
      <c r="F29" s="41" t="s">
        <v>23</v>
      </c>
      <c r="G29" s="41" t="s">
        <v>1</v>
      </c>
      <c r="H29" s="41" t="s">
        <v>24</v>
      </c>
      <c r="I29" s="41" t="s">
        <v>17</v>
      </c>
      <c r="J29" s="41" t="s">
        <v>2</v>
      </c>
      <c r="L29" s="41" t="s">
        <v>0</v>
      </c>
      <c r="M29" s="41" t="s">
        <v>23</v>
      </c>
      <c r="N29" s="41" t="s">
        <v>1</v>
      </c>
      <c r="P29" s="41" t="s">
        <v>0</v>
      </c>
      <c r="Q29" s="41" t="s">
        <v>23</v>
      </c>
      <c r="R29" s="41" t="s">
        <v>1</v>
      </c>
      <c r="T29" s="41" t="s">
        <v>0</v>
      </c>
      <c r="U29" s="41" t="s">
        <v>23</v>
      </c>
      <c r="V29" s="41" t="s">
        <v>1</v>
      </c>
      <c r="X29" s="41" t="s">
        <v>23</v>
      </c>
      <c r="Y29" s="41" t="s">
        <v>1</v>
      </c>
      <c r="Z29" s="41" t="s">
        <v>24</v>
      </c>
      <c r="AA29" s="41" t="s">
        <v>17</v>
      </c>
      <c r="AB29" s="41" t="s">
        <v>2</v>
      </c>
      <c r="AC29" s="41" t="s">
        <v>44</v>
      </c>
      <c r="AD29" s="41" t="s">
        <v>45</v>
      </c>
      <c r="AE29" s="41" t="s">
        <v>15</v>
      </c>
      <c r="AF29" s="41" t="s">
        <v>10</v>
      </c>
      <c r="AG29" s="41" t="s">
        <v>12</v>
      </c>
      <c r="AH29" s="41" t="s">
        <v>13</v>
      </c>
      <c r="AJ29" s="41" t="s">
        <v>1</v>
      </c>
      <c r="AK29" s="41" t="s">
        <v>3</v>
      </c>
      <c r="AL29" s="41" t="s">
        <v>8</v>
      </c>
      <c r="AM29" s="41" t="s">
        <v>9</v>
      </c>
      <c r="AN29" s="41" t="s">
        <v>11</v>
      </c>
      <c r="AP29" s="41" t="s">
        <v>47</v>
      </c>
      <c r="AQ29" s="41" t="s">
        <v>25</v>
      </c>
      <c r="AS29" s="41" t="s">
        <v>23</v>
      </c>
      <c r="AT29" s="41" t="s">
        <v>1</v>
      </c>
      <c r="AU29" s="41" t="s">
        <v>12</v>
      </c>
      <c r="AV29" s="41" t="s">
        <v>13</v>
      </c>
      <c r="AW29" s="41" t="s">
        <v>14</v>
      </c>
      <c r="AX29" s="41" t="s">
        <v>46</v>
      </c>
      <c r="AZ29" s="41" t="s">
        <v>23</v>
      </c>
      <c r="BA29" s="41" t="s">
        <v>1</v>
      </c>
      <c r="BB29" s="41" t="s">
        <v>12</v>
      </c>
      <c r="BC29" s="41" t="s">
        <v>13</v>
      </c>
      <c r="BD29" s="41" t="s">
        <v>14</v>
      </c>
      <c r="BE29" s="41" t="s">
        <v>46</v>
      </c>
      <c r="BG29" s="41" t="s">
        <v>23</v>
      </c>
      <c r="BH29" s="41" t="s">
        <v>1</v>
      </c>
      <c r="BI29" s="41" t="s">
        <v>12</v>
      </c>
      <c r="BJ29" s="41" t="s">
        <v>13</v>
      </c>
      <c r="BK29" s="41" t="s">
        <v>14</v>
      </c>
      <c r="BL29" s="41" t="s">
        <v>46</v>
      </c>
    </row>
    <row r="30" spans="2:65" x14ac:dyDescent="0.3">
      <c r="B30" t="s">
        <v>4</v>
      </c>
      <c r="C30">
        <v>0</v>
      </c>
      <c r="D30">
        <v>10</v>
      </c>
      <c r="F30">
        <v>1</v>
      </c>
      <c r="G30" t="s">
        <v>4</v>
      </c>
      <c r="H30">
        <v>1</v>
      </c>
      <c r="I30">
        <v>1</v>
      </c>
      <c r="J30">
        <v>2</v>
      </c>
      <c r="L30">
        <v>1</v>
      </c>
      <c r="M30" s="8">
        <v>1</v>
      </c>
      <c r="N30" s="8" t="s">
        <v>4</v>
      </c>
      <c r="P30">
        <v>1</v>
      </c>
      <c r="Q30" s="8">
        <v>6</v>
      </c>
      <c r="R30" s="8" t="s">
        <v>3</v>
      </c>
      <c r="T30">
        <v>1</v>
      </c>
      <c r="U30" s="8">
        <v>2</v>
      </c>
      <c r="V30" s="8" t="s">
        <v>4</v>
      </c>
      <c r="X30">
        <f>JS3_TabRot[[#This Row],[Op]]</f>
        <v>1</v>
      </c>
      <c r="Y30" t="str">
        <f>JS3_TabRot[[#This Row],[Job]]</f>
        <v>A</v>
      </c>
      <c r="Z30">
        <f>JS3_TabRot[[#This Row],[Seq]]</f>
        <v>1</v>
      </c>
      <c r="AA30">
        <f>JS3_TabRot[[#This Row],[Maq]]</f>
        <v>1</v>
      </c>
      <c r="AB30">
        <f>JS3_TabRot[[#This Row],[p]]</f>
        <v>2</v>
      </c>
      <c r="AC30">
        <f>IF(Z30=1,0,X30-1)</f>
        <v>0</v>
      </c>
      <c r="AD30">
        <f ca="1">IF(MATCH(X30,INDIRECT("JS3_Tab2"&amp;AA30&amp;"[Op]"),0)=1,0,OFFSET(INDIRECT("JS3_Tab2"&amp;AA30&amp;"[[#Cabeçalhos];[Op]]"),MATCH(X30,INDIRECT("JS3_Tab2"&amp;AA30&amp;"[Op]"),0)-1,0))</f>
        <v>0</v>
      </c>
      <c r="AE30">
        <f>IF(AC30=0,VLOOKUP(Y30,JS3_TabJob[],2),"")</f>
        <v>0</v>
      </c>
      <c r="AF30">
        <f>VLOOKUP(Y30,JS3_TabJob[],3,0)</f>
        <v>10</v>
      </c>
      <c r="AG30">
        <f ca="1">MAX(IF(AC30=0,AE30,OFFSET($AH$29,AC30,0)),OFFSET($AH$29,AD30,0))</f>
        <v>0</v>
      </c>
      <c r="AH30">
        <f ca="1">JS3_TabOp[[#This Row],[ti]]+JS3_TabOp[[#This Row],[p]]</f>
        <v>2</v>
      </c>
      <c r="AI30"/>
      <c r="AJ30" t="str">
        <f>JS3_TabJob[[#This Row],[Job]]</f>
        <v>A</v>
      </c>
      <c r="AK30" s="8">
        <f t="array" aca="1" ref="AK30" ca="1">MAX(IF(JS3_TabOp[Job]=JS3_TabInd1[[#This Row],[Job]],JS3_TabOp[tf]))</f>
        <v>7</v>
      </c>
      <c r="AL30" s="8">
        <f ca="1">AK30-C30</f>
        <v>7</v>
      </c>
      <c r="AM30">
        <f ca="1">AK30-D30</f>
        <v>-3</v>
      </c>
      <c r="AN30">
        <f t="shared" ref="AN30:AN34" ca="1" si="0">MAX(0,AM30)</f>
        <v>0</v>
      </c>
      <c r="AP30" t="s">
        <v>19</v>
      </c>
      <c r="AQ30" s="9">
        <f ca="1">MAX(JS3_TabInd1[C])</f>
        <v>19</v>
      </c>
      <c r="AR30" s="9"/>
      <c r="AS30">
        <f t="shared" ref="AS30:AS39" si="1">IF(M30="","",M30)</f>
        <v>1</v>
      </c>
      <c r="AT30" t="str">
        <f t="shared" ref="AT30:AT39" si="2">IF(N30="","",N30)</f>
        <v>A</v>
      </c>
      <c r="AU30">
        <f ca="1">IF(AS30="","",VLOOKUP(JS3_TabM1[[#This Row],[Op]],JS3_TabOp[],10))</f>
        <v>0</v>
      </c>
      <c r="AV30">
        <f ca="1">IF(AS30="","",VLOOKUP(AS30,JS3_TabOp[],11))</f>
        <v>2</v>
      </c>
      <c r="AW30">
        <f t="shared" ref="AW30:AW39" ca="1" si="3">IF(AS30="","",IF(ISNUMBER(AV29),AU30-AV29,AU30))</f>
        <v>0</v>
      </c>
      <c r="AX30">
        <f t="shared" ref="AX30:AX39" ca="1" si="4">IF(AS30="","",AV30-AU30)</f>
        <v>2</v>
      </c>
      <c r="AY30"/>
      <c r="AZ30">
        <f t="shared" ref="AZ30:AZ39" si="5">IF(Q30="","",Q30)</f>
        <v>6</v>
      </c>
      <c r="BA30" t="str">
        <f t="shared" ref="BA30:BA39" si="6">IF(R30="","",R30)</f>
        <v>C</v>
      </c>
      <c r="BB30">
        <f ca="1">IF(AZ30="","",VLOOKUP(JS3_TabM2[[#This Row],[Op]],JS3_TabOp[],10))</f>
        <v>0</v>
      </c>
      <c r="BC30">
        <f ca="1">IF(AZ30="","",VLOOKUP(AZ30,JS3_TabOp[],11))</f>
        <v>3</v>
      </c>
      <c r="BD30">
        <f t="shared" ref="BD30:BD39" ca="1" si="7">IF(AZ30="","",IF(ISNUMBER(BC29),BB30-BC29,BB30))</f>
        <v>0</v>
      </c>
      <c r="BE30">
        <f t="shared" ref="BE30:BE39" ca="1" si="8">IF(AZ30="","",BC30-BB30)</f>
        <v>3</v>
      </c>
      <c r="BF30"/>
      <c r="BG30">
        <f t="shared" ref="BG30:BG39" si="9">IF(U30="","",U30)</f>
        <v>2</v>
      </c>
      <c r="BH30" t="str">
        <f t="shared" ref="BH30:BH39" si="10">IF(V30="","",V30)</f>
        <v>A</v>
      </c>
      <c r="BI30">
        <f ca="1">IF(BG30="","",VLOOKUP(JS3_TabM3[[#This Row],[Op]],JS3_TabOp[],10))</f>
        <v>2</v>
      </c>
      <c r="BJ30">
        <f ca="1">IF(BG30="","",VLOOKUP(BG30,JS3_TabOp[],11))</f>
        <v>7</v>
      </c>
      <c r="BK30">
        <f t="shared" ref="BK30:BK39" ca="1" si="11">IF(BG30="","",IF(ISNUMBER(BJ29),BI30-BJ29,BI30))</f>
        <v>2</v>
      </c>
      <c r="BL30">
        <f t="shared" ref="BL30:BL39" ca="1" si="12">IF(BG30="","",BJ30-BI30)</f>
        <v>5</v>
      </c>
      <c r="BM30"/>
    </row>
    <row r="31" spans="2:65" x14ac:dyDescent="0.3">
      <c r="B31" t="s">
        <v>5</v>
      </c>
      <c r="C31">
        <v>0</v>
      </c>
      <c r="D31">
        <v>10</v>
      </c>
      <c r="F31">
        <v>2</v>
      </c>
      <c r="G31" t="s">
        <v>4</v>
      </c>
      <c r="H31">
        <v>2</v>
      </c>
      <c r="I31">
        <v>3</v>
      </c>
      <c r="J31">
        <v>5</v>
      </c>
      <c r="L31">
        <v>2</v>
      </c>
      <c r="M31" s="8">
        <v>3</v>
      </c>
      <c r="N31" s="8" t="s">
        <v>5</v>
      </c>
      <c r="P31">
        <v>2</v>
      </c>
      <c r="Q31" s="8">
        <v>4</v>
      </c>
      <c r="R31" s="8" t="s">
        <v>5</v>
      </c>
      <c r="T31">
        <v>2</v>
      </c>
      <c r="U31" s="8">
        <v>7</v>
      </c>
      <c r="V31" s="31" t="s">
        <v>3</v>
      </c>
      <c r="X31">
        <f>JS3_TabRot[[#This Row],[Op]]</f>
        <v>2</v>
      </c>
      <c r="Y31" t="str">
        <f>JS3_TabRot[[#This Row],[Job]]</f>
        <v>A</v>
      </c>
      <c r="Z31">
        <f>JS3_TabRot[[#This Row],[Seq]]</f>
        <v>2</v>
      </c>
      <c r="AA31">
        <f>JS3_TabRot[[#This Row],[Maq]]</f>
        <v>3</v>
      </c>
      <c r="AB31">
        <f>JS3_TabRot[[#This Row],[p]]</f>
        <v>5</v>
      </c>
      <c r="AC31">
        <f t="shared" ref="AC31:AC40" si="13">IF(Z31=1,0,X31-1)</f>
        <v>1</v>
      </c>
      <c r="AD31">
        <f t="shared" ref="AD31:AD40" ca="1" si="14">IF(MATCH(X31,INDIRECT("JS3_Tab2"&amp;AA31&amp;"[Op]"),0)=1,0,OFFSET(INDIRECT("JS3_Tab2"&amp;AA31&amp;"[[#Cabeçalhos];[Op]]"),MATCH(X31,INDIRECT("JS3_Tab2"&amp;AA31&amp;"[Op]"),0)-1,0))</f>
        <v>0</v>
      </c>
      <c r="AE31" t="str">
        <f>IF(AC31=0,VLOOKUP(Y31,JS3_TabJob[],2),"")</f>
        <v/>
      </c>
      <c r="AF31">
        <f>VLOOKUP(Y31,JS3_TabJob[],3,0)</f>
        <v>10</v>
      </c>
      <c r="AG31">
        <f t="shared" ref="AG31:AG40" ca="1" si="15">MAX(IF(AC31=0,AE31,OFFSET($AH$29,AC31,0)),OFFSET($AH$29,AD31,0))</f>
        <v>2</v>
      </c>
      <c r="AH31">
        <f ca="1">JS3_TabOp[[#This Row],[ti]]+JS3_TabOp[[#This Row],[p]]</f>
        <v>7</v>
      </c>
      <c r="AI31"/>
      <c r="AJ31" t="str">
        <f>JS3_TabJob[[#This Row],[Job]]</f>
        <v>B</v>
      </c>
      <c r="AK31" s="8">
        <f t="array" aca="1" ref="AK31" ca="1">MAX(IF(JS3_TabOp[Job]=JS3_TabInd1[[#This Row],[Job]],JS3_TabOp[tf]))</f>
        <v>14</v>
      </c>
      <c r="AL31" s="8">
        <f ca="1">AK31-C31</f>
        <v>14</v>
      </c>
      <c r="AM31">
        <f ca="1">AK31-D31</f>
        <v>4</v>
      </c>
      <c r="AN31">
        <f t="shared" ca="1" si="0"/>
        <v>4</v>
      </c>
      <c r="AP31" t="s">
        <v>18</v>
      </c>
      <c r="AQ31" s="9">
        <f ca="1">AVERAGE(JS3_TabInd1[F])</f>
        <v>10</v>
      </c>
      <c r="AR31" s="9"/>
      <c r="AS31">
        <f t="shared" si="1"/>
        <v>3</v>
      </c>
      <c r="AT31" t="str">
        <f t="shared" si="2"/>
        <v>B</v>
      </c>
      <c r="AU31">
        <f ca="1">IF(AS31="","",VLOOKUP(JS3_TabM1[[#This Row],[Op]],JS3_TabOp[],10))</f>
        <v>2</v>
      </c>
      <c r="AV31">
        <f ca="1">IF(AS31="","",VLOOKUP(AS31,JS3_TabOp[],11))</f>
        <v>3</v>
      </c>
      <c r="AW31">
        <f t="shared" ca="1" si="3"/>
        <v>0</v>
      </c>
      <c r="AX31">
        <f t="shared" ca="1" si="4"/>
        <v>1</v>
      </c>
      <c r="AY31"/>
      <c r="AZ31">
        <f t="shared" si="5"/>
        <v>4</v>
      </c>
      <c r="BA31" t="str">
        <f t="shared" si="6"/>
        <v>B</v>
      </c>
      <c r="BB31">
        <f ca="1">IF(AZ31="","",VLOOKUP(JS3_TabM2[[#This Row],[Op]],JS3_TabOp[],10))</f>
        <v>3</v>
      </c>
      <c r="BC31">
        <f ca="1">IF(AZ31="","",VLOOKUP(AZ31,JS3_TabOp[],11))</f>
        <v>6</v>
      </c>
      <c r="BD31">
        <f t="shared" ca="1" si="7"/>
        <v>0</v>
      </c>
      <c r="BE31">
        <f t="shared" ca="1" si="8"/>
        <v>3</v>
      </c>
      <c r="BF31"/>
      <c r="BG31">
        <f t="shared" si="9"/>
        <v>7</v>
      </c>
      <c r="BH31" t="str">
        <f t="shared" si="10"/>
        <v>C</v>
      </c>
      <c r="BI31">
        <f ca="1">IF(BG31="","",VLOOKUP(JS3_TabM3[[#This Row],[Op]],JS3_TabOp[],10))</f>
        <v>7</v>
      </c>
      <c r="BJ31">
        <f ca="1">IF(BG31="","",VLOOKUP(BG31,JS3_TabOp[],11))</f>
        <v>10</v>
      </c>
      <c r="BK31">
        <f t="shared" ca="1" si="11"/>
        <v>0</v>
      </c>
      <c r="BL31">
        <f t="shared" ca="1" si="12"/>
        <v>3</v>
      </c>
      <c r="BM31"/>
    </row>
    <row r="32" spans="2:65" x14ac:dyDescent="0.3">
      <c r="B32" t="s">
        <v>3</v>
      </c>
      <c r="C32">
        <v>0</v>
      </c>
      <c r="D32">
        <v>10</v>
      </c>
      <c r="F32">
        <v>3</v>
      </c>
      <c r="G32" t="s">
        <v>5</v>
      </c>
      <c r="H32">
        <v>1</v>
      </c>
      <c r="I32">
        <v>1</v>
      </c>
      <c r="J32">
        <v>1</v>
      </c>
      <c r="L32">
        <v>3</v>
      </c>
      <c r="M32" s="8">
        <v>8</v>
      </c>
      <c r="N32" s="31" t="s">
        <v>6</v>
      </c>
      <c r="P32">
        <v>3</v>
      </c>
      <c r="Q32" s="8">
        <v>9</v>
      </c>
      <c r="R32" s="8" t="s">
        <v>6</v>
      </c>
      <c r="T32">
        <v>3</v>
      </c>
      <c r="U32" s="8">
        <v>5</v>
      </c>
      <c r="V32" s="31" t="s">
        <v>5</v>
      </c>
      <c r="X32">
        <f>JS3_TabRot[[#This Row],[Op]]</f>
        <v>3</v>
      </c>
      <c r="Y32" t="str">
        <f>JS3_TabRot[[#This Row],[Job]]</f>
        <v>B</v>
      </c>
      <c r="Z32">
        <f>JS3_TabRot[[#This Row],[Seq]]</f>
        <v>1</v>
      </c>
      <c r="AA32">
        <f>JS3_TabRot[[#This Row],[Maq]]</f>
        <v>1</v>
      </c>
      <c r="AB32">
        <f>JS3_TabRot[[#This Row],[p]]</f>
        <v>1</v>
      </c>
      <c r="AC32">
        <f t="shared" si="13"/>
        <v>0</v>
      </c>
      <c r="AD32">
        <f t="shared" ca="1" si="14"/>
        <v>1</v>
      </c>
      <c r="AE32">
        <f>IF(AC32=0,VLOOKUP(Y32,JS3_TabJob[],2),"")</f>
        <v>0</v>
      </c>
      <c r="AF32">
        <f>VLOOKUP(Y32,JS3_TabJob[],3,0)</f>
        <v>10</v>
      </c>
      <c r="AG32">
        <f t="shared" ca="1" si="15"/>
        <v>2</v>
      </c>
      <c r="AH32">
        <f ca="1">JS3_TabOp[[#This Row],[ti]]+JS3_TabOp[[#This Row],[p]]</f>
        <v>3</v>
      </c>
      <c r="AI32"/>
      <c r="AJ32" t="str">
        <f>JS3_TabJob[[#This Row],[Job]]</f>
        <v>C</v>
      </c>
      <c r="AK32" s="8">
        <f t="array" aca="1" ref="AK32" ca="1">MAX(IF(JS3_TabOp[Job]=JS3_TabInd1[[#This Row],[Job]],JS3_TabOp[tf]))</f>
        <v>10</v>
      </c>
      <c r="AL32" s="8">
        <f ca="1">AK32-C32</f>
        <v>10</v>
      </c>
      <c r="AM32">
        <f ca="1">AK32-D32</f>
        <v>0</v>
      </c>
      <c r="AN32">
        <f t="shared" ca="1" si="0"/>
        <v>0</v>
      </c>
      <c r="AP32" t="s">
        <v>20</v>
      </c>
      <c r="AQ32" s="9">
        <f ca="1">SUM(JS3_TabInd1[T])</f>
        <v>8</v>
      </c>
      <c r="AR32" s="9"/>
      <c r="AS32">
        <f t="shared" si="1"/>
        <v>8</v>
      </c>
      <c r="AT32" t="str">
        <f t="shared" si="2"/>
        <v>D</v>
      </c>
      <c r="AU32">
        <f ca="1">IF(AS32="","",VLOOKUP(JS3_TabM1[[#This Row],[Op]],JS3_TabOp[],10))</f>
        <v>5</v>
      </c>
      <c r="AV32">
        <f ca="1">IF(AS32="","",VLOOKUP(AS32,JS3_TabOp[],11))</f>
        <v>7</v>
      </c>
      <c r="AW32">
        <f t="shared" ca="1" si="3"/>
        <v>2</v>
      </c>
      <c r="AX32">
        <f t="shared" ca="1" si="4"/>
        <v>2</v>
      </c>
      <c r="AY32"/>
      <c r="AZ32">
        <f t="shared" si="5"/>
        <v>9</v>
      </c>
      <c r="BA32" t="str">
        <f t="shared" si="6"/>
        <v>D</v>
      </c>
      <c r="BB32">
        <f ca="1">IF(AZ32="","",VLOOKUP(JS3_TabM2[[#This Row],[Op]],JS3_TabOp[],10))</f>
        <v>7</v>
      </c>
      <c r="BC32">
        <f ca="1">IF(AZ32="","",VLOOKUP(AZ32,JS3_TabOp[],11))</f>
        <v>10</v>
      </c>
      <c r="BD32">
        <f t="shared" ca="1" si="7"/>
        <v>1</v>
      </c>
      <c r="BE32">
        <f t="shared" ca="1" si="8"/>
        <v>3</v>
      </c>
      <c r="BF32"/>
      <c r="BG32">
        <f t="shared" si="9"/>
        <v>5</v>
      </c>
      <c r="BH32" t="str">
        <f t="shared" si="10"/>
        <v>B</v>
      </c>
      <c r="BI32">
        <f ca="1">IF(BG32="","",VLOOKUP(JS3_TabM3[[#This Row],[Op]],JS3_TabOp[],10))</f>
        <v>10</v>
      </c>
      <c r="BJ32">
        <f ca="1">IF(BG32="","",VLOOKUP(BG32,JS3_TabOp[],11))</f>
        <v>14</v>
      </c>
      <c r="BK32">
        <f t="shared" ca="1" si="11"/>
        <v>0</v>
      </c>
      <c r="BL32">
        <f t="shared" ca="1" si="12"/>
        <v>4</v>
      </c>
      <c r="BM32"/>
    </row>
    <row r="33" spans="2:65" x14ac:dyDescent="0.3">
      <c r="B33" t="s">
        <v>6</v>
      </c>
      <c r="C33">
        <v>5</v>
      </c>
      <c r="D33">
        <v>15</v>
      </c>
      <c r="F33">
        <v>4</v>
      </c>
      <c r="G33" t="s">
        <v>5</v>
      </c>
      <c r="H33">
        <v>2</v>
      </c>
      <c r="I33">
        <v>2</v>
      </c>
      <c r="J33">
        <v>3</v>
      </c>
      <c r="L33">
        <v>4</v>
      </c>
      <c r="M33" s="8">
        <v>10</v>
      </c>
      <c r="N33" s="31" t="s">
        <v>7</v>
      </c>
      <c r="P33"/>
      <c r="Q33"/>
      <c r="R33"/>
      <c r="T33" s="1">
        <v>4</v>
      </c>
      <c r="U33" s="8">
        <v>11</v>
      </c>
      <c r="V33" s="31" t="s">
        <v>7</v>
      </c>
      <c r="X33">
        <f>JS3_TabRot[[#This Row],[Op]]</f>
        <v>4</v>
      </c>
      <c r="Y33" t="str">
        <f>JS3_TabRot[[#This Row],[Job]]</f>
        <v>B</v>
      </c>
      <c r="Z33">
        <f>JS3_TabRot[[#This Row],[Seq]]</f>
        <v>2</v>
      </c>
      <c r="AA33">
        <f>JS3_TabRot[[#This Row],[Maq]]</f>
        <v>2</v>
      </c>
      <c r="AB33">
        <f>JS3_TabRot[[#This Row],[p]]</f>
        <v>3</v>
      </c>
      <c r="AC33">
        <f t="shared" si="13"/>
        <v>3</v>
      </c>
      <c r="AD33">
        <f t="shared" ca="1" si="14"/>
        <v>6</v>
      </c>
      <c r="AE33" t="str">
        <f>IF(AC33=0,VLOOKUP(Y33,JS3_TabJob[],2),"")</f>
        <v/>
      </c>
      <c r="AF33">
        <f>VLOOKUP(Y33,JS3_TabJob[],3,0)</f>
        <v>10</v>
      </c>
      <c r="AG33">
        <f t="shared" ca="1" si="15"/>
        <v>3</v>
      </c>
      <c r="AH33">
        <f ca="1">JS3_TabOp[[#This Row],[ti]]+JS3_TabOp[[#This Row],[p]]</f>
        <v>6</v>
      </c>
      <c r="AI33"/>
      <c r="AJ33" t="str">
        <f>JS3_TabJob[[#This Row],[Job]]</f>
        <v>D</v>
      </c>
      <c r="AK33" s="8">
        <f t="array" aca="1" ref="AK33" ca="1">MAX(IF(JS3_TabOp[Job]=JS3_TabInd1[[#This Row],[Job]],JS3_TabOp[tf]))</f>
        <v>10</v>
      </c>
      <c r="AL33" s="8">
        <f ca="1">AK33-C33</f>
        <v>5</v>
      </c>
      <c r="AM33">
        <f ca="1">AK33-D33</f>
        <v>-5</v>
      </c>
      <c r="AN33">
        <f t="shared" ca="1" si="0"/>
        <v>0</v>
      </c>
      <c r="AP33" t="s">
        <v>21</v>
      </c>
      <c r="AQ33" s="9">
        <f ca="1">MAX(JS3_TabInd1[T])</f>
        <v>4</v>
      </c>
      <c r="AR33" s="9"/>
      <c r="AS33">
        <f t="shared" si="1"/>
        <v>10</v>
      </c>
      <c r="AT33" t="str">
        <f t="shared" si="2"/>
        <v>E</v>
      </c>
      <c r="AU33">
        <f ca="1">IF(AS33="","",VLOOKUP(JS3_TabM1[[#This Row],[Op]],JS3_TabOp[],10))</f>
        <v>7</v>
      </c>
      <c r="AV33">
        <f ca="1">IF(AS33="","",VLOOKUP(AS33,JS3_TabOp[],11))</f>
        <v>9</v>
      </c>
      <c r="AW33">
        <f t="shared" ca="1" si="3"/>
        <v>0</v>
      </c>
      <c r="AX33">
        <f t="shared" ca="1" si="4"/>
        <v>2</v>
      </c>
      <c r="AY33"/>
      <c r="AZ33" t="str">
        <f t="shared" si="5"/>
        <v/>
      </c>
      <c r="BA33" t="str">
        <f t="shared" si="6"/>
        <v/>
      </c>
      <c r="BB33" t="str">
        <f>IF(AZ33="","",VLOOKUP(JS3_TabM2[[#This Row],[Op]],JS3_TabOp[],10))</f>
        <v/>
      </c>
      <c r="BC33" t="str">
        <f>IF(AZ33="","",VLOOKUP(AZ33,JS3_TabOp[],11))</f>
        <v/>
      </c>
      <c r="BD33" t="str">
        <f t="shared" si="7"/>
        <v/>
      </c>
      <c r="BE33" t="str">
        <f t="shared" si="8"/>
        <v/>
      </c>
      <c r="BF33"/>
      <c r="BG33">
        <f t="shared" si="9"/>
        <v>11</v>
      </c>
      <c r="BH33" t="str">
        <f t="shared" si="10"/>
        <v>E</v>
      </c>
      <c r="BI33">
        <f ca="1">IF(BG33="","",VLOOKUP(JS3_TabM3[[#This Row],[Op]],JS3_TabOp[],10))</f>
        <v>14</v>
      </c>
      <c r="BJ33">
        <f ca="1">IF(BG33="","",VLOOKUP(BG33,JS3_TabOp[],11))</f>
        <v>19</v>
      </c>
      <c r="BK33">
        <f t="shared" ca="1" si="11"/>
        <v>0</v>
      </c>
      <c r="BL33">
        <f t="shared" ca="1" si="12"/>
        <v>5</v>
      </c>
      <c r="BM33"/>
    </row>
    <row r="34" spans="2:65" x14ac:dyDescent="0.3">
      <c r="B34" t="s">
        <v>7</v>
      </c>
      <c r="C34">
        <v>5</v>
      </c>
      <c r="D34">
        <v>15</v>
      </c>
      <c r="F34">
        <v>5</v>
      </c>
      <c r="G34" t="s">
        <v>5</v>
      </c>
      <c r="H34">
        <v>3</v>
      </c>
      <c r="I34">
        <v>3</v>
      </c>
      <c r="J34">
        <v>4</v>
      </c>
      <c r="L34"/>
      <c r="M34" s="8"/>
      <c r="N34" s="8"/>
      <c r="P34"/>
      <c r="Q34"/>
      <c r="R34"/>
      <c r="T34"/>
      <c r="U34"/>
      <c r="V34"/>
      <c r="X34">
        <f>JS3_TabRot[[#This Row],[Op]]</f>
        <v>5</v>
      </c>
      <c r="Y34" t="str">
        <f>JS3_TabRot[[#This Row],[Job]]</f>
        <v>B</v>
      </c>
      <c r="Z34">
        <f>JS3_TabRot[[#This Row],[Seq]]</f>
        <v>3</v>
      </c>
      <c r="AA34">
        <f>JS3_TabRot[[#This Row],[Maq]]</f>
        <v>3</v>
      </c>
      <c r="AB34">
        <f>JS3_TabRot[[#This Row],[p]]</f>
        <v>4</v>
      </c>
      <c r="AC34">
        <f t="shared" si="13"/>
        <v>4</v>
      </c>
      <c r="AD34">
        <f t="shared" ca="1" si="14"/>
        <v>7</v>
      </c>
      <c r="AE34" t="str">
        <f>IF(AC34=0,VLOOKUP(Y34,JS3_TabJob[],2),"")</f>
        <v/>
      </c>
      <c r="AF34">
        <f>VLOOKUP(Y34,JS3_TabJob[],3,0)</f>
        <v>10</v>
      </c>
      <c r="AG34">
        <f t="shared" ca="1" si="15"/>
        <v>10</v>
      </c>
      <c r="AH34">
        <f ca="1">JS3_TabOp[[#This Row],[ti]]+JS3_TabOp[[#This Row],[p]]</f>
        <v>14</v>
      </c>
      <c r="AI34"/>
      <c r="AJ34" t="str">
        <f>JS3_TabJob[[#This Row],[Job]]</f>
        <v>E</v>
      </c>
      <c r="AK34" s="8">
        <f t="array" aca="1" ref="AK34" ca="1">MAX(IF(JS3_TabOp[Job]=JS3_TabInd1[[#This Row],[Job]],JS3_TabOp[tf]))</f>
        <v>19</v>
      </c>
      <c r="AL34" s="8">
        <f ca="1">AK34-C34</f>
        <v>14</v>
      </c>
      <c r="AM34">
        <f ca="1">AK34-D34</f>
        <v>4</v>
      </c>
      <c r="AN34">
        <f t="shared" ca="1" si="0"/>
        <v>4</v>
      </c>
      <c r="AP34" t="s">
        <v>22</v>
      </c>
      <c r="AQ34" s="25">
        <f ca="1">COUNTIF(JS3_TabInd1[T],"&gt;0")</f>
        <v>2</v>
      </c>
      <c r="AR34" s="9"/>
      <c r="AS34" t="str">
        <f t="shared" si="1"/>
        <v/>
      </c>
      <c r="AT34" t="str">
        <f t="shared" si="2"/>
        <v/>
      </c>
      <c r="AU34" t="str">
        <f>IF(AS34="","",VLOOKUP(JS3_TabM1[[#This Row],[Op]],JS3_TabOp[],10))</f>
        <v/>
      </c>
      <c r="AV34" t="str">
        <f>IF(AS34="","",VLOOKUP(AS34,JS3_TabOp[],11))</f>
        <v/>
      </c>
      <c r="AW34" t="str">
        <f t="shared" si="3"/>
        <v/>
      </c>
      <c r="AX34" t="str">
        <f t="shared" si="4"/>
        <v/>
      </c>
      <c r="AY34"/>
      <c r="AZ34" t="str">
        <f t="shared" si="5"/>
        <v/>
      </c>
      <c r="BA34" t="str">
        <f t="shared" si="6"/>
        <v/>
      </c>
      <c r="BB34" t="str">
        <f>IF(AZ34="","",VLOOKUP(JS3_TabM2[[#This Row],[Op]],JS3_TabOp[],10))</f>
        <v/>
      </c>
      <c r="BC34" t="str">
        <f>IF(AZ34="","",VLOOKUP(AZ34,JS3_TabOp[],11))</f>
        <v/>
      </c>
      <c r="BD34" t="str">
        <f t="shared" si="7"/>
        <v/>
      </c>
      <c r="BE34" t="str">
        <f t="shared" si="8"/>
        <v/>
      </c>
      <c r="BF34"/>
      <c r="BG34" t="str">
        <f t="shared" si="9"/>
        <v/>
      </c>
      <c r="BH34" t="str">
        <f t="shared" si="10"/>
        <v/>
      </c>
      <c r="BI34" t="str">
        <f>IF(BG34="","",VLOOKUP(JS3_TabM3[[#This Row],[Op]],JS3_TabOp[],10))</f>
        <v/>
      </c>
      <c r="BJ34" t="str">
        <f>IF(BG34="","",VLOOKUP(BG34,JS3_TabOp[],11))</f>
        <v/>
      </c>
      <c r="BK34" t="str">
        <f t="shared" si="11"/>
        <v/>
      </c>
      <c r="BL34" t="str">
        <f t="shared" si="12"/>
        <v/>
      </c>
      <c r="BM34"/>
    </row>
    <row r="35" spans="2:65" x14ac:dyDescent="0.3">
      <c r="B35"/>
      <c r="C35"/>
      <c r="D35"/>
      <c r="F35">
        <v>6</v>
      </c>
      <c r="G35" t="s">
        <v>3</v>
      </c>
      <c r="H35">
        <v>1</v>
      </c>
      <c r="I35">
        <v>2</v>
      </c>
      <c r="J35">
        <v>3</v>
      </c>
      <c r="M35" s="8"/>
      <c r="N35" s="8"/>
      <c r="Q35"/>
      <c r="R35"/>
      <c r="T35"/>
      <c r="U35"/>
      <c r="V35"/>
      <c r="X35">
        <f>JS3_TabRot[[#This Row],[Op]]</f>
        <v>6</v>
      </c>
      <c r="Y35" t="str">
        <f>JS3_TabRot[[#This Row],[Job]]</f>
        <v>C</v>
      </c>
      <c r="Z35">
        <f>JS3_TabRot[[#This Row],[Seq]]</f>
        <v>1</v>
      </c>
      <c r="AA35">
        <f>JS3_TabRot[[#This Row],[Maq]]</f>
        <v>2</v>
      </c>
      <c r="AB35">
        <f>JS3_TabRot[[#This Row],[p]]</f>
        <v>3</v>
      </c>
      <c r="AC35">
        <f t="shared" si="13"/>
        <v>0</v>
      </c>
      <c r="AD35">
        <f t="shared" ca="1" si="14"/>
        <v>0</v>
      </c>
      <c r="AE35">
        <f>IF(AC35=0,VLOOKUP(Y35,JS3_TabJob[],2),"")</f>
        <v>0</v>
      </c>
      <c r="AF35">
        <f>VLOOKUP(Y35,JS3_TabJob[],3,0)</f>
        <v>10</v>
      </c>
      <c r="AG35">
        <f t="shared" ca="1" si="15"/>
        <v>0</v>
      </c>
      <c r="AH35">
        <f ca="1">JS3_TabOp[[#This Row],[ti]]+JS3_TabOp[[#This Row],[p]]</f>
        <v>3</v>
      </c>
      <c r="AI35"/>
      <c r="AK35"/>
      <c r="AL35"/>
      <c r="AM35"/>
      <c r="AN35"/>
      <c r="AO35"/>
      <c r="AP35"/>
      <c r="AS35" t="str">
        <f t="shared" si="1"/>
        <v/>
      </c>
      <c r="AT35" t="str">
        <f t="shared" si="2"/>
        <v/>
      </c>
      <c r="AU35" t="str">
        <f>IF(AS35="","",VLOOKUP(JS3_TabM1[[#This Row],[Op]],JS3_TabOp[],10))</f>
        <v/>
      </c>
      <c r="AV35" t="str">
        <f>IF(AS35="","",VLOOKUP(AS35,JS3_TabOp[],11))</f>
        <v/>
      </c>
      <c r="AW35" t="str">
        <f t="shared" si="3"/>
        <v/>
      </c>
      <c r="AX35" t="str">
        <f t="shared" si="4"/>
        <v/>
      </c>
      <c r="AY35"/>
      <c r="AZ35" t="str">
        <f t="shared" si="5"/>
        <v/>
      </c>
      <c r="BA35" t="str">
        <f t="shared" si="6"/>
        <v/>
      </c>
      <c r="BB35" t="str">
        <f>IF(AZ35="","",VLOOKUP(JS3_TabM2[[#This Row],[Op]],JS3_TabOp[],10))</f>
        <v/>
      </c>
      <c r="BC35" t="str">
        <f>IF(AZ35="","",VLOOKUP(AZ35,JS3_TabOp[],11))</f>
        <v/>
      </c>
      <c r="BD35" t="str">
        <f t="shared" si="7"/>
        <v/>
      </c>
      <c r="BE35" t="str">
        <f t="shared" si="8"/>
        <v/>
      </c>
      <c r="BF35"/>
      <c r="BG35" t="str">
        <f t="shared" si="9"/>
        <v/>
      </c>
      <c r="BH35" t="str">
        <f t="shared" si="10"/>
        <v/>
      </c>
      <c r="BI35" t="str">
        <f>IF(BG35="","",VLOOKUP(JS3_TabM3[[#This Row],[Op]],JS3_TabOp[],10))</f>
        <v/>
      </c>
      <c r="BJ35" t="str">
        <f>IF(BG35="","",VLOOKUP(BG35,JS3_TabOp[],11))</f>
        <v/>
      </c>
      <c r="BK35" t="str">
        <f t="shared" si="11"/>
        <v/>
      </c>
      <c r="BL35" t="str">
        <f t="shared" si="12"/>
        <v/>
      </c>
      <c r="BM35"/>
    </row>
    <row r="36" spans="2:65" x14ac:dyDescent="0.3">
      <c r="B36"/>
      <c r="C36"/>
      <c r="D36"/>
      <c r="F36">
        <v>7</v>
      </c>
      <c r="G36" t="s">
        <v>3</v>
      </c>
      <c r="H36">
        <v>2</v>
      </c>
      <c r="I36">
        <v>3</v>
      </c>
      <c r="J36">
        <v>3</v>
      </c>
      <c r="M36" s="8"/>
      <c r="N36" s="8"/>
      <c r="Q36"/>
      <c r="R36"/>
      <c r="U36"/>
      <c r="V36"/>
      <c r="X36">
        <f>JS3_TabRot[[#This Row],[Op]]</f>
        <v>7</v>
      </c>
      <c r="Y36" t="str">
        <f>JS3_TabRot[[#This Row],[Job]]</f>
        <v>C</v>
      </c>
      <c r="Z36">
        <f>JS3_TabRot[[#This Row],[Seq]]</f>
        <v>2</v>
      </c>
      <c r="AA36">
        <f>JS3_TabRot[[#This Row],[Maq]]</f>
        <v>3</v>
      </c>
      <c r="AB36">
        <f>JS3_TabRot[[#This Row],[p]]</f>
        <v>3</v>
      </c>
      <c r="AC36">
        <f t="shared" si="13"/>
        <v>6</v>
      </c>
      <c r="AD36">
        <f t="shared" ca="1" si="14"/>
        <v>2</v>
      </c>
      <c r="AE36" t="str">
        <f>IF(AC36=0,VLOOKUP(Y36,JS3_TabJob[],2),"")</f>
        <v/>
      </c>
      <c r="AF36">
        <f>VLOOKUP(Y36,JS3_TabJob[],3,0)</f>
        <v>10</v>
      </c>
      <c r="AG36">
        <f t="shared" ca="1" si="15"/>
        <v>7</v>
      </c>
      <c r="AH36">
        <f ca="1">JS3_TabOp[[#This Row],[ti]]+JS3_TabOp[[#This Row],[p]]</f>
        <v>10</v>
      </c>
      <c r="AI36"/>
      <c r="AK36"/>
      <c r="AL36"/>
      <c r="AM36"/>
      <c r="AN36"/>
      <c r="AO36"/>
      <c r="AP36"/>
      <c r="AQ36"/>
      <c r="AR36"/>
      <c r="AS36" t="str">
        <f t="shared" si="1"/>
        <v/>
      </c>
      <c r="AT36" t="str">
        <f t="shared" si="2"/>
        <v/>
      </c>
      <c r="AU36" t="str">
        <f>IF(AS36="","",VLOOKUP(JS3_TabM1[[#This Row],[Op]],JS3_TabOp[],10))</f>
        <v/>
      </c>
      <c r="AV36" t="str">
        <f>IF(AS36="","",VLOOKUP(AS36,JS3_TabOp[],11))</f>
        <v/>
      </c>
      <c r="AW36" t="str">
        <f t="shared" si="3"/>
        <v/>
      </c>
      <c r="AX36" t="str">
        <f t="shared" si="4"/>
        <v/>
      </c>
      <c r="AY36"/>
      <c r="AZ36" t="str">
        <f t="shared" si="5"/>
        <v/>
      </c>
      <c r="BA36" t="str">
        <f t="shared" si="6"/>
        <v/>
      </c>
      <c r="BB36" t="str">
        <f>IF(AZ36="","",VLOOKUP(JS3_TabM2[[#This Row],[Op]],JS3_TabOp[],10))</f>
        <v/>
      </c>
      <c r="BC36" t="str">
        <f>IF(AZ36="","",VLOOKUP(AZ36,JS3_TabOp[],11))</f>
        <v/>
      </c>
      <c r="BD36" t="str">
        <f t="shared" si="7"/>
        <v/>
      </c>
      <c r="BE36" t="str">
        <f t="shared" si="8"/>
        <v/>
      </c>
      <c r="BF36"/>
      <c r="BG36" t="str">
        <f t="shared" si="9"/>
        <v/>
      </c>
      <c r="BH36" t="str">
        <f t="shared" si="10"/>
        <v/>
      </c>
      <c r="BI36" t="str">
        <f>IF(BG36="","",VLOOKUP(JS3_TabM3[[#This Row],[Op]],JS3_TabOp[],10))</f>
        <v/>
      </c>
      <c r="BJ36" t="str">
        <f>IF(BG36="","",VLOOKUP(BG36,JS3_TabOp[],11))</f>
        <v/>
      </c>
      <c r="BK36" t="str">
        <f t="shared" si="11"/>
        <v/>
      </c>
      <c r="BL36" t="str">
        <f t="shared" si="12"/>
        <v/>
      </c>
      <c r="BM36"/>
    </row>
    <row r="37" spans="2:65" x14ac:dyDescent="0.3">
      <c r="B37"/>
      <c r="C37"/>
      <c r="D37"/>
      <c r="F37">
        <v>8</v>
      </c>
      <c r="G37" t="s">
        <v>6</v>
      </c>
      <c r="H37">
        <v>1</v>
      </c>
      <c r="I37">
        <v>1</v>
      </c>
      <c r="J37">
        <v>2</v>
      </c>
      <c r="M37" s="8"/>
      <c r="N37" s="8"/>
      <c r="Q37"/>
      <c r="R37"/>
      <c r="U37"/>
      <c r="V37"/>
      <c r="X37">
        <f>JS3_TabRot[[#This Row],[Op]]</f>
        <v>8</v>
      </c>
      <c r="Y37" t="str">
        <f>JS3_TabRot[[#This Row],[Job]]</f>
        <v>D</v>
      </c>
      <c r="Z37">
        <f>JS3_TabRot[[#This Row],[Seq]]</f>
        <v>1</v>
      </c>
      <c r="AA37">
        <f>JS3_TabRot[[#This Row],[Maq]]</f>
        <v>1</v>
      </c>
      <c r="AB37">
        <f>JS3_TabRot[[#This Row],[p]]</f>
        <v>2</v>
      </c>
      <c r="AC37">
        <f t="shared" si="13"/>
        <v>0</v>
      </c>
      <c r="AD37">
        <f t="shared" ca="1" si="14"/>
        <v>3</v>
      </c>
      <c r="AE37">
        <f>IF(AC37=0,VLOOKUP(Y37,JS3_TabJob[],2),"")</f>
        <v>5</v>
      </c>
      <c r="AF37">
        <f>VLOOKUP(Y37,JS3_TabJob[],3,0)</f>
        <v>15</v>
      </c>
      <c r="AG37">
        <f t="shared" ca="1" si="15"/>
        <v>5</v>
      </c>
      <c r="AH37">
        <f ca="1">JS3_TabOp[[#This Row],[ti]]+JS3_TabOp[[#This Row],[p]]</f>
        <v>7</v>
      </c>
      <c r="AI37"/>
      <c r="AK37"/>
      <c r="AL37"/>
      <c r="AM37"/>
      <c r="AN37"/>
      <c r="AO37"/>
      <c r="AP37"/>
      <c r="AQ37"/>
      <c r="AR37"/>
      <c r="AS37" t="str">
        <f t="shared" si="1"/>
        <v/>
      </c>
      <c r="AT37" t="str">
        <f t="shared" si="2"/>
        <v/>
      </c>
      <c r="AU37" t="str">
        <f>IF(AS37="","",VLOOKUP(JS3_TabM1[[#This Row],[Op]],JS3_TabOp[],10))</f>
        <v/>
      </c>
      <c r="AV37" t="str">
        <f>IF(AS37="","",VLOOKUP(AS37,JS3_TabOp[],11))</f>
        <v/>
      </c>
      <c r="AW37" t="str">
        <f t="shared" si="3"/>
        <v/>
      </c>
      <c r="AX37" t="str">
        <f t="shared" si="4"/>
        <v/>
      </c>
      <c r="AY37"/>
      <c r="AZ37" t="str">
        <f t="shared" si="5"/>
        <v/>
      </c>
      <c r="BA37" t="str">
        <f t="shared" si="6"/>
        <v/>
      </c>
      <c r="BB37" t="str">
        <f>IF(AZ37="","",VLOOKUP(JS3_TabM2[[#This Row],[Op]],JS3_TabOp[],10))</f>
        <v/>
      </c>
      <c r="BC37" t="str">
        <f>IF(AZ37="","",VLOOKUP(AZ37,JS3_TabOp[],11))</f>
        <v/>
      </c>
      <c r="BD37" t="str">
        <f t="shared" si="7"/>
        <v/>
      </c>
      <c r="BE37" t="str">
        <f t="shared" si="8"/>
        <v/>
      </c>
      <c r="BF37"/>
      <c r="BG37" t="str">
        <f t="shared" si="9"/>
        <v/>
      </c>
      <c r="BH37" t="str">
        <f t="shared" si="10"/>
        <v/>
      </c>
      <c r="BI37" t="str">
        <f>IF(BG37="","",VLOOKUP(JS3_TabM3[[#This Row],[Op]],JS3_TabOp[],10))</f>
        <v/>
      </c>
      <c r="BJ37" t="str">
        <f>IF(BG37="","",VLOOKUP(BG37,JS3_TabOp[],11))</f>
        <v/>
      </c>
      <c r="BK37" t="str">
        <f t="shared" si="11"/>
        <v/>
      </c>
      <c r="BL37" t="str">
        <f t="shared" si="12"/>
        <v/>
      </c>
      <c r="BM37"/>
    </row>
    <row r="38" spans="2:65" x14ac:dyDescent="0.3">
      <c r="B38"/>
      <c r="C38"/>
      <c r="D38"/>
      <c r="F38">
        <v>9</v>
      </c>
      <c r="G38" t="s">
        <v>6</v>
      </c>
      <c r="H38">
        <v>2</v>
      </c>
      <c r="I38">
        <v>2</v>
      </c>
      <c r="J38">
        <v>3</v>
      </c>
      <c r="M38" s="8"/>
      <c r="N38" s="8"/>
      <c r="Q38"/>
      <c r="R38"/>
      <c r="U38"/>
      <c r="V38"/>
      <c r="X38">
        <f>JS3_TabRot[[#This Row],[Op]]</f>
        <v>9</v>
      </c>
      <c r="Y38" t="str">
        <f>JS3_TabRot[[#This Row],[Job]]</f>
        <v>D</v>
      </c>
      <c r="Z38">
        <f>JS3_TabRot[[#This Row],[Seq]]</f>
        <v>2</v>
      </c>
      <c r="AA38">
        <f>JS3_TabRot[[#This Row],[Maq]]</f>
        <v>2</v>
      </c>
      <c r="AB38">
        <f>JS3_TabRot[[#This Row],[p]]</f>
        <v>3</v>
      </c>
      <c r="AC38">
        <f t="shared" si="13"/>
        <v>8</v>
      </c>
      <c r="AD38">
        <f t="shared" ca="1" si="14"/>
        <v>4</v>
      </c>
      <c r="AE38" t="str">
        <f>IF(AC38=0,VLOOKUP(Y38,JS3_TabJob[],2),"")</f>
        <v/>
      </c>
      <c r="AF38">
        <f>VLOOKUP(Y38,JS3_TabJob[],3,0)</f>
        <v>15</v>
      </c>
      <c r="AG38">
        <f t="shared" ca="1" si="15"/>
        <v>7</v>
      </c>
      <c r="AH38">
        <f ca="1">JS3_TabOp[[#This Row],[ti]]+JS3_TabOp[[#This Row],[p]]</f>
        <v>10</v>
      </c>
      <c r="AI38"/>
      <c r="AK38"/>
      <c r="AL38"/>
      <c r="AM38"/>
      <c r="AN38"/>
      <c r="AO38"/>
      <c r="AP38"/>
      <c r="AQ38"/>
      <c r="AR38"/>
      <c r="AS38" t="str">
        <f t="shared" si="1"/>
        <v/>
      </c>
      <c r="AT38" t="str">
        <f t="shared" si="2"/>
        <v/>
      </c>
      <c r="AU38" t="str">
        <f>IF(AS38="","",VLOOKUP(JS3_TabM1[[#This Row],[Op]],JS3_TabOp[],10))</f>
        <v/>
      </c>
      <c r="AV38" t="str">
        <f>IF(AS38="","",VLOOKUP(AS38,JS3_TabOp[],11))</f>
        <v/>
      </c>
      <c r="AW38" t="str">
        <f t="shared" si="3"/>
        <v/>
      </c>
      <c r="AX38" t="str">
        <f t="shared" si="4"/>
        <v/>
      </c>
      <c r="AY38"/>
      <c r="AZ38" t="str">
        <f t="shared" si="5"/>
        <v/>
      </c>
      <c r="BA38" t="str">
        <f t="shared" si="6"/>
        <v/>
      </c>
      <c r="BB38" t="str">
        <f>IF(AZ38="","",VLOOKUP(JS3_TabM2[[#This Row],[Op]],JS3_TabOp[],10))</f>
        <v/>
      </c>
      <c r="BC38" t="str">
        <f>IF(AZ38="","",VLOOKUP(AZ38,JS3_TabOp[],11))</f>
        <v/>
      </c>
      <c r="BD38" t="str">
        <f t="shared" si="7"/>
        <v/>
      </c>
      <c r="BE38" t="str">
        <f t="shared" si="8"/>
        <v/>
      </c>
      <c r="BF38"/>
      <c r="BG38" t="str">
        <f t="shared" si="9"/>
        <v/>
      </c>
      <c r="BH38" t="str">
        <f t="shared" si="10"/>
        <v/>
      </c>
      <c r="BI38" t="str">
        <f>IF(BG38="","",VLOOKUP(JS3_TabM3[[#This Row],[Op]],JS3_TabOp[],10))</f>
        <v/>
      </c>
      <c r="BJ38" t="str">
        <f>IF(BG38="","",VLOOKUP(BG38,JS3_TabOp[],11))</f>
        <v/>
      </c>
      <c r="BK38" t="str">
        <f t="shared" si="11"/>
        <v/>
      </c>
      <c r="BL38" t="str">
        <f t="shared" si="12"/>
        <v/>
      </c>
      <c r="BM38"/>
    </row>
    <row r="39" spans="2:65" x14ac:dyDescent="0.3">
      <c r="B39"/>
      <c r="C39"/>
      <c r="D39"/>
      <c r="F39">
        <v>10</v>
      </c>
      <c r="G39" t="s">
        <v>7</v>
      </c>
      <c r="H39">
        <v>1</v>
      </c>
      <c r="I39">
        <v>1</v>
      </c>
      <c r="J39">
        <v>2</v>
      </c>
      <c r="M39" s="8"/>
      <c r="N39" s="8"/>
      <c r="Q39"/>
      <c r="R39"/>
      <c r="U39"/>
      <c r="V39"/>
      <c r="X39">
        <f>JS3_TabRot[[#This Row],[Op]]</f>
        <v>10</v>
      </c>
      <c r="Y39" t="str">
        <f>JS3_TabRot[[#This Row],[Job]]</f>
        <v>E</v>
      </c>
      <c r="Z39">
        <f>JS3_TabRot[[#This Row],[Seq]]</f>
        <v>1</v>
      </c>
      <c r="AA39">
        <f>JS3_TabRot[[#This Row],[Maq]]</f>
        <v>1</v>
      </c>
      <c r="AB39">
        <f>JS3_TabRot[[#This Row],[p]]</f>
        <v>2</v>
      </c>
      <c r="AC39">
        <f t="shared" si="13"/>
        <v>0</v>
      </c>
      <c r="AD39">
        <f t="shared" ca="1" si="14"/>
        <v>8</v>
      </c>
      <c r="AE39">
        <f>IF(AC39=0,VLOOKUP(Y39,JS3_TabJob[],2),"")</f>
        <v>5</v>
      </c>
      <c r="AF39">
        <f>VLOOKUP(Y39,JS3_TabJob[],3,0)</f>
        <v>15</v>
      </c>
      <c r="AG39">
        <f t="shared" ca="1" si="15"/>
        <v>7</v>
      </c>
      <c r="AH39">
        <f ca="1">JS3_TabOp[[#This Row],[ti]]+JS3_TabOp[[#This Row],[p]]</f>
        <v>9</v>
      </c>
      <c r="AI39"/>
      <c r="AK39"/>
      <c r="AL39"/>
      <c r="AM39"/>
      <c r="AN39"/>
      <c r="AO39"/>
      <c r="AP39"/>
      <c r="AQ39"/>
      <c r="AR39"/>
      <c r="AS39" t="str">
        <f t="shared" si="1"/>
        <v/>
      </c>
      <c r="AT39" t="str">
        <f t="shared" si="2"/>
        <v/>
      </c>
      <c r="AU39" t="str">
        <f>IF(AS39="","",VLOOKUP(JS3_TabM1[[#This Row],[Op]],JS3_TabOp[],10))</f>
        <v/>
      </c>
      <c r="AV39" t="str">
        <f>IF(AS39="","",VLOOKUP(AS39,JS3_TabOp[],11))</f>
        <v/>
      </c>
      <c r="AW39" t="str">
        <f t="shared" si="3"/>
        <v/>
      </c>
      <c r="AX39" t="str">
        <f t="shared" si="4"/>
        <v/>
      </c>
      <c r="AY39"/>
      <c r="AZ39" t="str">
        <f t="shared" si="5"/>
        <v/>
      </c>
      <c r="BA39" t="str">
        <f t="shared" si="6"/>
        <v/>
      </c>
      <c r="BB39" t="str">
        <f>IF(AZ39="","",VLOOKUP(JS3_TabM2[[#This Row],[Op]],JS3_TabOp[],10))</f>
        <v/>
      </c>
      <c r="BC39" t="str">
        <f>IF(AZ39="","",VLOOKUP(AZ39,JS3_TabOp[],11))</f>
        <v/>
      </c>
      <c r="BD39" t="str">
        <f t="shared" si="7"/>
        <v/>
      </c>
      <c r="BE39" t="str">
        <f t="shared" si="8"/>
        <v/>
      </c>
      <c r="BF39"/>
      <c r="BG39" t="str">
        <f t="shared" si="9"/>
        <v/>
      </c>
      <c r="BH39" t="str">
        <f t="shared" si="10"/>
        <v/>
      </c>
      <c r="BI39" t="str">
        <f>IF(BG39="","",VLOOKUP(JS3_TabM3[[#This Row],[Op]],JS3_TabOp[],10))</f>
        <v/>
      </c>
      <c r="BJ39" t="str">
        <f>IF(BG39="","",VLOOKUP(BG39,JS3_TabOp[],11))</f>
        <v/>
      </c>
      <c r="BK39" t="str">
        <f t="shared" si="11"/>
        <v/>
      </c>
      <c r="BL39" t="str">
        <f t="shared" si="12"/>
        <v/>
      </c>
      <c r="BM39"/>
    </row>
    <row r="40" spans="2:65" x14ac:dyDescent="0.3">
      <c r="B40"/>
      <c r="C40"/>
      <c r="D40"/>
      <c r="F40">
        <v>11</v>
      </c>
      <c r="G40" t="s">
        <v>7</v>
      </c>
      <c r="H40">
        <v>2</v>
      </c>
      <c r="I40">
        <v>3</v>
      </c>
      <c r="J40">
        <v>5</v>
      </c>
      <c r="X40">
        <f>JS3_TabRot[[#This Row],[Op]]</f>
        <v>11</v>
      </c>
      <c r="Y40" t="str">
        <f>JS3_TabRot[[#This Row],[Job]]</f>
        <v>E</v>
      </c>
      <c r="Z40">
        <f>JS3_TabRot[[#This Row],[Seq]]</f>
        <v>2</v>
      </c>
      <c r="AA40">
        <f>JS3_TabRot[[#This Row],[Maq]]</f>
        <v>3</v>
      </c>
      <c r="AB40">
        <f>JS3_TabRot[[#This Row],[p]]</f>
        <v>5</v>
      </c>
      <c r="AC40">
        <f t="shared" si="13"/>
        <v>10</v>
      </c>
      <c r="AD40">
        <f t="shared" ca="1" si="14"/>
        <v>5</v>
      </c>
      <c r="AE40" t="str">
        <f>IF(AC40=0,VLOOKUP(Y40,JS3_TabJob[],2),"")</f>
        <v/>
      </c>
      <c r="AF40">
        <f>VLOOKUP(Y40,JS3_TabJob[],3,0)</f>
        <v>15</v>
      </c>
      <c r="AG40">
        <f t="shared" ca="1" si="15"/>
        <v>14</v>
      </c>
      <c r="AH40">
        <f ca="1">JS3_TabOp[[#This Row],[ti]]+JS3_TabOp[[#This Row],[p]]</f>
        <v>19</v>
      </c>
      <c r="AI40"/>
      <c r="AK40"/>
      <c r="AL40"/>
      <c r="AM40"/>
      <c r="AN40"/>
      <c r="AO40"/>
      <c r="AP40"/>
      <c r="AQ40"/>
      <c r="AR40"/>
      <c r="AZ40"/>
      <c r="BD40"/>
      <c r="BF40"/>
      <c r="BJ40"/>
    </row>
    <row r="41" spans="2:65" x14ac:dyDescent="0.3">
      <c r="B41"/>
      <c r="C41"/>
      <c r="D41"/>
      <c r="F41"/>
      <c r="G41"/>
      <c r="H41"/>
      <c r="I41"/>
      <c r="W41"/>
      <c r="X41"/>
      <c r="Y41"/>
      <c r="Z41"/>
      <c r="AA41"/>
      <c r="AB41"/>
      <c r="AC41"/>
      <c r="AD41"/>
      <c r="AE41"/>
      <c r="AF41"/>
      <c r="AI41"/>
      <c r="AJ41"/>
      <c r="AK41"/>
      <c r="AL41"/>
      <c r="AM41"/>
      <c r="AR41"/>
      <c r="AV41"/>
      <c r="AW41"/>
      <c r="AX41"/>
      <c r="BB41"/>
      <c r="BC41"/>
      <c r="BD41"/>
    </row>
    <row r="42" spans="2:65" x14ac:dyDescent="0.3">
      <c r="B42"/>
      <c r="C42"/>
      <c r="D42"/>
      <c r="E42"/>
      <c r="F42"/>
      <c r="G42"/>
      <c r="H42"/>
      <c r="I42"/>
      <c r="J42"/>
      <c r="V42"/>
      <c r="W42"/>
      <c r="X42"/>
      <c r="Y42"/>
      <c r="Z42"/>
      <c r="AA42"/>
      <c r="AB42"/>
      <c r="AC42"/>
      <c r="AD42"/>
      <c r="AE42"/>
      <c r="AF42"/>
      <c r="AI42"/>
      <c r="AJ42"/>
      <c r="AK42"/>
      <c r="AL42"/>
      <c r="AM42"/>
      <c r="AR42"/>
      <c r="AV42"/>
      <c r="AW42"/>
      <c r="AX42"/>
      <c r="BB42"/>
      <c r="BD42"/>
    </row>
    <row r="43" spans="2:65" x14ac:dyDescent="0.3">
      <c r="B43"/>
      <c r="C43"/>
      <c r="D43"/>
      <c r="E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I43"/>
      <c r="AR43"/>
      <c r="AS43"/>
      <c r="AT43"/>
      <c r="AW43"/>
      <c r="AX43"/>
      <c r="AY43"/>
      <c r="AZ43"/>
      <c r="BD43"/>
      <c r="BE43"/>
      <c r="BF43"/>
      <c r="BG43"/>
    </row>
    <row r="44" spans="2:65" x14ac:dyDescent="0.3">
      <c r="B44"/>
      <c r="C44"/>
      <c r="D44"/>
      <c r="E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I44"/>
      <c r="AR44"/>
      <c r="AS44"/>
      <c r="AT44"/>
      <c r="AW44"/>
      <c r="AX44"/>
      <c r="AY44"/>
      <c r="AZ44"/>
      <c r="BD44"/>
      <c r="BE44"/>
      <c r="BF44"/>
      <c r="BG44"/>
    </row>
    <row r="45" spans="2:65" x14ac:dyDescent="0.3">
      <c r="B45"/>
      <c r="C45"/>
      <c r="D45"/>
      <c r="E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I45"/>
      <c r="AR45"/>
      <c r="AS45"/>
      <c r="AT45"/>
      <c r="AW45"/>
      <c r="AX45"/>
      <c r="AY45"/>
      <c r="AZ45"/>
      <c r="BD45"/>
      <c r="BE45"/>
      <c r="BF45"/>
      <c r="BG45"/>
    </row>
    <row r="46" spans="2:65" x14ac:dyDescent="0.3">
      <c r="B46"/>
      <c r="C46"/>
      <c r="D46"/>
      <c r="W46"/>
      <c r="X46"/>
      <c r="Y46"/>
      <c r="Z46"/>
      <c r="AA46"/>
      <c r="AB46"/>
      <c r="AC46"/>
      <c r="AD46"/>
      <c r="AE46"/>
      <c r="AF46"/>
      <c r="AI46"/>
      <c r="AR46"/>
      <c r="AS46"/>
      <c r="AT46"/>
      <c r="AW46"/>
      <c r="AX46"/>
      <c r="AY46"/>
      <c r="AZ46"/>
      <c r="BD46"/>
      <c r="BE46"/>
      <c r="BF46"/>
      <c r="BG46"/>
    </row>
    <row r="47" spans="2:65" x14ac:dyDescent="0.3">
      <c r="B47"/>
      <c r="C47"/>
      <c r="D47"/>
      <c r="W47"/>
      <c r="X47"/>
      <c r="Y47"/>
      <c r="Z47"/>
      <c r="AA47"/>
      <c r="AB47"/>
      <c r="AC47"/>
      <c r="AD47"/>
      <c r="AE47"/>
      <c r="AF47"/>
      <c r="AI47"/>
    </row>
    <row r="48" spans="2:65" x14ac:dyDescent="0.3">
      <c r="B48"/>
      <c r="C48"/>
      <c r="D48"/>
      <c r="W48"/>
      <c r="X48"/>
      <c r="Y48"/>
      <c r="Z48"/>
      <c r="AA48"/>
      <c r="AB48"/>
      <c r="AC48"/>
      <c r="AD48"/>
      <c r="AE48"/>
      <c r="AF48"/>
      <c r="AI48"/>
    </row>
    <row r="49" spans="2:37" x14ac:dyDescent="0.3">
      <c r="B49"/>
      <c r="C49"/>
      <c r="D49"/>
      <c r="W49"/>
      <c r="X49"/>
      <c r="Y49"/>
      <c r="Z49"/>
      <c r="AA49"/>
      <c r="AB49"/>
      <c r="AC49"/>
      <c r="AD49"/>
      <c r="AE49"/>
      <c r="AF49"/>
      <c r="AI49"/>
    </row>
    <row r="50" spans="2:37" x14ac:dyDescent="0.3">
      <c r="B50"/>
      <c r="C50"/>
      <c r="D50"/>
      <c r="W50"/>
      <c r="X50"/>
      <c r="Y50"/>
      <c r="Z50"/>
      <c r="AA50"/>
      <c r="AB50"/>
      <c r="AC50"/>
      <c r="AD50"/>
      <c r="AE50"/>
      <c r="AF50"/>
      <c r="AI50"/>
    </row>
    <row r="51" spans="2:37" x14ac:dyDescent="0.3">
      <c r="B51"/>
      <c r="C51"/>
      <c r="D51"/>
      <c r="W51"/>
      <c r="X51"/>
      <c r="Y51"/>
      <c r="Z51"/>
      <c r="AA51"/>
      <c r="AB51"/>
      <c r="AC51"/>
      <c r="AD51"/>
      <c r="AE51"/>
      <c r="AF51"/>
      <c r="AI51"/>
      <c r="AJ51"/>
      <c r="AK51"/>
    </row>
    <row r="52" spans="2:37" x14ac:dyDescent="0.3">
      <c r="W52"/>
      <c r="X52"/>
      <c r="Y52"/>
      <c r="Z52"/>
      <c r="AA52"/>
      <c r="AB52"/>
      <c r="AC52"/>
      <c r="AD52"/>
      <c r="AE52"/>
      <c r="AF52"/>
      <c r="AI52"/>
      <c r="AJ52"/>
      <c r="AK52"/>
    </row>
    <row r="53" spans="2:37" x14ac:dyDescent="0.3">
      <c r="W53"/>
      <c r="X53"/>
      <c r="Y53"/>
      <c r="Z53"/>
      <c r="AA53"/>
      <c r="AB53"/>
      <c r="AC53"/>
      <c r="AD53"/>
      <c r="AE53"/>
      <c r="AF53"/>
    </row>
  </sheetData>
  <mergeCells count="6">
    <mergeCell ref="L26:N26"/>
    <mergeCell ref="P26:R26"/>
    <mergeCell ref="T26:V26"/>
    <mergeCell ref="BG27:BL27"/>
    <mergeCell ref="AZ27:BE27"/>
    <mergeCell ref="AS27:AX27"/>
  </mergeCells>
  <phoneticPr fontId="16" type="noConversion"/>
  <pageMargins left="0.51181102362204722" right="0.51181102362204722" top="0.78740157480314965" bottom="0.78740157480314965" header="0.31496062992125984" footer="0.31496062992125984"/>
  <pageSetup paperSize="9" scale="76" orientation="landscape" horizontalDpi="300" verticalDpi="300" r:id="rId1"/>
  <drawing r:id="rId2"/>
  <tableParts count="11"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N37"/>
  <sheetViews>
    <sheetView zoomScaleNormal="100" zoomScaleSheetLayoutView="100" workbookViewId="0">
      <selection activeCell="A2" sqref="A2"/>
    </sheetView>
  </sheetViews>
  <sheetFormatPr defaultColWidth="8.88671875" defaultRowHeight="14.4" x14ac:dyDescent="0.3"/>
  <cols>
    <col min="1" max="26" width="5.6640625" style="13" customWidth="1"/>
    <col min="27" max="27" width="20.6640625" style="13" customWidth="1"/>
    <col min="28" max="46" width="5.6640625" style="13" customWidth="1"/>
    <col min="47" max="16384" width="8.88671875" style="13"/>
  </cols>
  <sheetData>
    <row r="1" spans="1:39" s="12" customFormat="1" ht="25.8" x14ac:dyDescent="0.5">
      <c r="A1" s="10" t="s">
        <v>39</v>
      </c>
      <c r="B1" s="11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3" spans="1:39" x14ac:dyDescent="0.3">
      <c r="B3" s="14"/>
      <c r="C3" s="14"/>
      <c r="D3" s="14"/>
      <c r="E3" s="14"/>
      <c r="F3" s="14"/>
      <c r="G3" s="14"/>
      <c r="X3"/>
      <c r="Y3"/>
      <c r="Z3"/>
      <c r="AA3"/>
      <c r="AB3"/>
      <c r="AC3"/>
      <c r="AD3"/>
      <c r="AE3"/>
      <c r="AF3"/>
      <c r="AG3"/>
      <c r="AH3"/>
    </row>
    <row r="4" spans="1:39" x14ac:dyDescent="0.3">
      <c r="B4" s="14"/>
      <c r="C4" s="14"/>
      <c r="D4" s="14"/>
      <c r="E4" s="14"/>
      <c r="F4" s="14"/>
      <c r="G4" s="14"/>
      <c r="Z4"/>
      <c r="AF4"/>
      <c r="AG4"/>
      <c r="AH4"/>
      <c r="AI4" s="15"/>
      <c r="AJ4" s="15"/>
      <c r="AK4" s="15"/>
      <c r="AL4" s="15"/>
      <c r="AM4" s="15"/>
    </row>
    <row r="5" spans="1:39" x14ac:dyDescent="0.3">
      <c r="B5" s="14"/>
      <c r="C5" s="14"/>
      <c r="D5" s="14"/>
      <c r="E5" s="14"/>
      <c r="F5" s="14"/>
      <c r="G5" s="14"/>
      <c r="W5" s="30"/>
      <c r="X5" s="30"/>
      <c r="Y5" s="30"/>
      <c r="AF5"/>
      <c r="AG5"/>
      <c r="AH5"/>
      <c r="AI5" s="15"/>
      <c r="AJ5" s="15"/>
    </row>
    <row r="6" spans="1:39" x14ac:dyDescent="0.3">
      <c r="B6" s="14"/>
      <c r="C6" s="14"/>
      <c r="D6" s="14"/>
      <c r="E6" s="14"/>
      <c r="F6" s="14"/>
      <c r="G6" s="14"/>
      <c r="W6" s="29"/>
      <c r="X6" s="29"/>
      <c r="Y6" s="29"/>
      <c r="AF6"/>
      <c r="AG6"/>
      <c r="AH6"/>
      <c r="AI6" s="15"/>
      <c r="AJ6" s="15"/>
    </row>
    <row r="7" spans="1:39" x14ac:dyDescent="0.3">
      <c r="B7" s="14"/>
      <c r="C7" s="14"/>
      <c r="D7" s="14"/>
      <c r="E7" s="14"/>
      <c r="F7" s="14"/>
      <c r="G7" s="14"/>
      <c r="W7" s="29"/>
      <c r="X7" s="29"/>
      <c r="Y7" s="29"/>
      <c r="AF7"/>
      <c r="AG7"/>
      <c r="AH7"/>
    </row>
    <row r="8" spans="1:39" x14ac:dyDescent="0.3">
      <c r="B8" s="14"/>
      <c r="C8" s="14"/>
      <c r="D8" s="14"/>
      <c r="E8" s="14"/>
      <c r="F8" s="14"/>
      <c r="G8" s="14"/>
      <c r="W8" s="29"/>
      <c r="X8" s="29"/>
      <c r="Y8" s="29"/>
      <c r="AF8"/>
      <c r="AG8"/>
      <c r="AH8"/>
    </row>
    <row r="9" spans="1:39" x14ac:dyDescent="0.3">
      <c r="B9" s="14"/>
      <c r="C9" s="14"/>
      <c r="D9" s="14"/>
      <c r="E9" s="14"/>
      <c r="F9" s="14"/>
      <c r="G9" s="14"/>
      <c r="W9" s="29"/>
      <c r="X9" s="29"/>
      <c r="Y9" s="29"/>
      <c r="AF9"/>
      <c r="AG9"/>
      <c r="AH9"/>
    </row>
    <row r="10" spans="1:39" x14ac:dyDescent="0.3">
      <c r="B10" s="14"/>
      <c r="C10" s="14"/>
      <c r="D10" s="14"/>
      <c r="E10" s="14"/>
      <c r="F10" s="14"/>
      <c r="G10" s="14"/>
      <c r="W10" s="29"/>
      <c r="X10" s="29"/>
      <c r="Y10" s="29"/>
      <c r="AB10"/>
      <c r="AC10"/>
      <c r="AD10"/>
      <c r="AE10"/>
      <c r="AF10"/>
      <c r="AG10"/>
      <c r="AH10"/>
    </row>
    <row r="11" spans="1:39" x14ac:dyDescent="0.3">
      <c r="B11" s="14"/>
      <c r="C11" s="14"/>
      <c r="D11" s="14"/>
      <c r="E11" s="14"/>
      <c r="F11" s="14"/>
      <c r="G11" s="14"/>
      <c r="W11" s="15"/>
      <c r="X11"/>
      <c r="Y11"/>
      <c r="AA11"/>
      <c r="AB11"/>
      <c r="AC11"/>
      <c r="AD11"/>
      <c r="AE11"/>
      <c r="AF11"/>
      <c r="AG11"/>
      <c r="AH11"/>
    </row>
    <row r="12" spans="1:39" x14ac:dyDescent="0.3">
      <c r="B12" s="14"/>
      <c r="C12" s="14"/>
      <c r="D12" s="14"/>
      <c r="E12" s="14"/>
      <c r="F12" s="14"/>
      <c r="G12" s="14"/>
      <c r="W12" s="15"/>
      <c r="X12"/>
      <c r="Y12"/>
      <c r="AA12"/>
      <c r="AB12"/>
      <c r="AC12"/>
      <c r="AD12"/>
      <c r="AE12"/>
      <c r="AF12"/>
      <c r="AG12"/>
      <c r="AH12"/>
    </row>
    <row r="13" spans="1:39" x14ac:dyDescent="0.3">
      <c r="B13" s="14"/>
      <c r="C13" s="14"/>
      <c r="D13" s="14"/>
      <c r="E13" s="14"/>
      <c r="F13" s="14"/>
      <c r="G13" s="14"/>
      <c r="W13" s="15"/>
      <c r="X13" s="15"/>
      <c r="Y13" s="15"/>
      <c r="AA13" s="15"/>
      <c r="AB13" s="15"/>
      <c r="AC13" s="15"/>
      <c r="AD13" s="15"/>
      <c r="AE13" s="15"/>
      <c r="AF13" s="15"/>
      <c r="AG13" s="15"/>
      <c r="AH13" s="15"/>
    </row>
    <row r="26" spans="2:40" x14ac:dyDescent="0.3">
      <c r="B26" s="16" t="s">
        <v>24</v>
      </c>
      <c r="I26" s="46" t="s">
        <v>50</v>
      </c>
      <c r="J26" s="46"/>
      <c r="K26" s="46"/>
      <c r="M26" s="46" t="s">
        <v>51</v>
      </c>
      <c r="N26" s="46"/>
      <c r="O26" s="46"/>
      <c r="Q26" s="46" t="s">
        <v>49</v>
      </c>
      <c r="R26" s="46"/>
      <c r="S26" s="46"/>
      <c r="U26" s="21"/>
      <c r="V26" s="21"/>
      <c r="W26" s="21"/>
      <c r="X26" s="21"/>
      <c r="Y26" s="21"/>
      <c r="Z26" s="21"/>
      <c r="AA26" s="21"/>
      <c r="AB26" s="21"/>
      <c r="AC26" s="21"/>
      <c r="AD26" s="43" t="s">
        <v>50</v>
      </c>
      <c r="AE26" s="43"/>
      <c r="AF26" s="43"/>
      <c r="AG26" s="15"/>
      <c r="AH26" s="43" t="s">
        <v>51</v>
      </c>
      <c r="AI26" s="43"/>
      <c r="AJ26" s="43"/>
      <c r="AL26" s="43" t="s">
        <v>49</v>
      </c>
      <c r="AM26" s="43"/>
      <c r="AN26" s="43"/>
    </row>
    <row r="27" spans="2:40" x14ac:dyDescent="0.3">
      <c r="B27" s="15"/>
      <c r="C27" s="26"/>
      <c r="D27" s="26"/>
      <c r="E27" s="26"/>
      <c r="F27" s="26"/>
      <c r="G27" s="26"/>
      <c r="T27" s="27"/>
      <c r="U27" s="26"/>
      <c r="V27" s="26"/>
      <c r="W27" s="26"/>
      <c r="X27" s="26"/>
      <c r="Y27" s="26"/>
      <c r="Z27" s="26"/>
      <c r="AA27" s="28"/>
      <c r="AB27" s="28"/>
      <c r="AC27" s="28"/>
      <c r="AD27" s="15"/>
      <c r="AE27" s="15"/>
      <c r="AF27" s="15"/>
      <c r="AG27" s="15"/>
      <c r="AH27" s="15"/>
    </row>
    <row r="28" spans="2:40" x14ac:dyDescent="0.3">
      <c r="B28" s="39" t="s">
        <v>0</v>
      </c>
      <c r="C28" s="39" t="s">
        <v>1</v>
      </c>
      <c r="D28" s="39" t="s">
        <v>37</v>
      </c>
      <c r="E28" s="39" t="s">
        <v>38</v>
      </c>
      <c r="F28" s="39" t="s">
        <v>43</v>
      </c>
      <c r="G28" s="39" t="s">
        <v>10</v>
      </c>
      <c r="H28" s="15"/>
      <c r="I28" s="39" t="s">
        <v>1</v>
      </c>
      <c r="J28" s="39" t="s">
        <v>12</v>
      </c>
      <c r="K28" s="39" t="s">
        <v>13</v>
      </c>
      <c r="L28" s="15"/>
      <c r="M28" s="39" t="s">
        <v>1</v>
      </c>
      <c r="N28" s="39" t="s">
        <v>12</v>
      </c>
      <c r="O28" s="39" t="s">
        <v>13</v>
      </c>
      <c r="Q28" s="39" t="s">
        <v>1</v>
      </c>
      <c r="R28" s="39" t="s">
        <v>12</v>
      </c>
      <c r="S28" s="39" t="s">
        <v>13</v>
      </c>
      <c r="U28" s="39" t="s">
        <v>1</v>
      </c>
      <c r="V28" s="39" t="s">
        <v>3</v>
      </c>
      <c r="W28" s="39" t="s">
        <v>10</v>
      </c>
      <c r="X28" s="39" t="s">
        <v>9</v>
      </c>
      <c r="Y28" s="39" t="s">
        <v>11</v>
      </c>
      <c r="Z28" s="15"/>
      <c r="AA28" s="41" t="s">
        <v>47</v>
      </c>
      <c r="AB28" s="41" t="s">
        <v>25</v>
      </c>
      <c r="AC28" s="15"/>
      <c r="AD28" s="36" t="s">
        <v>1</v>
      </c>
      <c r="AE28" s="41" t="s">
        <v>14</v>
      </c>
      <c r="AF28" s="41" t="s">
        <v>46</v>
      </c>
      <c r="AH28" s="36" t="s">
        <v>1</v>
      </c>
      <c r="AI28" s="41" t="s">
        <v>14</v>
      </c>
      <c r="AJ28" s="41" t="s">
        <v>46</v>
      </c>
      <c r="AL28" s="36" t="s">
        <v>1</v>
      </c>
      <c r="AM28" s="41" t="s">
        <v>14</v>
      </c>
      <c r="AN28" s="41" t="s">
        <v>46</v>
      </c>
    </row>
    <row r="29" spans="2:40" x14ac:dyDescent="0.3">
      <c r="B29" s="15"/>
      <c r="C29" s="15" t="s">
        <v>4</v>
      </c>
      <c r="D29" s="15">
        <v>2</v>
      </c>
      <c r="E29" s="15">
        <v>3</v>
      </c>
      <c r="F29" s="15">
        <v>3</v>
      </c>
      <c r="G29" s="15">
        <v>10</v>
      </c>
      <c r="H29" s="15"/>
      <c r="I29" s="15" t="str">
        <f>C29</f>
        <v>A</v>
      </c>
      <c r="J29" s="15">
        <f>IF(ISNUMBER(K28),K28,0)</f>
        <v>0</v>
      </c>
      <c r="K29" s="15">
        <f>J29+D29</f>
        <v>2</v>
      </c>
      <c r="L29" s="15"/>
      <c r="M29" s="15" t="str">
        <f>I29</f>
        <v>A</v>
      </c>
      <c r="N29" s="15">
        <f>IF(ISNUMBER(O28),O28,0)</f>
        <v>0</v>
      </c>
      <c r="O29" s="15">
        <f>N29+E29</f>
        <v>3</v>
      </c>
      <c r="Q29" s="15" t="str">
        <f>M29</f>
        <v>A</v>
      </c>
      <c r="R29" s="15">
        <f>MAX(K29,O29,S28)</f>
        <v>3</v>
      </c>
      <c r="S29" s="15">
        <f>R29+F29</f>
        <v>6</v>
      </c>
      <c r="U29" s="15" t="str">
        <f>M29</f>
        <v>A</v>
      </c>
      <c r="V29" s="15">
        <f>S29</f>
        <v>6</v>
      </c>
      <c r="W29" s="15">
        <f>G29</f>
        <v>10</v>
      </c>
      <c r="X29" s="15">
        <f>V29-W29</f>
        <v>-4</v>
      </c>
      <c r="Y29" s="15">
        <f>MAX(0,X29)</f>
        <v>0</v>
      </c>
      <c r="Z29" s="15"/>
      <c r="AA29" t="s">
        <v>19</v>
      </c>
      <c r="AB29" s="9">
        <f>MAX(AS2_Tab2[C])</f>
        <v>16</v>
      </c>
      <c r="AC29" s="15"/>
      <c r="AD29" s="37" t="str">
        <f t="shared" ref="AD29:AD33" si="0">I29</f>
        <v>A</v>
      </c>
      <c r="AE29" s="15">
        <f>J29</f>
        <v>0</v>
      </c>
      <c r="AF29" s="15">
        <f t="shared" ref="AF29:AF33" si="1">K29-J29</f>
        <v>2</v>
      </c>
      <c r="AH29" s="37" t="str">
        <f>M29</f>
        <v>A</v>
      </c>
      <c r="AI29" s="15">
        <f>N29</f>
        <v>0</v>
      </c>
      <c r="AJ29" s="15">
        <f t="shared" ref="AJ29:AJ33" si="2">O29-N29</f>
        <v>3</v>
      </c>
      <c r="AL29" s="37" t="str">
        <f>Q29</f>
        <v>A</v>
      </c>
      <c r="AM29" s="15">
        <f>R29</f>
        <v>3</v>
      </c>
      <c r="AN29" s="15">
        <f t="shared" ref="AN29:AN33" si="3">S29-R29</f>
        <v>3</v>
      </c>
    </row>
    <row r="30" spans="2:40" x14ac:dyDescent="0.3">
      <c r="B30" s="15"/>
      <c r="C30" s="15" t="s">
        <v>5</v>
      </c>
      <c r="D30" s="15">
        <v>4</v>
      </c>
      <c r="E30" s="15">
        <v>4</v>
      </c>
      <c r="F30" s="15">
        <v>2</v>
      </c>
      <c r="G30" s="15">
        <v>10</v>
      </c>
      <c r="H30" s="15"/>
      <c r="I30" s="15" t="str">
        <f>C30</f>
        <v>B</v>
      </c>
      <c r="J30" s="15">
        <f t="shared" ref="J30:J33" si="4">IF(ISNUMBER(K29),K29,0)</f>
        <v>2</v>
      </c>
      <c r="K30" s="15">
        <f>J30+D30</f>
        <v>6</v>
      </c>
      <c r="L30" s="15"/>
      <c r="M30" s="15" t="str">
        <f>I30</f>
        <v>B</v>
      </c>
      <c r="N30" s="15">
        <f t="shared" ref="N30:N33" si="5">IF(ISNUMBER(O29),O29,0)</f>
        <v>3</v>
      </c>
      <c r="O30" s="15">
        <f>N30+E30</f>
        <v>7</v>
      </c>
      <c r="Q30" s="15" t="str">
        <f>M30</f>
        <v>B</v>
      </c>
      <c r="R30" s="15">
        <f>MAX(K30,O30,S29)</f>
        <v>7</v>
      </c>
      <c r="S30" s="15">
        <f>R30+F30</f>
        <v>9</v>
      </c>
      <c r="U30" s="15" t="str">
        <f>M30</f>
        <v>B</v>
      </c>
      <c r="V30" s="15">
        <f>S30</f>
        <v>9</v>
      </c>
      <c r="W30" s="15">
        <f>G30</f>
        <v>10</v>
      </c>
      <c r="X30" s="15">
        <f t="shared" ref="X30:X33" si="6">V30-W30</f>
        <v>-1</v>
      </c>
      <c r="Y30" s="15">
        <f t="shared" ref="Y30:Y33" si="7">MAX(0,X30)</f>
        <v>0</v>
      </c>
      <c r="Z30" s="15"/>
      <c r="AA30" t="s">
        <v>18</v>
      </c>
      <c r="AB30" s="9">
        <f>AVERAGE(AS2_Tab2[C])</f>
        <v>10.6</v>
      </c>
      <c r="AC30" s="15"/>
      <c r="AD30" s="37" t="str">
        <f t="shared" si="0"/>
        <v>B</v>
      </c>
      <c r="AE30" s="15">
        <f>J30-K29</f>
        <v>0</v>
      </c>
      <c r="AF30" s="15">
        <f t="shared" si="1"/>
        <v>4</v>
      </c>
      <c r="AH30" s="37" t="str">
        <f t="shared" ref="AH30:AH33" si="8">M30</f>
        <v>B</v>
      </c>
      <c r="AI30" s="15">
        <f>N30-O29</f>
        <v>0</v>
      </c>
      <c r="AJ30" s="15">
        <f t="shared" si="2"/>
        <v>4</v>
      </c>
      <c r="AL30" s="37" t="str">
        <f t="shared" ref="AL30:AL33" si="9">Q30</f>
        <v>B</v>
      </c>
      <c r="AM30" s="15">
        <f>R30-S29</f>
        <v>1</v>
      </c>
      <c r="AN30" s="15">
        <f t="shared" si="3"/>
        <v>2</v>
      </c>
    </row>
    <row r="31" spans="2:40" x14ac:dyDescent="0.3">
      <c r="B31" s="15"/>
      <c r="C31" s="15" t="s">
        <v>3</v>
      </c>
      <c r="D31" s="15">
        <v>1</v>
      </c>
      <c r="E31" s="15">
        <v>1</v>
      </c>
      <c r="F31" s="15">
        <v>1</v>
      </c>
      <c r="G31" s="15">
        <v>10</v>
      </c>
      <c r="H31" s="15"/>
      <c r="I31" s="15" t="str">
        <f>C31</f>
        <v>C</v>
      </c>
      <c r="J31" s="15">
        <f t="shared" si="4"/>
        <v>6</v>
      </c>
      <c r="K31" s="15">
        <f>J31+D31</f>
        <v>7</v>
      </c>
      <c r="L31" s="15"/>
      <c r="M31" s="15" t="str">
        <f>I31</f>
        <v>C</v>
      </c>
      <c r="N31" s="15">
        <f t="shared" si="5"/>
        <v>7</v>
      </c>
      <c r="O31" s="15">
        <f>N31+E31</f>
        <v>8</v>
      </c>
      <c r="Q31" s="15" t="str">
        <f>M31</f>
        <v>C</v>
      </c>
      <c r="R31" s="15">
        <f>MAX(K31,O31,S30)</f>
        <v>9</v>
      </c>
      <c r="S31" s="15">
        <f>R31+F31</f>
        <v>10</v>
      </c>
      <c r="U31" s="15" t="str">
        <f>M31</f>
        <v>C</v>
      </c>
      <c r="V31" s="15">
        <f>S31</f>
        <v>10</v>
      </c>
      <c r="W31" s="15">
        <f>G31</f>
        <v>10</v>
      </c>
      <c r="X31" s="15">
        <f t="shared" si="6"/>
        <v>0</v>
      </c>
      <c r="Y31" s="15">
        <f t="shared" si="7"/>
        <v>0</v>
      </c>
      <c r="Z31" s="15"/>
      <c r="AA31" s="13" t="s">
        <v>20</v>
      </c>
      <c r="AB31" s="9">
        <f>SUM(AS2_Tab2[T])</f>
        <v>1</v>
      </c>
      <c r="AC31" s="15"/>
      <c r="AD31" s="37" t="str">
        <f t="shared" si="0"/>
        <v>C</v>
      </c>
      <c r="AE31" s="15">
        <f t="shared" ref="AE31:AE33" si="10">J31-K30</f>
        <v>0</v>
      </c>
      <c r="AF31" s="15">
        <f t="shared" si="1"/>
        <v>1</v>
      </c>
      <c r="AH31" s="37" t="str">
        <f t="shared" si="8"/>
        <v>C</v>
      </c>
      <c r="AI31" s="15">
        <f t="shared" ref="AI31:AI33" si="11">N31-O30</f>
        <v>0</v>
      </c>
      <c r="AJ31" s="15">
        <f t="shared" si="2"/>
        <v>1</v>
      </c>
      <c r="AL31" s="37" t="str">
        <f t="shared" si="9"/>
        <v>C</v>
      </c>
      <c r="AM31" s="15">
        <f t="shared" ref="AM31:AM33" si="12">R31-S30</f>
        <v>0</v>
      </c>
      <c r="AN31" s="15">
        <f t="shared" si="3"/>
        <v>1</v>
      </c>
    </row>
    <row r="32" spans="2:40" x14ac:dyDescent="0.3">
      <c r="B32" s="15"/>
      <c r="C32" s="15" t="s">
        <v>6</v>
      </c>
      <c r="D32" s="15">
        <v>2</v>
      </c>
      <c r="E32" s="15">
        <v>3</v>
      </c>
      <c r="F32" s="15">
        <v>1</v>
      </c>
      <c r="G32" s="15">
        <v>15</v>
      </c>
      <c r="H32" s="15"/>
      <c r="I32" s="15" t="str">
        <f>C32</f>
        <v>D</v>
      </c>
      <c r="J32" s="15">
        <f t="shared" si="4"/>
        <v>7</v>
      </c>
      <c r="K32" s="15">
        <f>J32+D32</f>
        <v>9</v>
      </c>
      <c r="L32" s="15"/>
      <c r="M32" s="15" t="str">
        <f>I32</f>
        <v>D</v>
      </c>
      <c r="N32" s="15">
        <f t="shared" si="5"/>
        <v>8</v>
      </c>
      <c r="O32" s="15">
        <f>N32+E32</f>
        <v>11</v>
      </c>
      <c r="Q32" s="15" t="str">
        <f>M32</f>
        <v>D</v>
      </c>
      <c r="R32" s="15">
        <f>MAX(K32,O32,S31)</f>
        <v>11</v>
      </c>
      <c r="S32" s="15">
        <f>R32+F32</f>
        <v>12</v>
      </c>
      <c r="U32" s="15" t="str">
        <f>M32</f>
        <v>D</v>
      </c>
      <c r="V32" s="15">
        <f>S32</f>
        <v>12</v>
      </c>
      <c r="W32" s="15">
        <f>G32</f>
        <v>15</v>
      </c>
      <c r="X32" s="15">
        <f t="shared" si="6"/>
        <v>-3</v>
      </c>
      <c r="Y32" s="15">
        <f t="shared" si="7"/>
        <v>0</v>
      </c>
      <c r="Z32" s="15"/>
      <c r="AA32" s="13" t="s">
        <v>21</v>
      </c>
      <c r="AB32" s="9">
        <f>MAX(AS2_Tab2[T])</f>
        <v>1</v>
      </c>
      <c r="AC32" s="15"/>
      <c r="AD32" s="37" t="str">
        <f t="shared" si="0"/>
        <v>D</v>
      </c>
      <c r="AE32" s="15">
        <f t="shared" si="10"/>
        <v>0</v>
      </c>
      <c r="AF32" s="15">
        <f t="shared" si="1"/>
        <v>2</v>
      </c>
      <c r="AH32" s="37" t="str">
        <f t="shared" si="8"/>
        <v>D</v>
      </c>
      <c r="AI32" s="15">
        <f t="shared" si="11"/>
        <v>0</v>
      </c>
      <c r="AJ32" s="15">
        <f t="shared" si="2"/>
        <v>3</v>
      </c>
      <c r="AL32" s="37" t="str">
        <f t="shared" si="9"/>
        <v>D</v>
      </c>
      <c r="AM32" s="15">
        <f t="shared" si="12"/>
        <v>1</v>
      </c>
      <c r="AN32" s="15">
        <f t="shared" si="3"/>
        <v>1</v>
      </c>
    </row>
    <row r="33" spans="2:40" x14ac:dyDescent="0.3">
      <c r="B33" s="15"/>
      <c r="C33" s="15" t="s">
        <v>7</v>
      </c>
      <c r="D33" s="15">
        <v>5</v>
      </c>
      <c r="E33" s="15">
        <v>1</v>
      </c>
      <c r="F33" s="15">
        <v>2</v>
      </c>
      <c r="G33" s="15">
        <v>15</v>
      </c>
      <c r="H33" s="15"/>
      <c r="I33" s="15" t="str">
        <f>C33</f>
        <v>E</v>
      </c>
      <c r="J33" s="15">
        <f t="shared" si="4"/>
        <v>9</v>
      </c>
      <c r="K33" s="15">
        <f>J33+D33</f>
        <v>14</v>
      </c>
      <c r="L33" s="15"/>
      <c r="M33" s="15" t="str">
        <f>I33</f>
        <v>E</v>
      </c>
      <c r="N33" s="15">
        <f t="shared" si="5"/>
        <v>11</v>
      </c>
      <c r="O33" s="15">
        <f>N33+E33</f>
        <v>12</v>
      </c>
      <c r="Q33" s="15" t="str">
        <f>M33</f>
        <v>E</v>
      </c>
      <c r="R33" s="15">
        <f>MAX(K33,O33,S32)</f>
        <v>14</v>
      </c>
      <c r="S33" s="15">
        <f>R33+F33</f>
        <v>16</v>
      </c>
      <c r="U33" s="15" t="str">
        <f>M33</f>
        <v>E</v>
      </c>
      <c r="V33" s="15">
        <f>S33</f>
        <v>16</v>
      </c>
      <c r="W33" s="15">
        <f>G33</f>
        <v>15</v>
      </c>
      <c r="X33" s="15">
        <f t="shared" si="6"/>
        <v>1</v>
      </c>
      <c r="Y33" s="15">
        <f t="shared" si="7"/>
        <v>1</v>
      </c>
      <c r="Z33" s="15"/>
      <c r="AA33" s="13" t="s">
        <v>22</v>
      </c>
      <c r="AB33" s="25">
        <f>COUNTIF(AS2_Tab2[T],"&gt;0")</f>
        <v>1</v>
      </c>
      <c r="AC33" s="15"/>
      <c r="AD33" s="37" t="str">
        <f t="shared" si="0"/>
        <v>E</v>
      </c>
      <c r="AE33" s="15">
        <f t="shared" si="10"/>
        <v>0</v>
      </c>
      <c r="AF33" s="15">
        <f t="shared" si="1"/>
        <v>5</v>
      </c>
      <c r="AH33" s="37" t="str">
        <f t="shared" si="8"/>
        <v>E</v>
      </c>
      <c r="AI33" s="15">
        <f t="shared" si="11"/>
        <v>0</v>
      </c>
      <c r="AJ33" s="15">
        <f t="shared" si="2"/>
        <v>1</v>
      </c>
      <c r="AL33" s="37" t="str">
        <f t="shared" si="9"/>
        <v>E</v>
      </c>
      <c r="AM33" s="15">
        <f t="shared" si="12"/>
        <v>2</v>
      </c>
      <c r="AN33" s="15">
        <f t="shared" si="3"/>
        <v>2</v>
      </c>
    </row>
    <row r="34" spans="2:40" x14ac:dyDescent="0.3"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</row>
    <row r="35" spans="2:40" x14ac:dyDescent="0.3">
      <c r="B35" s="15"/>
      <c r="C35" s="15"/>
      <c r="D35" s="15"/>
      <c r="E35" s="15"/>
      <c r="F35" s="15"/>
      <c r="G35" s="15"/>
      <c r="H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26"/>
      <c r="AE35" s="26"/>
      <c r="AF35" s="26"/>
      <c r="AG35" s="26"/>
      <c r="AH35" s="26"/>
    </row>
    <row r="36" spans="2:40" x14ac:dyDescent="0.3">
      <c r="B36" s="24"/>
      <c r="C36" s="24"/>
      <c r="D36" s="24"/>
      <c r="E36" s="24"/>
      <c r="F36" s="14"/>
      <c r="G36" s="14"/>
      <c r="H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</row>
    <row r="37" spans="2:40" x14ac:dyDescent="0.3">
      <c r="B37" s="14"/>
      <c r="C37" s="14"/>
      <c r="D37" s="14"/>
      <c r="E37" s="14"/>
      <c r="F37" s="14"/>
      <c r="G37" s="14"/>
      <c r="H37" s="14"/>
      <c r="L37" s="14"/>
      <c r="M37" s="14"/>
      <c r="N37" s="14"/>
      <c r="O37" s="14"/>
      <c r="P37" s="14"/>
      <c r="Q37" s="14"/>
      <c r="R37" s="14"/>
      <c r="S37" s="14"/>
    </row>
  </sheetData>
  <mergeCells count="6">
    <mergeCell ref="AL26:AN26"/>
    <mergeCell ref="I26:K26"/>
    <mergeCell ref="M26:O26"/>
    <mergeCell ref="Q26:S26"/>
    <mergeCell ref="AD26:AF26"/>
    <mergeCell ref="AH26:AJ26"/>
  </mergeCells>
  <pageMargins left="0.78740157480314965" right="0.78740157480314965" top="0.98425196850393704" bottom="0.98425196850393704" header="0.51181102362204722" footer="0.51181102362204722"/>
  <pageSetup paperSize="9" scale="60" orientation="landscape" horizontalDpi="300" verticalDpi="300" r:id="rId1"/>
  <headerFooter alignWithMargins="0">
    <oddHeader>&amp;A</oddHeader>
    <oddFooter>Página &amp;P de &amp;N</oddFooter>
  </headerFooter>
  <drawing r:id="rId2"/>
  <tableParts count="9"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M1</vt:lpstr>
      <vt:lpstr>MP3</vt:lpstr>
      <vt:lpstr>FS2</vt:lpstr>
      <vt:lpstr>JS3</vt:lpstr>
      <vt:lpstr>AS2</vt:lpstr>
    </vt:vector>
  </TitlesOfParts>
  <Company>Fundação Vanzolini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Mesquita</dc:creator>
  <cp:lastModifiedBy>remoto</cp:lastModifiedBy>
  <cp:lastPrinted>2014-04-07T14:28:37Z</cp:lastPrinted>
  <dcterms:created xsi:type="dcterms:W3CDTF">2007-04-07T00:46:03Z</dcterms:created>
  <dcterms:modified xsi:type="dcterms:W3CDTF">2020-08-21T12:36:48Z</dcterms:modified>
</cp:coreProperties>
</file>