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fasttrackeduvn-my.sharepoint.com/personal/admin_fasttrack_edu_vn/Documents/FFSE File Server/03. Đào tạo/Handover/HỌC LIỆU/FFSE/"/>
    </mc:Choice>
  </mc:AlternateContent>
  <bookViews>
    <workbookView minimized="1" xWindow="0" yWindow="0" windowWidth="20490" windowHeight="7665" tabRatio="869" activeTab="4"/>
  </bookViews>
  <sheets>
    <sheet name="Cover" sheetId="23" r:id="rId1"/>
    <sheet name="Master Sched" sheetId="18" r:id="rId2"/>
    <sheet name="DV-IDENTITY-0" sheetId="7" state="veryHidden" r:id="rId3"/>
    <sheet name="Trn-Output Mapping" sheetId="11" r:id="rId4"/>
    <sheet name="Topics" sheetId="17" r:id="rId5"/>
  </sheets>
  <definedNames>
    <definedName name="__PA3" localSheetId="1" hidden="1">{"'Sheet1'!$L$16"}</definedName>
    <definedName name="__PA3" hidden="1">{"'Sheet1'!$L$16"}</definedName>
    <definedName name="_a1" localSheetId="1" hidden="1">{"'Sheet1'!$L$16"}</definedName>
    <definedName name="_a1" hidden="1">{"'Sheet1'!$L$16"}</definedName>
    <definedName name="_Fill" hidden="1">#REF!</definedName>
    <definedName name="_xlnm._FilterDatabase" localSheetId="1" hidden="1">'Master Sched'!#REF!</definedName>
    <definedName name="_xlnm._FilterDatabase" localSheetId="4" hidden="1">Topics!$A$2:$E$34</definedName>
    <definedName name="_xlnm._FilterDatabase" localSheetId="3" hidden="1">'Trn-Output Mapping'!$A$5:$E$18</definedName>
    <definedName name="_xlnm._FilterDatabase" hidden="1">#REF!</definedName>
    <definedName name="_FilterDatabase1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3" localSheetId="1" hidden="1">{"'Sheet1'!$L$16"}</definedName>
    <definedName name="_PA3" hidden="1">{"'Sheet1'!$L$16"}</definedName>
    <definedName name="_Sort" hidden="1">#REF!</definedName>
    <definedName name="_SU15" localSheetId="1" hidden="1">{"'Sheet1'!$L$16"}</definedName>
    <definedName name="_SU15" hidden="1">{"'Sheet1'!$L$16"}</definedName>
    <definedName name="ACTION">#REF!</definedName>
    <definedName name="CTCT1" localSheetId="1" hidden="1">{"'Sheet1'!$L$16"}</definedName>
    <definedName name="CTCT1" hidden="1">{"'Sheet1'!$L$16"}</definedName>
    <definedName name="h" localSheetId="1" hidden="1">{"'Sheet1'!$L$16"}</definedName>
    <definedName name="h" hidden="1">{"'Sheet1'!$L$16"}</definedName>
    <definedName name="HTML_CodePage" hidden="1">950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" hidden="1">{"'Sheet1'!$L$16"}</definedName>
    <definedName name="huy" hidden="1">{"'Sheet1'!$L$16"}</definedName>
    <definedName name="_xlnm.Print_Area">#REF!</definedName>
    <definedName name="wrn.chi._.tiÆt." localSheetId="1" hidden="1">{#N/A,#N/A,FALSE,"Chi tiÆt"}</definedName>
    <definedName name="wrn.chi._.tiÆt." hidden="1">{#N/A,#N/A,FALSE,"Chi tiÆt"}</definedName>
  </definedNames>
  <calcPr calcId="162913"/>
</workbook>
</file>

<file path=xl/calcChain.xml><?xml version="1.0" encoding="utf-8"?>
<calcChain xmlns="http://schemas.openxmlformats.org/spreadsheetml/2006/main">
  <c r="E24" i="17" l="1"/>
  <c r="E19" i="17"/>
  <c r="F18" i="17"/>
  <c r="F17" i="17"/>
  <c r="E17" i="17"/>
  <c r="F16" i="17"/>
  <c r="E16" i="17"/>
  <c r="F15" i="17"/>
  <c r="F14" i="17" s="1"/>
  <c r="E15" i="17"/>
  <c r="E14" i="17" s="1"/>
  <c r="D14" i="17"/>
  <c r="C14" i="17"/>
  <c r="E13" i="17"/>
  <c r="F12" i="17"/>
  <c r="F11" i="17"/>
  <c r="F10" i="17"/>
  <c r="E10" i="17" s="1"/>
  <c r="F9" i="17"/>
  <c r="E9" i="17"/>
  <c r="F8" i="17"/>
  <c r="E8" i="17" s="1"/>
  <c r="F7" i="17"/>
  <c r="E7" i="17"/>
  <c r="F6" i="17"/>
  <c r="D6" i="17"/>
  <c r="C6" i="17"/>
  <c r="E6" i="17" l="1"/>
  <c r="D4" i="7" l="1"/>
  <c r="A11" i="7"/>
  <c r="B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EG10" i="7"/>
  <c r="EH10" i="7"/>
  <c r="EI10" i="7"/>
  <c r="EJ10" i="7"/>
  <c r="EK10" i="7"/>
  <c r="EL10" i="7"/>
  <c r="EM10" i="7"/>
  <c r="EN10" i="7"/>
  <c r="EO10" i="7"/>
  <c r="EP10" i="7"/>
  <c r="EQ10" i="7"/>
  <c r="ER10" i="7"/>
  <c r="ES10" i="7"/>
  <c r="ET10" i="7"/>
  <c r="EU10" i="7"/>
  <c r="EV10" i="7"/>
  <c r="EW10" i="7"/>
  <c r="EX10" i="7"/>
  <c r="EY10" i="7"/>
  <c r="EZ10" i="7"/>
  <c r="FA10" i="7"/>
  <c r="FB10" i="7"/>
  <c r="FC10" i="7"/>
  <c r="FD10" i="7"/>
  <c r="FE10" i="7"/>
  <c r="FF10" i="7"/>
  <c r="FG10" i="7"/>
  <c r="FH10" i="7"/>
  <c r="FI10" i="7"/>
  <c r="FJ10" i="7"/>
  <c r="FK10" i="7"/>
  <c r="FL10" i="7"/>
  <c r="FM10" i="7"/>
  <c r="FN10" i="7"/>
  <c r="FO10" i="7"/>
  <c r="FP10" i="7"/>
  <c r="FQ10" i="7"/>
  <c r="FR10" i="7"/>
  <c r="FS10" i="7"/>
  <c r="FT10" i="7"/>
  <c r="FU10" i="7"/>
  <c r="FV10" i="7"/>
  <c r="FW10" i="7"/>
  <c r="FX10" i="7"/>
  <c r="FY10" i="7"/>
  <c r="FZ10" i="7"/>
  <c r="GA10" i="7"/>
  <c r="GB10" i="7"/>
  <c r="GC10" i="7"/>
  <c r="GD10" i="7"/>
  <c r="GE10" i="7"/>
  <c r="GF10" i="7"/>
  <c r="GG10" i="7"/>
  <c r="GH10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HH10" i="7"/>
  <c r="HI10" i="7"/>
  <c r="HJ10" i="7"/>
  <c r="HK10" i="7"/>
  <c r="HL10" i="7"/>
  <c r="HM10" i="7"/>
  <c r="HN10" i="7"/>
  <c r="HO10" i="7"/>
  <c r="HP10" i="7"/>
  <c r="HQ10" i="7"/>
  <c r="HR10" i="7"/>
  <c r="HS10" i="7"/>
  <c r="HT10" i="7"/>
  <c r="HU10" i="7"/>
  <c r="HV10" i="7"/>
  <c r="HW10" i="7"/>
  <c r="HX10" i="7"/>
  <c r="HY10" i="7"/>
  <c r="HZ10" i="7"/>
  <c r="IA10" i="7"/>
  <c r="IB10" i="7"/>
  <c r="IC10" i="7"/>
  <c r="ID10" i="7"/>
  <c r="IE10" i="7"/>
  <c r="IF10" i="7"/>
  <c r="IG10" i="7"/>
  <c r="IH10" i="7"/>
  <c r="II10" i="7"/>
  <c r="IJ10" i="7"/>
  <c r="IK10" i="7"/>
  <c r="IL10" i="7"/>
  <c r="IM10" i="7"/>
  <c r="IN10" i="7"/>
  <c r="IO10" i="7"/>
  <c r="IP10" i="7"/>
  <c r="IQ10" i="7"/>
  <c r="IR10" i="7"/>
  <c r="IS10" i="7"/>
  <c r="IT10" i="7"/>
  <c r="IU10" i="7"/>
  <c r="IV10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Y9" i="7"/>
  <c r="DZ9" i="7"/>
  <c r="EA9" i="7"/>
  <c r="EB9" i="7"/>
  <c r="EC9" i="7"/>
  <c r="ED9" i="7"/>
  <c r="EE9" i="7"/>
  <c r="EF9" i="7"/>
  <c r="EG9" i="7"/>
  <c r="EH9" i="7"/>
  <c r="EI9" i="7"/>
  <c r="EJ9" i="7"/>
  <c r="EK9" i="7"/>
  <c r="EL9" i="7"/>
  <c r="EM9" i="7"/>
  <c r="EN9" i="7"/>
  <c r="EO9" i="7"/>
  <c r="EP9" i="7"/>
  <c r="EQ9" i="7"/>
  <c r="ER9" i="7"/>
  <c r="ES9" i="7"/>
  <c r="ET9" i="7"/>
  <c r="EU9" i="7"/>
  <c r="EV9" i="7"/>
  <c r="EW9" i="7"/>
  <c r="EX9" i="7"/>
  <c r="EY9" i="7"/>
  <c r="EZ9" i="7"/>
  <c r="FA9" i="7"/>
  <c r="FB9" i="7"/>
  <c r="FC9" i="7"/>
  <c r="FD9" i="7"/>
  <c r="FE9" i="7"/>
  <c r="FF9" i="7"/>
  <c r="FG9" i="7"/>
  <c r="FH9" i="7"/>
  <c r="FI9" i="7"/>
  <c r="FJ9" i="7"/>
  <c r="FK9" i="7"/>
  <c r="FL9" i="7"/>
  <c r="FM9" i="7"/>
  <c r="FN9" i="7"/>
  <c r="FO9" i="7"/>
  <c r="FP9" i="7"/>
  <c r="FQ9" i="7"/>
  <c r="FR9" i="7"/>
  <c r="FS9" i="7"/>
  <c r="FT9" i="7"/>
  <c r="FU9" i="7"/>
  <c r="FV9" i="7"/>
  <c r="FW9" i="7"/>
  <c r="FX9" i="7"/>
  <c r="FY9" i="7"/>
  <c r="FZ9" i="7"/>
  <c r="GA9" i="7"/>
  <c r="GB9" i="7"/>
  <c r="GC9" i="7"/>
  <c r="GD9" i="7"/>
  <c r="GE9" i="7"/>
  <c r="GF9" i="7"/>
  <c r="GG9" i="7"/>
  <c r="GH9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HH9" i="7"/>
  <c r="HI9" i="7"/>
  <c r="HJ9" i="7"/>
  <c r="HK9" i="7"/>
  <c r="HL9" i="7"/>
  <c r="HM9" i="7"/>
  <c r="HN9" i="7"/>
  <c r="HO9" i="7"/>
  <c r="HP9" i="7"/>
  <c r="HQ9" i="7"/>
  <c r="HR9" i="7"/>
  <c r="HS9" i="7"/>
  <c r="HT9" i="7"/>
  <c r="HU9" i="7"/>
  <c r="HV9" i="7"/>
  <c r="HW9" i="7"/>
  <c r="HX9" i="7"/>
  <c r="HY9" i="7"/>
  <c r="HZ9" i="7"/>
  <c r="IA9" i="7"/>
  <c r="IB9" i="7"/>
  <c r="IC9" i="7"/>
  <c r="ID9" i="7"/>
  <c r="IE9" i="7"/>
  <c r="IF9" i="7"/>
  <c r="IG9" i="7"/>
  <c r="IH9" i="7"/>
  <c r="II9" i="7"/>
  <c r="IJ9" i="7"/>
  <c r="IK9" i="7"/>
  <c r="IL9" i="7"/>
  <c r="IM9" i="7"/>
  <c r="IN9" i="7"/>
  <c r="IO9" i="7"/>
  <c r="IP9" i="7"/>
  <c r="IQ9" i="7"/>
  <c r="IR9" i="7"/>
  <c r="IS9" i="7"/>
  <c r="IT9" i="7"/>
  <c r="IU9" i="7"/>
  <c r="IV9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EA8" i="7"/>
  <c r="EB8" i="7"/>
  <c r="EC8" i="7"/>
  <c r="ED8" i="7"/>
  <c r="EE8" i="7"/>
  <c r="EF8" i="7"/>
  <c r="EG8" i="7"/>
  <c r="EH8" i="7"/>
  <c r="EI8" i="7"/>
  <c r="EJ8" i="7"/>
  <c r="EK8" i="7"/>
  <c r="EL8" i="7"/>
  <c r="EM8" i="7"/>
  <c r="EN8" i="7"/>
  <c r="EO8" i="7"/>
  <c r="EP8" i="7"/>
  <c r="EQ8" i="7"/>
  <c r="ER8" i="7"/>
  <c r="ES8" i="7"/>
  <c r="ET8" i="7"/>
  <c r="EU8" i="7"/>
  <c r="EV8" i="7"/>
  <c r="EW8" i="7"/>
  <c r="EX8" i="7"/>
  <c r="EY8" i="7"/>
  <c r="EZ8" i="7"/>
  <c r="FA8" i="7"/>
  <c r="FB8" i="7"/>
  <c r="FC8" i="7"/>
  <c r="FD8" i="7"/>
  <c r="FE8" i="7"/>
  <c r="FF8" i="7"/>
  <c r="FG8" i="7"/>
  <c r="FH8" i="7"/>
  <c r="FI8" i="7"/>
  <c r="FJ8" i="7"/>
  <c r="FK8" i="7"/>
  <c r="FL8" i="7"/>
  <c r="FM8" i="7"/>
  <c r="FN8" i="7"/>
  <c r="FO8" i="7"/>
  <c r="FP8" i="7"/>
  <c r="FQ8" i="7"/>
  <c r="FR8" i="7"/>
  <c r="FS8" i="7"/>
  <c r="FT8" i="7"/>
  <c r="FU8" i="7"/>
  <c r="FV8" i="7"/>
  <c r="FW8" i="7"/>
  <c r="FX8" i="7"/>
  <c r="FY8" i="7"/>
  <c r="FZ8" i="7"/>
  <c r="GA8" i="7"/>
  <c r="GB8" i="7"/>
  <c r="GC8" i="7"/>
  <c r="GD8" i="7"/>
  <c r="GE8" i="7"/>
  <c r="GF8" i="7"/>
  <c r="GG8" i="7"/>
  <c r="GH8" i="7"/>
  <c r="GI8" i="7"/>
  <c r="GJ8" i="7"/>
  <c r="GK8" i="7"/>
  <c r="GL8" i="7"/>
  <c r="GM8" i="7"/>
  <c r="GN8" i="7"/>
  <c r="GO8" i="7"/>
  <c r="GP8" i="7"/>
  <c r="GQ8" i="7"/>
  <c r="GR8" i="7"/>
  <c r="GS8" i="7"/>
  <c r="GT8" i="7"/>
  <c r="GU8" i="7"/>
  <c r="GV8" i="7"/>
  <c r="GW8" i="7"/>
  <c r="GX8" i="7"/>
  <c r="GY8" i="7"/>
  <c r="GZ8" i="7"/>
  <c r="HA8" i="7"/>
  <c r="HB8" i="7"/>
  <c r="HC8" i="7"/>
  <c r="HD8" i="7"/>
  <c r="HE8" i="7"/>
  <c r="HF8" i="7"/>
  <c r="HG8" i="7"/>
  <c r="HH8" i="7"/>
  <c r="HI8" i="7"/>
  <c r="HJ8" i="7"/>
  <c r="HK8" i="7"/>
  <c r="HL8" i="7"/>
  <c r="HM8" i="7"/>
  <c r="HN8" i="7"/>
  <c r="HO8" i="7"/>
  <c r="HP8" i="7"/>
  <c r="HQ8" i="7"/>
  <c r="HR8" i="7"/>
  <c r="HS8" i="7"/>
  <c r="HT8" i="7"/>
  <c r="HU8" i="7"/>
  <c r="HV8" i="7"/>
  <c r="HW8" i="7"/>
  <c r="HX8" i="7"/>
  <c r="HY8" i="7"/>
  <c r="HZ8" i="7"/>
  <c r="IA8" i="7"/>
  <c r="IB8" i="7"/>
  <c r="IC8" i="7"/>
  <c r="ID8" i="7"/>
  <c r="IE8" i="7"/>
  <c r="IF8" i="7"/>
  <c r="IG8" i="7"/>
  <c r="IH8" i="7"/>
  <c r="II8" i="7"/>
  <c r="IJ8" i="7"/>
  <c r="IK8" i="7"/>
  <c r="IL8" i="7"/>
  <c r="IM8" i="7"/>
  <c r="IN8" i="7"/>
  <c r="IO8" i="7"/>
  <c r="IP8" i="7"/>
  <c r="IQ8" i="7"/>
  <c r="IR8" i="7"/>
  <c r="IS8" i="7"/>
  <c r="IT8" i="7"/>
  <c r="IU8" i="7"/>
  <c r="IV8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EB7" i="7"/>
  <c r="EC7" i="7"/>
  <c r="ED7" i="7"/>
  <c r="EE7" i="7"/>
  <c r="EF7" i="7"/>
  <c r="EG7" i="7"/>
  <c r="EH7" i="7"/>
  <c r="EI7" i="7"/>
  <c r="EJ7" i="7"/>
  <c r="EK7" i="7"/>
  <c r="EL7" i="7"/>
  <c r="EM7" i="7"/>
  <c r="EN7" i="7"/>
  <c r="EO7" i="7"/>
  <c r="EP7" i="7"/>
  <c r="EQ7" i="7"/>
  <c r="ER7" i="7"/>
  <c r="ES7" i="7"/>
  <c r="ET7" i="7"/>
  <c r="EU7" i="7"/>
  <c r="EV7" i="7"/>
  <c r="EW7" i="7"/>
  <c r="EX7" i="7"/>
  <c r="EY7" i="7"/>
  <c r="EZ7" i="7"/>
  <c r="FA7" i="7"/>
  <c r="FB7" i="7"/>
  <c r="FC7" i="7"/>
  <c r="FD7" i="7"/>
  <c r="FE7" i="7"/>
  <c r="FF7" i="7"/>
  <c r="FG7" i="7"/>
  <c r="FH7" i="7"/>
  <c r="FI7" i="7"/>
  <c r="FJ7" i="7"/>
  <c r="FK7" i="7"/>
  <c r="FL7" i="7"/>
  <c r="FM7" i="7"/>
  <c r="FN7" i="7"/>
  <c r="FO7" i="7"/>
  <c r="FP7" i="7"/>
  <c r="FQ7" i="7"/>
  <c r="FR7" i="7"/>
  <c r="FS7" i="7"/>
  <c r="FT7" i="7"/>
  <c r="FU7" i="7"/>
  <c r="FV7" i="7"/>
  <c r="FW7" i="7"/>
  <c r="FX7" i="7"/>
  <c r="FY7" i="7"/>
  <c r="FZ7" i="7"/>
  <c r="GA7" i="7"/>
  <c r="GB7" i="7"/>
  <c r="GC7" i="7"/>
  <c r="GD7" i="7"/>
  <c r="GE7" i="7"/>
  <c r="GF7" i="7"/>
  <c r="GG7" i="7"/>
  <c r="GH7" i="7"/>
  <c r="GI7" i="7"/>
  <c r="GJ7" i="7"/>
  <c r="GK7" i="7"/>
  <c r="GL7" i="7"/>
  <c r="GM7" i="7"/>
  <c r="GN7" i="7"/>
  <c r="GO7" i="7"/>
  <c r="GP7" i="7"/>
  <c r="GQ7" i="7"/>
  <c r="GR7" i="7"/>
  <c r="GS7" i="7"/>
  <c r="GT7" i="7"/>
  <c r="GU7" i="7"/>
  <c r="GV7" i="7"/>
  <c r="GW7" i="7"/>
  <c r="GX7" i="7"/>
  <c r="GY7" i="7"/>
  <c r="GZ7" i="7"/>
  <c r="HA7" i="7"/>
  <c r="HB7" i="7"/>
  <c r="HC7" i="7"/>
  <c r="HD7" i="7"/>
  <c r="HE7" i="7"/>
  <c r="HF7" i="7"/>
  <c r="HG7" i="7"/>
  <c r="HH7" i="7"/>
  <c r="HI7" i="7"/>
  <c r="HJ7" i="7"/>
  <c r="HK7" i="7"/>
  <c r="HL7" i="7"/>
  <c r="HM7" i="7"/>
  <c r="HN7" i="7"/>
  <c r="HO7" i="7"/>
  <c r="HP7" i="7"/>
  <c r="HQ7" i="7"/>
  <c r="HR7" i="7"/>
  <c r="HS7" i="7"/>
  <c r="HT7" i="7"/>
  <c r="HU7" i="7"/>
  <c r="HV7" i="7"/>
  <c r="HW7" i="7"/>
  <c r="HX7" i="7"/>
  <c r="HY7" i="7"/>
  <c r="HZ7" i="7"/>
  <c r="IA7" i="7"/>
  <c r="IB7" i="7"/>
  <c r="IC7" i="7"/>
  <c r="ID7" i="7"/>
  <c r="IE7" i="7"/>
  <c r="IF7" i="7"/>
  <c r="IG7" i="7"/>
  <c r="IH7" i="7"/>
  <c r="II7" i="7"/>
  <c r="IJ7" i="7"/>
  <c r="IK7" i="7"/>
  <c r="IL7" i="7"/>
  <c r="IM7" i="7"/>
  <c r="IN7" i="7"/>
  <c r="IO7" i="7"/>
  <c r="IP7" i="7"/>
  <c r="IQ7" i="7"/>
  <c r="IR7" i="7"/>
  <c r="IS7" i="7"/>
  <c r="IT7" i="7"/>
  <c r="IU7" i="7"/>
  <c r="IV7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EA6" i="7"/>
  <c r="EB6" i="7"/>
  <c r="EC6" i="7"/>
  <c r="ED6" i="7"/>
  <c r="EE6" i="7"/>
  <c r="EF6" i="7"/>
  <c r="EG6" i="7"/>
  <c r="EH6" i="7"/>
  <c r="EI6" i="7"/>
  <c r="EJ6" i="7"/>
  <c r="EK6" i="7"/>
  <c r="EL6" i="7"/>
  <c r="EM6" i="7"/>
  <c r="EN6" i="7"/>
  <c r="EO6" i="7"/>
  <c r="EP6" i="7"/>
  <c r="EQ6" i="7"/>
  <c r="ER6" i="7"/>
  <c r="ES6" i="7"/>
  <c r="ET6" i="7"/>
  <c r="EU6" i="7"/>
  <c r="EV6" i="7"/>
  <c r="EW6" i="7"/>
  <c r="EX6" i="7"/>
  <c r="EY6" i="7"/>
  <c r="EZ6" i="7"/>
  <c r="FA6" i="7"/>
  <c r="FB6" i="7"/>
  <c r="FC6" i="7"/>
  <c r="FD6" i="7"/>
  <c r="FE6" i="7"/>
  <c r="FF6" i="7"/>
  <c r="FG6" i="7"/>
  <c r="FH6" i="7"/>
  <c r="FI6" i="7"/>
  <c r="FJ6" i="7"/>
  <c r="FK6" i="7"/>
  <c r="FL6" i="7"/>
  <c r="FM6" i="7"/>
  <c r="FN6" i="7"/>
  <c r="FO6" i="7"/>
  <c r="FP6" i="7"/>
  <c r="FQ6" i="7"/>
  <c r="FR6" i="7"/>
  <c r="FS6" i="7"/>
  <c r="FT6" i="7"/>
  <c r="FU6" i="7"/>
  <c r="FV6" i="7"/>
  <c r="FW6" i="7"/>
  <c r="FX6" i="7"/>
  <c r="FY6" i="7"/>
  <c r="FZ6" i="7"/>
  <c r="GA6" i="7"/>
  <c r="GB6" i="7"/>
  <c r="GC6" i="7"/>
  <c r="GD6" i="7"/>
  <c r="GE6" i="7"/>
  <c r="GF6" i="7"/>
  <c r="GG6" i="7"/>
  <c r="GH6" i="7"/>
  <c r="GI6" i="7"/>
  <c r="GJ6" i="7"/>
  <c r="GK6" i="7"/>
  <c r="GL6" i="7"/>
  <c r="GM6" i="7"/>
  <c r="GN6" i="7"/>
  <c r="GO6" i="7"/>
  <c r="GP6" i="7"/>
  <c r="GQ6" i="7"/>
  <c r="GR6" i="7"/>
  <c r="GS6" i="7"/>
  <c r="GT6" i="7"/>
  <c r="GU6" i="7"/>
  <c r="GV6" i="7"/>
  <c r="GW6" i="7"/>
  <c r="GX6" i="7"/>
  <c r="GY6" i="7"/>
  <c r="GZ6" i="7"/>
  <c r="HA6" i="7"/>
  <c r="HB6" i="7"/>
  <c r="HC6" i="7"/>
  <c r="HD6" i="7"/>
  <c r="HE6" i="7"/>
  <c r="HF6" i="7"/>
  <c r="HG6" i="7"/>
  <c r="HH6" i="7"/>
  <c r="HI6" i="7"/>
  <c r="HJ6" i="7"/>
  <c r="HK6" i="7"/>
  <c r="HL6" i="7"/>
  <c r="HM6" i="7"/>
  <c r="HN6" i="7"/>
  <c r="HO6" i="7"/>
  <c r="HP6" i="7"/>
  <c r="HQ6" i="7"/>
  <c r="HR6" i="7"/>
  <c r="HS6" i="7"/>
  <c r="HT6" i="7"/>
  <c r="HU6" i="7"/>
  <c r="HV6" i="7"/>
  <c r="HW6" i="7"/>
  <c r="HX6" i="7"/>
  <c r="HY6" i="7"/>
  <c r="HZ6" i="7"/>
  <c r="IA6" i="7"/>
  <c r="IB6" i="7"/>
  <c r="IC6" i="7"/>
  <c r="ID6" i="7"/>
  <c r="IE6" i="7"/>
  <c r="IF6" i="7"/>
  <c r="IG6" i="7"/>
  <c r="IH6" i="7"/>
  <c r="II6" i="7"/>
  <c r="IJ6" i="7"/>
  <c r="IK6" i="7"/>
  <c r="IL6" i="7"/>
  <c r="IM6" i="7"/>
  <c r="IN6" i="7"/>
  <c r="IO6" i="7"/>
  <c r="IP6" i="7"/>
  <c r="IQ6" i="7"/>
  <c r="IR6" i="7"/>
  <c r="IS6" i="7"/>
  <c r="IT6" i="7"/>
  <c r="IU6" i="7"/>
  <c r="IV6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EA5" i="7"/>
  <c r="EB5" i="7"/>
  <c r="EC5" i="7"/>
  <c r="ED5" i="7"/>
  <c r="EE5" i="7"/>
  <c r="EF5" i="7"/>
  <c r="EG5" i="7"/>
  <c r="EH5" i="7"/>
  <c r="EI5" i="7"/>
  <c r="EJ5" i="7"/>
  <c r="EK5" i="7"/>
  <c r="EL5" i="7"/>
  <c r="EM5" i="7"/>
  <c r="EN5" i="7"/>
  <c r="EO5" i="7"/>
  <c r="EP5" i="7"/>
  <c r="EQ5" i="7"/>
  <c r="ER5" i="7"/>
  <c r="ES5" i="7"/>
  <c r="ET5" i="7"/>
  <c r="EU5" i="7"/>
  <c r="EV5" i="7"/>
  <c r="EW5" i="7"/>
  <c r="EX5" i="7"/>
  <c r="EY5" i="7"/>
  <c r="EZ5" i="7"/>
  <c r="FA5" i="7"/>
  <c r="FB5" i="7"/>
  <c r="FC5" i="7"/>
  <c r="FD5" i="7"/>
  <c r="FE5" i="7"/>
  <c r="FF5" i="7"/>
  <c r="FG5" i="7"/>
  <c r="FH5" i="7"/>
  <c r="FI5" i="7"/>
  <c r="FJ5" i="7"/>
  <c r="FK5" i="7"/>
  <c r="FL5" i="7"/>
  <c r="FM5" i="7"/>
  <c r="FN5" i="7"/>
  <c r="FO5" i="7"/>
  <c r="FP5" i="7"/>
  <c r="FQ5" i="7"/>
  <c r="FR5" i="7"/>
  <c r="FS5" i="7"/>
  <c r="FT5" i="7"/>
  <c r="FU5" i="7"/>
  <c r="FV5" i="7"/>
  <c r="FW5" i="7"/>
  <c r="FX5" i="7"/>
  <c r="FY5" i="7"/>
  <c r="FZ5" i="7"/>
  <c r="GA5" i="7"/>
  <c r="GB5" i="7"/>
  <c r="GC5" i="7"/>
  <c r="GD5" i="7"/>
  <c r="GE5" i="7"/>
  <c r="GF5" i="7"/>
  <c r="GG5" i="7"/>
  <c r="GH5" i="7"/>
  <c r="GI5" i="7"/>
  <c r="GJ5" i="7"/>
  <c r="GK5" i="7"/>
  <c r="GL5" i="7"/>
  <c r="GM5" i="7"/>
  <c r="GN5" i="7"/>
  <c r="GO5" i="7"/>
  <c r="GP5" i="7"/>
  <c r="GQ5" i="7"/>
  <c r="GR5" i="7"/>
  <c r="GS5" i="7"/>
  <c r="GT5" i="7"/>
  <c r="GU5" i="7"/>
  <c r="GV5" i="7"/>
  <c r="GW5" i="7"/>
  <c r="GX5" i="7"/>
  <c r="GY5" i="7"/>
  <c r="GZ5" i="7"/>
  <c r="HA5" i="7"/>
  <c r="HB5" i="7"/>
  <c r="HC5" i="7"/>
  <c r="HD5" i="7"/>
  <c r="HE5" i="7"/>
  <c r="HF5" i="7"/>
  <c r="HG5" i="7"/>
  <c r="HH5" i="7"/>
  <c r="HI5" i="7"/>
  <c r="HJ5" i="7"/>
  <c r="HK5" i="7"/>
  <c r="HL5" i="7"/>
  <c r="HM5" i="7"/>
  <c r="HN5" i="7"/>
  <c r="HO5" i="7"/>
  <c r="HP5" i="7"/>
  <c r="HQ5" i="7"/>
  <c r="HR5" i="7"/>
  <c r="HS5" i="7"/>
  <c r="HT5" i="7"/>
  <c r="HU5" i="7"/>
  <c r="HV5" i="7"/>
  <c r="HW5" i="7"/>
  <c r="HX5" i="7"/>
  <c r="HY5" i="7"/>
  <c r="HZ5" i="7"/>
  <c r="IA5" i="7"/>
  <c r="IB5" i="7"/>
  <c r="IC5" i="7"/>
  <c r="ID5" i="7"/>
  <c r="IE5" i="7"/>
  <c r="IF5" i="7"/>
  <c r="IG5" i="7"/>
  <c r="IH5" i="7"/>
  <c r="II5" i="7"/>
  <c r="IJ5" i="7"/>
  <c r="IK5" i="7"/>
  <c r="IL5" i="7"/>
  <c r="IM5" i="7"/>
  <c r="IN5" i="7"/>
  <c r="IO5" i="7"/>
  <c r="IP5" i="7"/>
  <c r="IQ5" i="7"/>
  <c r="IR5" i="7"/>
  <c r="IS5" i="7"/>
  <c r="IT5" i="7"/>
  <c r="IU5" i="7"/>
  <c r="IV5" i="7"/>
  <c r="A4" i="7"/>
  <c r="B4" i="7"/>
  <c r="C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J4" i="7"/>
  <c r="EK4" i="7"/>
  <c r="EL4" i="7"/>
  <c r="EM4" i="7"/>
  <c r="EN4" i="7"/>
  <c r="EO4" i="7"/>
  <c r="EP4" i="7"/>
  <c r="EQ4" i="7"/>
  <c r="ER4" i="7"/>
  <c r="ES4" i="7"/>
  <c r="ET4" i="7"/>
  <c r="EU4" i="7"/>
  <c r="EV4" i="7"/>
  <c r="EW4" i="7"/>
  <c r="EX4" i="7"/>
  <c r="EY4" i="7"/>
  <c r="EZ4" i="7"/>
  <c r="FA4" i="7"/>
  <c r="FB4" i="7"/>
  <c r="FC4" i="7"/>
  <c r="FD4" i="7"/>
  <c r="FE4" i="7"/>
  <c r="FF4" i="7"/>
  <c r="FG4" i="7"/>
  <c r="FH4" i="7"/>
  <c r="FI4" i="7"/>
  <c r="FJ4" i="7"/>
  <c r="FK4" i="7"/>
  <c r="FL4" i="7"/>
  <c r="FM4" i="7"/>
  <c r="FN4" i="7"/>
  <c r="FO4" i="7"/>
  <c r="FP4" i="7"/>
  <c r="FQ4" i="7"/>
  <c r="FR4" i="7"/>
  <c r="FS4" i="7"/>
  <c r="FT4" i="7"/>
  <c r="FU4" i="7"/>
  <c r="FV4" i="7"/>
  <c r="FW4" i="7"/>
  <c r="FX4" i="7"/>
  <c r="FY4" i="7"/>
  <c r="FZ4" i="7"/>
  <c r="GA4" i="7"/>
  <c r="GB4" i="7"/>
  <c r="GC4" i="7"/>
  <c r="GD4" i="7"/>
  <c r="GE4" i="7"/>
  <c r="GF4" i="7"/>
  <c r="GG4" i="7"/>
  <c r="GH4" i="7"/>
  <c r="GI4" i="7"/>
  <c r="GJ4" i="7"/>
  <c r="GK4" i="7"/>
  <c r="GL4" i="7"/>
  <c r="GM4" i="7"/>
  <c r="GN4" i="7"/>
  <c r="GO4" i="7"/>
  <c r="GP4" i="7"/>
  <c r="GQ4" i="7"/>
  <c r="GR4" i="7"/>
  <c r="GS4" i="7"/>
  <c r="GT4" i="7"/>
  <c r="GU4" i="7"/>
  <c r="GV4" i="7"/>
  <c r="GW4" i="7"/>
  <c r="GX4" i="7"/>
  <c r="GY4" i="7"/>
  <c r="GZ4" i="7"/>
  <c r="HA4" i="7"/>
  <c r="HB4" i="7"/>
  <c r="HC4" i="7"/>
  <c r="HD4" i="7"/>
  <c r="HE4" i="7"/>
  <c r="HF4" i="7"/>
  <c r="HG4" i="7"/>
  <c r="HH4" i="7"/>
  <c r="HI4" i="7"/>
  <c r="HJ4" i="7"/>
  <c r="HK4" i="7"/>
  <c r="HL4" i="7"/>
  <c r="HM4" i="7"/>
  <c r="HN4" i="7"/>
  <c r="HO4" i="7"/>
  <c r="HP4" i="7"/>
  <c r="HQ4" i="7"/>
  <c r="HR4" i="7"/>
  <c r="HS4" i="7"/>
  <c r="HT4" i="7"/>
  <c r="HU4" i="7"/>
  <c r="HV4" i="7"/>
  <c r="HW4" i="7"/>
  <c r="HX4" i="7"/>
  <c r="HY4" i="7"/>
  <c r="HZ4" i="7"/>
  <c r="IA4" i="7"/>
  <c r="IB4" i="7"/>
  <c r="IC4" i="7"/>
  <c r="ID4" i="7"/>
  <c r="IE4" i="7"/>
  <c r="IF4" i="7"/>
  <c r="IG4" i="7"/>
  <c r="IH4" i="7"/>
  <c r="II4" i="7"/>
  <c r="IJ4" i="7"/>
  <c r="IK4" i="7"/>
  <c r="IL4" i="7"/>
  <c r="IM4" i="7"/>
  <c r="IN4" i="7"/>
  <c r="IO4" i="7"/>
  <c r="IP4" i="7"/>
  <c r="IQ4" i="7"/>
  <c r="IR4" i="7"/>
  <c r="IS4" i="7"/>
  <c r="IT4" i="7"/>
  <c r="IU4" i="7"/>
  <c r="IV4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EY3" i="7"/>
  <c r="EZ3" i="7"/>
  <c r="FA3" i="7"/>
  <c r="FB3" i="7"/>
  <c r="FC3" i="7"/>
  <c r="FD3" i="7"/>
  <c r="FE3" i="7"/>
  <c r="FF3" i="7"/>
  <c r="FG3" i="7"/>
  <c r="FH3" i="7"/>
  <c r="FI3" i="7"/>
  <c r="FJ3" i="7"/>
  <c r="FK3" i="7"/>
  <c r="FL3" i="7"/>
  <c r="FM3" i="7"/>
  <c r="FN3" i="7"/>
  <c r="FO3" i="7"/>
  <c r="FP3" i="7"/>
  <c r="FQ3" i="7"/>
  <c r="FR3" i="7"/>
  <c r="FS3" i="7"/>
  <c r="FT3" i="7"/>
  <c r="FU3" i="7"/>
  <c r="FV3" i="7"/>
  <c r="FW3" i="7"/>
  <c r="FX3" i="7"/>
  <c r="FY3" i="7"/>
  <c r="FZ3" i="7"/>
  <c r="GA3" i="7"/>
  <c r="GB3" i="7"/>
  <c r="GC3" i="7"/>
  <c r="GD3" i="7"/>
  <c r="GE3" i="7"/>
  <c r="GF3" i="7"/>
  <c r="GG3" i="7"/>
  <c r="GH3" i="7"/>
  <c r="GI3" i="7"/>
  <c r="GJ3" i="7"/>
  <c r="GK3" i="7"/>
  <c r="GL3" i="7"/>
  <c r="GM3" i="7"/>
  <c r="GN3" i="7"/>
  <c r="GO3" i="7"/>
  <c r="GP3" i="7"/>
  <c r="GQ3" i="7"/>
  <c r="GR3" i="7"/>
  <c r="GS3" i="7"/>
  <c r="GT3" i="7"/>
  <c r="GU3" i="7"/>
  <c r="GV3" i="7"/>
  <c r="GW3" i="7"/>
  <c r="GX3" i="7"/>
  <c r="GY3" i="7"/>
  <c r="GZ3" i="7"/>
  <c r="HA3" i="7"/>
  <c r="HB3" i="7"/>
  <c r="HC3" i="7"/>
  <c r="HD3" i="7"/>
  <c r="HE3" i="7"/>
  <c r="HF3" i="7"/>
  <c r="HG3" i="7"/>
  <c r="HH3" i="7"/>
  <c r="HI3" i="7"/>
  <c r="HJ3" i="7"/>
  <c r="HK3" i="7"/>
  <c r="HL3" i="7"/>
  <c r="HM3" i="7"/>
  <c r="HN3" i="7"/>
  <c r="HO3" i="7"/>
  <c r="HP3" i="7"/>
  <c r="HQ3" i="7"/>
  <c r="HR3" i="7"/>
  <c r="HS3" i="7"/>
  <c r="HT3" i="7"/>
  <c r="HU3" i="7"/>
  <c r="HV3" i="7"/>
  <c r="HW3" i="7"/>
  <c r="HX3" i="7"/>
  <c r="HY3" i="7"/>
  <c r="HZ3" i="7"/>
  <c r="IA3" i="7"/>
  <c r="IB3" i="7"/>
  <c r="IC3" i="7"/>
  <c r="ID3" i="7"/>
  <c r="IE3" i="7"/>
  <c r="IF3" i="7"/>
  <c r="IG3" i="7"/>
  <c r="IH3" i="7"/>
  <c r="II3" i="7"/>
  <c r="IJ3" i="7"/>
  <c r="IK3" i="7"/>
  <c r="IL3" i="7"/>
  <c r="IM3" i="7"/>
  <c r="IN3" i="7"/>
  <c r="IO3" i="7"/>
  <c r="IP3" i="7"/>
  <c r="IQ3" i="7"/>
  <c r="IR3" i="7"/>
  <c r="IS3" i="7"/>
  <c r="IT3" i="7"/>
  <c r="IU3" i="7"/>
  <c r="IV3" i="7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K2" i="7"/>
  <c r="EL2" i="7"/>
  <c r="EM2" i="7"/>
  <c r="EN2" i="7"/>
  <c r="EO2" i="7"/>
  <c r="EP2" i="7"/>
  <c r="EQ2" i="7"/>
  <c r="ER2" i="7"/>
  <c r="ES2" i="7"/>
  <c r="ET2" i="7"/>
  <c r="EU2" i="7"/>
  <c r="EV2" i="7"/>
  <c r="EW2" i="7"/>
  <c r="EX2" i="7"/>
  <c r="EY2" i="7"/>
  <c r="EZ2" i="7"/>
  <c r="FA2" i="7"/>
  <c r="FB2" i="7"/>
  <c r="FC2" i="7"/>
  <c r="FD2" i="7"/>
  <c r="FE2" i="7"/>
  <c r="FF2" i="7"/>
  <c r="FG2" i="7"/>
  <c r="FH2" i="7"/>
  <c r="FI2" i="7"/>
  <c r="FJ2" i="7"/>
  <c r="FK2" i="7"/>
  <c r="FL2" i="7"/>
  <c r="FM2" i="7"/>
  <c r="FN2" i="7"/>
  <c r="FO2" i="7"/>
  <c r="FP2" i="7"/>
  <c r="FQ2" i="7"/>
  <c r="FR2" i="7"/>
  <c r="FS2" i="7"/>
  <c r="FT2" i="7"/>
  <c r="FU2" i="7"/>
  <c r="FV2" i="7"/>
  <c r="FW2" i="7"/>
  <c r="FX2" i="7"/>
  <c r="FY2" i="7"/>
  <c r="FZ2" i="7"/>
  <c r="GA2" i="7"/>
  <c r="GB2" i="7"/>
  <c r="GC2" i="7"/>
  <c r="GD2" i="7"/>
  <c r="GE2" i="7"/>
  <c r="GF2" i="7"/>
  <c r="GG2" i="7"/>
  <c r="GH2" i="7"/>
  <c r="GI2" i="7"/>
  <c r="GJ2" i="7"/>
  <c r="GK2" i="7"/>
  <c r="GL2" i="7"/>
  <c r="GM2" i="7"/>
  <c r="GN2" i="7"/>
  <c r="GO2" i="7"/>
  <c r="GP2" i="7"/>
  <c r="GQ2" i="7"/>
  <c r="GR2" i="7"/>
  <c r="GS2" i="7"/>
  <c r="GT2" i="7"/>
  <c r="GU2" i="7"/>
  <c r="GV2" i="7"/>
  <c r="GW2" i="7"/>
  <c r="GX2" i="7"/>
  <c r="GY2" i="7"/>
  <c r="GZ2" i="7"/>
  <c r="HA2" i="7"/>
  <c r="HB2" i="7"/>
  <c r="HC2" i="7"/>
  <c r="HD2" i="7"/>
  <c r="HE2" i="7"/>
  <c r="HF2" i="7"/>
  <c r="HG2" i="7"/>
  <c r="HH2" i="7"/>
  <c r="HI2" i="7"/>
  <c r="HJ2" i="7"/>
  <c r="HK2" i="7"/>
  <c r="HL2" i="7"/>
  <c r="HM2" i="7"/>
  <c r="HN2" i="7"/>
  <c r="HO2" i="7"/>
  <c r="HP2" i="7"/>
  <c r="HQ2" i="7"/>
  <c r="HR2" i="7"/>
  <c r="HS2" i="7"/>
  <c r="HT2" i="7"/>
  <c r="HU2" i="7"/>
  <c r="HV2" i="7"/>
  <c r="HW2" i="7"/>
  <c r="HX2" i="7"/>
  <c r="HY2" i="7"/>
  <c r="HZ2" i="7"/>
  <c r="IA2" i="7"/>
  <c r="IB2" i="7"/>
  <c r="IC2" i="7"/>
  <c r="ID2" i="7"/>
  <c r="IE2" i="7"/>
  <c r="IF2" i="7"/>
  <c r="IG2" i="7"/>
  <c r="IH2" i="7"/>
  <c r="II2" i="7"/>
  <c r="IJ2" i="7"/>
  <c r="IK2" i="7"/>
  <c r="IL2" i="7"/>
  <c r="IM2" i="7"/>
  <c r="IN2" i="7"/>
  <c r="IO2" i="7"/>
  <c r="IP2" i="7"/>
  <c r="IQ2" i="7"/>
  <c r="IR2" i="7"/>
  <c r="IS2" i="7"/>
  <c r="IT2" i="7"/>
  <c r="IU2" i="7"/>
  <c r="IV2" i="7"/>
  <c r="A1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DA1" i="7"/>
  <c r="DB1" i="7"/>
  <c r="DC1" i="7"/>
  <c r="DD1" i="7"/>
  <c r="DE1" i="7"/>
  <c r="DF1" i="7"/>
  <c r="DG1" i="7"/>
  <c r="DH1" i="7"/>
  <c r="DI1" i="7"/>
  <c r="DJ1" i="7"/>
  <c r="DK1" i="7"/>
  <c r="DL1" i="7"/>
  <c r="DM1" i="7"/>
  <c r="DN1" i="7"/>
  <c r="DO1" i="7"/>
  <c r="DP1" i="7"/>
  <c r="DQ1" i="7"/>
  <c r="DR1" i="7"/>
  <c r="DS1" i="7"/>
  <c r="DT1" i="7"/>
  <c r="DU1" i="7"/>
  <c r="DV1" i="7"/>
  <c r="DW1" i="7"/>
  <c r="DX1" i="7"/>
  <c r="DY1" i="7"/>
  <c r="DZ1" i="7"/>
  <c r="EA1" i="7"/>
  <c r="EB1" i="7"/>
  <c r="EC1" i="7"/>
  <c r="ED1" i="7"/>
  <c r="EE1" i="7"/>
  <c r="EF1" i="7"/>
  <c r="EG1" i="7"/>
  <c r="EH1" i="7"/>
  <c r="EI1" i="7"/>
  <c r="EJ1" i="7"/>
  <c r="EK1" i="7"/>
  <c r="EL1" i="7"/>
  <c r="EM1" i="7"/>
  <c r="EN1" i="7"/>
  <c r="EO1" i="7"/>
  <c r="EP1" i="7"/>
  <c r="EQ1" i="7"/>
  <c r="ER1" i="7"/>
  <c r="ES1" i="7"/>
  <c r="ET1" i="7"/>
  <c r="EU1" i="7"/>
  <c r="EV1" i="7"/>
  <c r="EW1" i="7"/>
  <c r="EX1" i="7"/>
  <c r="EY1" i="7"/>
  <c r="EZ1" i="7"/>
  <c r="FA1" i="7"/>
  <c r="FB1" i="7"/>
  <c r="FC1" i="7"/>
  <c r="FD1" i="7"/>
  <c r="FE1" i="7"/>
  <c r="FF1" i="7"/>
  <c r="FG1" i="7"/>
  <c r="FH1" i="7"/>
  <c r="FI1" i="7"/>
  <c r="FJ1" i="7"/>
  <c r="FK1" i="7"/>
  <c r="FL1" i="7"/>
  <c r="FM1" i="7"/>
  <c r="FN1" i="7"/>
  <c r="FO1" i="7"/>
  <c r="FP1" i="7"/>
  <c r="FQ1" i="7"/>
  <c r="FR1" i="7"/>
  <c r="FS1" i="7"/>
  <c r="FT1" i="7"/>
  <c r="FU1" i="7"/>
  <c r="FV1" i="7"/>
  <c r="FW1" i="7"/>
  <c r="FX1" i="7"/>
  <c r="FY1" i="7"/>
  <c r="FZ1" i="7"/>
  <c r="GA1" i="7"/>
  <c r="GB1" i="7"/>
  <c r="GC1" i="7"/>
  <c r="GD1" i="7"/>
  <c r="GE1" i="7"/>
  <c r="GF1" i="7"/>
  <c r="GG1" i="7"/>
  <c r="GH1" i="7"/>
  <c r="GI1" i="7"/>
  <c r="GJ1" i="7"/>
  <c r="GK1" i="7"/>
  <c r="GL1" i="7"/>
  <c r="GM1" i="7"/>
  <c r="GN1" i="7"/>
  <c r="GO1" i="7"/>
  <c r="GP1" i="7"/>
  <c r="GQ1" i="7"/>
  <c r="GR1" i="7"/>
  <c r="GS1" i="7"/>
  <c r="GT1" i="7"/>
  <c r="GU1" i="7"/>
  <c r="GV1" i="7"/>
  <c r="GW1" i="7"/>
  <c r="GX1" i="7"/>
  <c r="GY1" i="7"/>
  <c r="GZ1" i="7"/>
  <c r="HA1" i="7"/>
  <c r="HB1" i="7"/>
  <c r="HC1" i="7"/>
  <c r="HD1" i="7"/>
  <c r="HE1" i="7"/>
  <c r="HF1" i="7"/>
  <c r="HG1" i="7"/>
  <c r="HH1" i="7"/>
  <c r="HI1" i="7"/>
  <c r="HJ1" i="7"/>
  <c r="HK1" i="7"/>
  <c r="HL1" i="7"/>
  <c r="HM1" i="7"/>
  <c r="HN1" i="7"/>
  <c r="HO1" i="7"/>
  <c r="HP1" i="7"/>
  <c r="HQ1" i="7"/>
  <c r="HR1" i="7"/>
  <c r="HS1" i="7"/>
  <c r="HT1" i="7"/>
  <c r="HU1" i="7"/>
  <c r="HV1" i="7"/>
  <c r="HW1" i="7"/>
  <c r="HX1" i="7"/>
  <c r="HY1" i="7"/>
  <c r="HZ1" i="7"/>
  <c r="IA1" i="7"/>
  <c r="IB1" i="7"/>
  <c r="IC1" i="7"/>
  <c r="ID1" i="7"/>
  <c r="IE1" i="7"/>
  <c r="IF1" i="7"/>
  <c r="IG1" i="7"/>
  <c r="IH1" i="7"/>
  <c r="II1" i="7"/>
  <c r="IJ1" i="7"/>
  <c r="IK1" i="7"/>
  <c r="IL1" i="7"/>
  <c r="IM1" i="7"/>
  <c r="IN1" i="7"/>
  <c r="IO1" i="7"/>
  <c r="IP1" i="7"/>
  <c r="IQ1" i="7"/>
  <c r="IR1" i="7"/>
  <c r="IS1" i="7"/>
  <c r="IT1" i="7"/>
  <c r="IU1" i="7"/>
  <c r="IV1" i="7"/>
  <c r="EA7" i="7"/>
  <c r="C11" i="7"/>
</calcChain>
</file>

<file path=xl/comments1.xml><?xml version="1.0" encoding="utf-8"?>
<comments xmlns="http://schemas.openxmlformats.org/spreadsheetml/2006/main">
  <authors>
    <author/>
  </authors>
  <commentList>
    <comment ref="E10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<sst xmlns="http://schemas.openxmlformats.org/spreadsheetml/2006/main" count="127" uniqueCount="117">
  <si>
    <t>Short Desc</t>
  </si>
  <si>
    <t>S1</t>
  </si>
  <si>
    <t>Soft Skill</t>
  </si>
  <si>
    <t>S2</t>
  </si>
  <si>
    <t>Teamwork</t>
  </si>
  <si>
    <t>Thông qua Career Workshop và phản hồi của giảng viên hàng ngày</t>
  </si>
  <si>
    <t>S3</t>
  </si>
  <si>
    <t>English</t>
  </si>
  <si>
    <t>K1</t>
  </si>
  <si>
    <t>Knowledge</t>
  </si>
  <si>
    <t>K2</t>
  </si>
  <si>
    <t>Hard Skill</t>
  </si>
  <si>
    <t>Notes</t>
  </si>
  <si>
    <t>AAAAAH9y/ys=</t>
  </si>
  <si>
    <t>AAAAAH9y/yw=</t>
  </si>
  <si>
    <t>AAAAAH9y/y0=</t>
  </si>
  <si>
    <t>Mapping Output Standards for &lt;SD&gt; and Training Modules</t>
  </si>
  <si>
    <t>Communication</t>
  </si>
  <si>
    <t>- Biết cách trình bày, viết báo cáo
- Biết cách giao tiếp công việc với người cùng nhóm
- Biết cách viết mail giao tiếp trong công việc, có đầu có cuối</t>
  </si>
  <si>
    <t>Thực hành qua hoạt động hàng ngày, có phản hồi và chấn chỉnh tức thời của giảng viên.</t>
  </si>
  <si>
    <t>Kỹ năng và tinh thần comment lẫn nhau, cách đưa ý kiến, phản biện mang tính tích cực, không chỉ trích cá nhân, có tinh thần tiếp thu y kiến; Giao tiếp nhã nhặn</t>
  </si>
  <si>
    <t>Interview</t>
  </si>
  <si>
    <t>- Biết cách trình bày CV
- Nắm được các kinh nghiệm chuẩn bị và tham gia phỏng vấn
- Nghiêm túc trong lúc phỏng vấn
- Biết trả lời đúng những gì mình được học hoặc đã biết, trả lời đúng trọng tâm</t>
  </si>
  <si>
    <t>Cho học viên trình bày trong các buổi Presentation cũng như phỏng vấn thử với các giảng viên, huấn luyện viên, được chấn chỉnh tức thời</t>
  </si>
  <si>
    <t>Original source: Output Standards document (version &lt;130422 (updated2)&gt;)</t>
  </si>
  <si>
    <t>Document Name</t>
  </si>
  <si>
    <t>Creator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</si>
  <si>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</si>
  <si>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</si>
  <si>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</si>
  <si>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</si>
  <si>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</si>
  <si>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</si>
  <si>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</si>
  <si>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</si>
  <si>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</si>
  <si>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ALL - First Created</t>
  </si>
  <si>
    <t>A</t>
  </si>
  <si>
    <t>Mã</t>
  </si>
  <si>
    <t>Nhóm</t>
  </si>
  <si>
    <t>Diễn giải</t>
  </si>
  <si>
    <t>Định hướng  đào tạo</t>
  </si>
  <si>
    <t>Master Schedule by Training Levels</t>
  </si>
  <si>
    <t>FFSE fulltime Curriculum</t>
  </si>
  <si>
    <t>Baolq</t>
  </si>
  <si>
    <t>1.0</t>
  </si>
  <si>
    <t>LP0</t>
  </si>
  <si>
    <t>LP1</t>
  </si>
  <si>
    <t>LP2</t>
  </si>
  <si>
    <t>LP3</t>
  </si>
  <si>
    <t>LP4</t>
  </si>
  <si>
    <t>LP6</t>
  </si>
  <si>
    <t>Web-programming: HTML, javascript, css</t>
  </si>
  <si>
    <t>Web-programming: PHP, MySQL, javascript</t>
  </si>
  <si>
    <t>LPE-1a</t>
  </si>
  <si>
    <t>English Camp</t>
  </si>
  <si>
    <t>LPE-1b</t>
  </si>
  <si>
    <t>IT terminology &amp; documentation</t>
  </si>
  <si>
    <t>FAST TRACK SE: PHÁT TRIỂN CHƯƠNG TRÌNH</t>
  </si>
  <si>
    <t>Phần 1: Technology</t>
  </si>
  <si>
    <t>Code</t>
  </si>
  <si>
    <t>Name</t>
  </si>
  <si>
    <t>Weeks</t>
  </si>
  <si>
    <t>Lectures</t>
  </si>
  <si>
    <t>Practices</t>
  </si>
  <si>
    <t>Sum</t>
  </si>
  <si>
    <t>Timing</t>
  </si>
  <si>
    <t>Semester 1</t>
  </si>
  <si>
    <t>Living in a digital world</t>
  </si>
  <si>
    <t>w1-2</t>
  </si>
  <si>
    <t>CSI &amp; computer programing basics</t>
  </si>
  <si>
    <t>w3-5</t>
  </si>
  <si>
    <t>w6-9</t>
  </si>
  <si>
    <t>w10-15</t>
  </si>
  <si>
    <t>w1</t>
  </si>
  <si>
    <t>w2-13</t>
  </si>
  <si>
    <t>End of Semester 1</t>
  </si>
  <si>
    <t>w16</t>
  </si>
  <si>
    <t>Semester 2</t>
  </si>
  <si>
    <t>OOP with Java</t>
  </si>
  <si>
    <t>Java Programming (Advanced)</t>
  </si>
  <si>
    <t>LPE-2</t>
  </si>
  <si>
    <t>Requirements Understanding</t>
  </si>
  <si>
    <t>SE &amp; SDLC (summary)</t>
  </si>
  <si>
    <t>w15</t>
  </si>
  <si>
    <t>End of Semester 2</t>
  </si>
  <si>
    <t>Semester 3</t>
  </si>
  <si>
    <t>LP7</t>
  </si>
  <si>
    <t>OJT - Preparation</t>
  </si>
  <si>
    <t>w1,5,9, 13</t>
  </si>
  <si>
    <t>OJT</t>
  </si>
  <si>
    <t>LP8</t>
  </si>
  <si>
    <t>Industry trendy (*)</t>
  </si>
  <si>
    <t>LPE-3</t>
  </si>
  <si>
    <t>Software Project communication</t>
  </si>
  <si>
    <t>w2-16</t>
  </si>
  <si>
    <t>Hiểu biết về máy tính</t>
  </si>
  <si>
    <t>Hiểu biết về lập trình</t>
  </si>
  <si>
    <t>Lập trình web PHP</t>
  </si>
  <si>
    <t>Lập trình web CSS, HTML, Javascripts</t>
  </si>
  <si>
    <t>Lập trình Java</t>
  </si>
  <si>
    <t>Đánh giá học tập</t>
  </si>
  <si>
    <t xml:space="preserve">Giúp học viên biết được cụ thể
1/ Cấu tạo của máy tính, hoạt động của hệ thống phần cứng, phần mềm, mạng internet, dữ liệu
2/ Tài nguyên của FFSE và các tài nguyên phục vụ học tập
3/ </t>
  </si>
  <si>
    <t>Giúp học viên biết được cụ thể
1/ Cách tuy duy lập trình, vẽ sơ đồ khối
2/ Các thuật toán, câu lệnh, cú pháp cơ bản dùng trong lập trình
3/ Biết lập trình cơ bản trên scratch
4/ Làm quen với PHP</t>
  </si>
  <si>
    <t>Giảng dạy lý thuyết &amp; thực hành tháo lắp máy tính, tìm hiểu tài nguyên</t>
  </si>
  <si>
    <t>S4</t>
  </si>
  <si>
    <t>H1</t>
  </si>
  <si>
    <t>H2</t>
  </si>
  <si>
    <t>H3</t>
  </si>
  <si>
    <t>- Biết cách tự học, tra cứu, phân tích vấn đề
- Có thể giao tiếp trong các tình huống cơ bản
- Nắm được 500-1000 thuật ngữ chuyên ngành
- Đọc hiểu tài liệu yêu cầu cơ bản</t>
  </si>
  <si>
    <t>LP5</t>
  </si>
  <si>
    <t>Giúp sinh viên biết lập trình web cụ thể
1/ Hiểu cấu trúc của 1 trang web và ứng dụng web
2/ Lập trình cơ bản và nâng cao trên html
3/ Lập trình cơ bản bằng javascripts</t>
  </si>
  <si>
    <t>Giúp sinh viên biết lập trình web bằng ngôn ngữ PHP cụ thể
1/ Cấu trúc câu lệnh PHP
2/ Căn bản về MySQL
3/ Sử dụng Codeigniter trong PHP</t>
  </si>
  <si>
    <t>Giảng dạy lý thuyết &amp; thực hành lập trình trên scratch và PHP
Thực hiện những project đơn giản</t>
  </si>
  <si>
    <t>Giảng dạy lý thuyết &amp; demo thực tế
Thực hành bằng assignment và làm project</t>
  </si>
  <si>
    <t>quy đổi sang tín chỉ</t>
  </si>
  <si>
    <t>Cao đẳng tối thiểu 60 tín chỉ (12 tín chỉ bắt buộc)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</si>
</sst>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5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_(* #,##0.0_);_(* \(#,##0.0\);_(* &quot;-&quot;??_);_(@_)"/>
    <numFmt numFmtId="168" formatCode="&quot;¥&quot;#,##0.00_)\ \ \ ;\(&quot;¥&quot;#,##0.00\)\ \ \ "/>
    <numFmt numFmtId="169" formatCode="&quot;¥&quot;#,##0.00&quot;*&quot;\ \ ;\(&quot;¥&quot;#,##0.00\)&quot;*&quot;\ \ "/>
    <numFmt numFmtId="170" formatCode="&quot;¥&quot;#,##0.00\A_)\ ;\(&quot;¥&quot;#,##0.00\A\)\ \ "/>
    <numFmt numFmtId="171" formatCode="&quot;¥&quot;@\ "/>
    <numFmt numFmtId="172" formatCode="00.000"/>
    <numFmt numFmtId="173" formatCode="&quot;?&quot;#,##0;&quot;?&quot;\-#,##0"/>
    <numFmt numFmtId="174" formatCode="_-* #,##0\ _F_-;\-* #,##0\ _F_-;_-* &quot;-&quot;\ _F_-;_-@_-"/>
    <numFmt numFmtId="175" formatCode="_ &quot;\&quot;* #,##0_ ;_ &quot;\&quot;* \-#,##0_ ;_ &quot;\&quot;* &quot;-&quot;_ ;_ @_ 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_ &quot;\&quot;* #,##0.00_ ;_ &quot;\&quot;* \-#,##0.00_ ;_ &quot;\&quot;* &quot;-&quot;??_ ;_ @_ "/>
    <numFmt numFmtId="179" formatCode="_ * #,##0_ ;_ * \-#,##0_ ;_ * &quot;-&quot;_ ;_ @_ "/>
    <numFmt numFmtId="180" formatCode="_ * #,##0.00_ ;_ * \-#,##0.00_ ;_ * &quot;-&quot;??_ ;_ @_ "/>
    <numFmt numFmtId="181" formatCode="0.000000%"/>
    <numFmt numFmtId="182" formatCode="_(* #,##0_);_(* \(#,##0\);_(* &quot;-&quot;??_);_(@_)"/>
    <numFmt numFmtId="183" formatCode="_(* #,##0.00_);_(* \(#,##0.00\);_(* \-??_);_(@_)"/>
    <numFmt numFmtId="184" formatCode="_(* #,##0_);_(* \(#,##0\);_(* \-??_);_(@_)"/>
    <numFmt numFmtId="185" formatCode="&quot;C&quot;#,##0.00_);\(&quot;C&quot;#,##0.00\)"/>
    <numFmt numFmtId="186" formatCode="\$#,##0\ ;\(\$#,##0\)"/>
    <numFmt numFmtId="187" formatCode="&quot;C&quot;#,##0_);\(&quot;C&quot;#,##0\)"/>
    <numFmt numFmtId="188" formatCode="@\ \ \ \ \ "/>
    <numFmt numFmtId="189" formatCode="&quot;C&quot;#,##0_);[Red]\(&quot;C&quot;#,##0\)"/>
    <numFmt numFmtId="190" formatCode="_-* #,##0\ _₫_-;\-* #,##0\ _₫_-;_-* &quot;-&quot;\ _₫_-;_-@_-"/>
    <numFmt numFmtId="191" formatCode="_-* #,##0.00\ _₫_-;\-* #,##0.00\ _₫_-;_-* &quot;-&quot;??\ _₫_-;_-@_-"/>
    <numFmt numFmtId="192" formatCode="#,##0.00_)\ \ \ \ \ ;\(#,##0.00\)\ \ \ \ \ "/>
    <numFmt numFmtId="193" formatCode="&quot;¥&quot;#,##0.00_)\ \ \ \ \ ;\(&quot;¥&quot;#,##0.00\)\ \ \ \ \ "/>
    <numFmt numFmtId="194" formatCode="&quot;¥&quot;#,##0.00\A\ \ \ \ ;\(&quot;¥&quot;#,##0.00\A\)\ \ \ \ "/>
    <numFmt numFmtId="195" formatCode="&quot;¥&quot;#,##0.00&quot;E&quot;\ \ \ \ ;\(&quot;¥&quot;#,##0.00&quot;E&quot;\)\ \ \ \ "/>
    <numFmt numFmtId="196" formatCode="#,##0.00\A\ \ \ \ ;\(#,##0.00\A\)\ \ \ \ "/>
    <numFmt numFmtId="197" formatCode="#,##0.00&quot;E&quot;\ \ \ \ ;\(#,##0.00&quot;E&quot;\)\ \ \ \ "/>
    <numFmt numFmtId="198" formatCode="0%\ \ \ \ \ \ \ "/>
    <numFmt numFmtId="199" formatCode="0."/>
    <numFmt numFmtId="200" formatCode="_(&quot;¥&quot;* #,##0_)\ &quot;millions&quot;;_(&quot;¥&quot;* \(#,##0\)&quot; millions&quot;"/>
    <numFmt numFmtId="201" formatCode="&quot;¥&quot;#,##0\ &quot;MM&quot;;\(&quot;¥&quot;#,##0.00\ &quot;MM&quot;\)"/>
    <numFmt numFmtId="202" formatCode="@&quot; MM&quot;"/>
    <numFmt numFmtId="203" formatCode="#,##0\ &quot;$&quot;_);[Red]\(#,##0\ &quot;$&quot;\)"/>
    <numFmt numFmtId="204" formatCode="&quot;$&quot;###,0&quot;.&quot;00_);[Red]\(&quot;$&quot;###,0&quot;.&quot;00\)"/>
    <numFmt numFmtId="205" formatCode="_-* #,##0.00\ &quot;kr&quot;_-;\-* #,##0.00\ &quot;kr&quot;_-;_-* &quot;-&quot;??\ &quot;kr&quot;_-;_-@_-"/>
    <numFmt numFmtId="206" formatCode="_-* #,##0.00\ _k_r_-;\-* #,##0.00\ _k_r_-;_-* &quot;-&quot;??\ _k_r_-;_-@_-"/>
    <numFmt numFmtId="207" formatCode="0.00000%"/>
    <numFmt numFmtId="208" formatCode="0.0\ \ \ \ \ \ "/>
    <numFmt numFmtId="209" formatCode="0.0%\ \ \ \ \ "/>
    <numFmt numFmtId="210" formatCode="&quot;¥&quot;#\-?/?"/>
    <numFmt numFmtId="211" formatCode="0.00\ \ \ \ "/>
    <numFmt numFmtId="212" formatCode="@\ "/>
    <numFmt numFmtId="213" formatCode="&quot;¥&quot;@"/>
    <numFmt numFmtId="214" formatCode="mm/dd/yy"/>
    <numFmt numFmtId="215" formatCode="#,##0.00\ &quot;F&quot;;[Red]\-#,##0.00\ &quot;F&quot;"/>
    <numFmt numFmtId="216" formatCode="_-* #,##0\ &quot;F&quot;_-;\-* #,##0\ &quot;F&quot;_-;_-* &quot;-&quot;\ &quot;F&quot;_-;_-@_-"/>
    <numFmt numFmtId="217" formatCode="#,##0\ &quot;F&quot;;[Red]\-#,##0\ &quot;F&quot;"/>
    <numFmt numFmtId="218" formatCode="#,##0.00\ &quot;F&quot;;\-#,##0.00\ &quot;F&quot;"/>
    <numFmt numFmtId="219" formatCode="&quot;\&quot;#,##0.00;[Red]\-&quot;\&quot;#,##0.00"/>
    <numFmt numFmtId="220" formatCode="&quot;\&quot;#,##0.00;[Red]&quot;\&quot;\-#,##0.00"/>
    <numFmt numFmtId="221" formatCode="&quot;\&quot;#,##0;[Red]&quot;\&quot;\-#,##0"/>
    <numFmt numFmtId="222" formatCode="d\-mmm\-yy;@"/>
  </numFmts>
  <fonts count="14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8"/>
      <name val="Arial"/>
      <family val="2"/>
    </font>
    <font>
      <sz val="10"/>
      <name val="GillSans"/>
    </font>
    <font>
      <sz val="11"/>
      <name val="??"/>
      <family val="3"/>
    </font>
    <font>
      <sz val="10"/>
      <name val="?? ??"/>
      <family val="1"/>
      <charset val="136"/>
    </font>
    <font>
      <sz val="10"/>
      <name val="Arial"/>
      <family val="2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sz val="12"/>
      <name val="·s²Ó©úÅé"/>
      <family val="1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Tms Rmn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0"/>
      <name val="MS Serif"/>
      <family val="1"/>
    </font>
    <font>
      <b/>
      <sz val="10"/>
      <name val="Arial"/>
      <family val="2"/>
    </font>
    <font>
      <sz val="10"/>
      <name val="Arial CE"/>
      <family val="2"/>
      <charset val="238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sz val="10"/>
      <name val="Arial"/>
      <family val="2"/>
      <charset val="163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0"/>
      <name val="Tahoma"/>
      <family val="2"/>
    </font>
    <font>
      <b/>
      <sz val="8"/>
      <color indexed="8"/>
      <name val="Helv"/>
    </font>
    <font>
      <sz val="13"/>
      <name val=".VnTime"/>
      <family val="2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u/>
      <sz val="11"/>
      <name val="GillSans"/>
      <family val="2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9"/>
      <name val="Arial"/>
      <family val="2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indexed="10"/>
      <name val="Times New Roman"/>
      <family val="1"/>
    </font>
    <font>
      <b/>
      <sz val="14"/>
      <color indexed="8"/>
      <name val="Times New Roman"/>
      <family val="1"/>
    </font>
    <font>
      <sz val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rgb="FFC00000"/>
      <name val="Times New Roman"/>
      <family val="1"/>
    </font>
    <font>
      <sz val="11"/>
      <name val="ＭＳ Ｐゴシック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i/>
      <sz val="16"/>
      <color indexed="8"/>
      <name val="Tahoma"/>
      <family val="2"/>
      <charset val="163"/>
    </font>
    <font>
      <sz val="10"/>
      <name val="Calibri"/>
      <family val="2"/>
      <charset val="163"/>
      <scheme val="minor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3435">
    <xf numFmtId="0" fontId="0" fillId="0" borderId="0"/>
    <xf numFmtId="0" fontId="4" fillId="0" borderId="0"/>
    <xf numFmtId="0" fontId="4" fillId="0" borderId="0">
      <alignment horizontal="right"/>
    </xf>
    <xf numFmtId="168" fontId="4" fillId="2" borderId="0"/>
    <xf numFmtId="169" fontId="4" fillId="2" borderId="0"/>
    <xf numFmtId="170" fontId="4" fillId="2" borderId="0"/>
    <xf numFmtId="171" fontId="4" fillId="2" borderId="0">
      <alignment horizontal="right"/>
    </xf>
    <xf numFmtId="172" fontId="5" fillId="0" borderId="0" applyFont="0" applyFill="0" applyBorder="0" applyAlignment="0" applyProtection="0"/>
    <xf numFmtId="0" fontId="6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6" fontId="10" fillId="0" borderId="0" applyFont="0" applyFill="0" applyBorder="0" applyAlignment="0" applyProtection="0"/>
    <xf numFmtId="0" fontId="11" fillId="0" borderId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2" fillId="0" borderId="0"/>
    <xf numFmtId="0" fontId="7" fillId="0" borderId="0" applyNumberFormat="0" applyFill="0" applyBorder="0" applyAlignment="0" applyProtection="0"/>
    <xf numFmtId="174" fontId="13" fillId="0" borderId="0" applyFont="0" applyFill="0" applyBorder="0" applyAlignment="0" applyProtection="0"/>
    <xf numFmtId="0" fontId="14" fillId="0" borderId="0"/>
    <xf numFmtId="0" fontId="14" fillId="0" borderId="0"/>
    <xf numFmtId="0" fontId="15" fillId="0" borderId="0" applyNumberFormat="0" applyFill="0" applyBorder="0" applyAlignment="0" applyProtection="0"/>
    <xf numFmtId="0" fontId="14" fillId="0" borderId="0"/>
    <xf numFmtId="0" fontId="11" fillId="0" borderId="0"/>
    <xf numFmtId="175" fontId="16" fillId="0" borderId="0" applyFont="0" applyFill="0" applyBorder="0" applyAlignment="0" applyProtection="0"/>
    <xf numFmtId="0" fontId="17" fillId="0" borderId="0"/>
    <xf numFmtId="165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18" fillId="2" borderId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2" borderId="0"/>
    <xf numFmtId="176" fontId="17" fillId="0" borderId="0" applyFont="0" applyFill="0" applyBorder="0" applyAlignment="0" applyProtection="0"/>
    <xf numFmtId="176" fontId="11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23" fillId="0" borderId="0">
      <alignment wrapText="1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175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5" fontId="28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8" fontId="28" fillId="0" borderId="0" applyFont="0" applyFill="0" applyBorder="0" applyAlignment="0" applyProtection="0"/>
    <xf numFmtId="179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9" fontId="28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80" fontId="28" fillId="0" borderId="0" applyFont="0" applyFill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27" fillId="0" borderId="0"/>
    <xf numFmtId="0" fontId="31" fillId="0" borderId="0"/>
    <xf numFmtId="0" fontId="27" fillId="0" borderId="0"/>
    <xf numFmtId="0" fontId="31" fillId="0" borderId="0"/>
    <xf numFmtId="0" fontId="32" fillId="0" borderId="0"/>
    <xf numFmtId="181" fontId="7" fillId="0" borderId="0" applyFill="0" applyBorder="0" applyAlignment="0"/>
    <xf numFmtId="181" fontId="7" fillId="0" borderId="0" applyFill="0" applyBorder="0" applyAlignment="0"/>
    <xf numFmtId="181" fontId="7" fillId="0" borderId="0" applyFill="0" applyBorder="0" applyAlignment="0"/>
    <xf numFmtId="181" fontId="7" fillId="0" borderId="0" applyFill="0" applyBorder="0" applyAlignment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4" fillId="0" borderId="0"/>
    <xf numFmtId="3" fontId="14" fillId="0" borderId="2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182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165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8" fillId="0" borderId="0" applyFont="0" applyFill="0" applyBorder="0" applyAlignment="0" applyProtection="0"/>
    <xf numFmtId="183" fontId="7" fillId="0" borderId="0" applyFill="0" applyBorder="0" applyAlignment="0" applyProtection="0"/>
    <xf numFmtId="43" fontId="7" fillId="0" borderId="0" applyFont="0" applyFill="0" applyBorder="0" applyAlignment="0" applyProtection="0"/>
    <xf numFmtId="166" fontId="13" fillId="0" borderId="0" applyFont="0" applyFill="0" applyBorder="0" applyAlignment="0" applyProtection="0"/>
    <xf numFmtId="183" fontId="7" fillId="0" borderId="0" applyFill="0" applyBorder="0" applyAlignment="0" applyProtection="0"/>
    <xf numFmtId="166" fontId="38" fillId="0" borderId="0" applyFont="0" applyFill="0" applyBorder="0" applyAlignment="0" applyProtection="0"/>
    <xf numFmtId="43" fontId="7" fillId="0" borderId="0" applyFont="0" applyFill="0" applyBorder="0" applyAlignment="0" applyProtection="0"/>
    <xf numFmtId="183" fontId="7" fillId="0" borderId="0" applyFill="0" applyBorder="0" applyAlignment="0" applyProtection="0"/>
    <xf numFmtId="183" fontId="7" fillId="0" borderId="0" applyFill="0" applyBorder="0" applyAlignment="0" applyProtection="0"/>
    <xf numFmtId="183" fontId="7" fillId="0" borderId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3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3" fontId="7" fillId="0" borderId="0" applyFill="0" applyBorder="0" applyAlignment="0" applyProtection="0"/>
    <xf numFmtId="183" fontId="7" fillId="0" borderId="0" applyFill="0" applyBorder="0" applyAlignment="0" applyProtection="0"/>
    <xf numFmtId="183" fontId="7" fillId="0" borderId="0" applyFill="0" applyBorder="0" applyAlignment="0" applyProtection="0"/>
    <xf numFmtId="183" fontId="7" fillId="0" borderId="0" applyFill="0" applyBorder="0" applyAlignment="0" applyProtection="0"/>
    <xf numFmtId="183" fontId="7" fillId="0" borderId="0" applyFill="0" applyBorder="0" applyAlignment="0" applyProtection="0"/>
    <xf numFmtId="183" fontId="7" fillId="0" borderId="0" applyFill="0" applyBorder="0" applyAlignment="0" applyProtection="0"/>
    <xf numFmtId="183" fontId="7" fillId="0" borderId="0" applyFill="0" applyBorder="0" applyAlignment="0" applyProtection="0"/>
    <xf numFmtId="183" fontId="7" fillId="0" borderId="0" applyFill="0" applyBorder="0" applyAlignment="0" applyProtection="0"/>
    <xf numFmtId="183" fontId="7" fillId="0" borderId="0" applyFill="0" applyBorder="0" applyAlignment="0" applyProtection="0"/>
    <xf numFmtId="43" fontId="19" fillId="0" borderId="0" applyFont="0" applyFill="0" applyBorder="0" applyAlignment="0" applyProtection="0"/>
    <xf numFmtId="183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66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84" fontId="7" fillId="0" borderId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66" fontId="40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3" fontId="7" fillId="0" borderId="0" applyFont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3" fontId="7" fillId="0" borderId="0" applyFont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3" fontId="7" fillId="0" borderId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83" fontId="7" fillId="0" borderId="0" applyFill="0" applyBorder="0" applyAlignment="0" applyProtection="0"/>
    <xf numFmtId="166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83" fontId="7" fillId="0" borderId="0" applyFill="0" applyBorder="0" applyAlignment="0" applyProtection="0"/>
    <xf numFmtId="167" fontId="7" fillId="0" borderId="0" applyFill="0" applyBorder="0" applyAlignment="0" applyProtection="0"/>
    <xf numFmtId="43" fontId="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3" fontId="7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4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5" fontId="14" fillId="0" borderId="0"/>
    <xf numFmtId="3" fontId="7" fillId="0" borderId="0" applyFont="0" applyFill="0" applyBorder="0" applyAlignment="0" applyProtection="0"/>
    <xf numFmtId="0" fontId="42" fillId="0" borderId="0" applyNumberFormat="0" applyAlignment="0">
      <alignment horizontal="left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9" fillId="0" borderId="0" applyFont="0" applyFill="0" applyBorder="0" applyAlignment="0" applyProtection="0"/>
    <xf numFmtId="186" fontId="7" fillId="0" borderId="0" applyFont="0" applyFill="0" applyBorder="0" applyAlignment="0" applyProtection="0"/>
    <xf numFmtId="187" fontId="14" fillId="0" borderId="0"/>
    <xf numFmtId="188" fontId="4" fillId="2" borderId="4">
      <alignment horizontal="right"/>
    </xf>
    <xf numFmtId="188" fontId="4" fillId="2" borderId="4">
      <alignment horizontal="right"/>
    </xf>
    <xf numFmtId="0" fontId="43" fillId="2" borderId="0" applyNumberFormat="0" applyFont="0" applyFill="0" applyBorder="0" applyProtection="0">
      <alignment horizontal="left"/>
    </xf>
    <xf numFmtId="0" fontId="7" fillId="0" borderId="0" applyFont="0" applyFill="0" applyBorder="0" applyAlignment="0" applyProtection="0"/>
    <xf numFmtId="189" fontId="14" fillId="0" borderId="0"/>
    <xf numFmtId="165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90" fontId="44" fillId="0" borderId="0" applyFont="0" applyFill="0" applyBorder="0" applyAlignment="0" applyProtection="0"/>
    <xf numFmtId="190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91" fontId="44" fillId="0" borderId="0" applyFont="0" applyFill="0" applyBorder="0" applyAlignment="0" applyProtection="0"/>
    <xf numFmtId="19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5" fillId="0" borderId="0" applyNumberFormat="0" applyAlignment="0">
      <alignment horizontal="left"/>
    </xf>
    <xf numFmtId="192" fontId="4" fillId="23" borderId="0"/>
    <xf numFmtId="193" fontId="4" fillId="23" borderId="0"/>
    <xf numFmtId="194" fontId="4" fillId="23" borderId="0"/>
    <xf numFmtId="195" fontId="4" fillId="0" borderId="0"/>
    <xf numFmtId="192" fontId="4" fillId="23" borderId="0"/>
    <xf numFmtId="196" fontId="4" fillId="0" borderId="0"/>
    <xf numFmtId="197" fontId="4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2" fontId="7" fillId="0" borderId="0" applyFont="0" applyFill="0" applyBorder="0" applyAlignment="0" applyProtection="0"/>
    <xf numFmtId="193" fontId="4" fillId="0" borderId="5"/>
    <xf numFmtId="198" fontId="4" fillId="2" borderId="4">
      <alignment horizontal="right"/>
    </xf>
    <xf numFmtId="198" fontId="4" fillId="2" borderId="4">
      <alignment horizontal="right"/>
    </xf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38" fontId="3" fillId="2" borderId="0" applyNumberFormat="0" applyBorder="0" applyAlignment="0" applyProtection="0"/>
    <xf numFmtId="0" fontId="48" fillId="0" borderId="0">
      <alignment horizontal="left"/>
    </xf>
    <xf numFmtId="0" fontId="49" fillId="0" borderId="6" applyNumberFormat="0" applyAlignment="0" applyProtection="0">
      <alignment horizontal="left" vertical="center"/>
    </xf>
    <xf numFmtId="0" fontId="49" fillId="0" borderId="7">
      <alignment horizontal="left" vertical="center"/>
    </xf>
    <xf numFmtId="199" fontId="50" fillId="24" borderId="0">
      <alignment horizontal="left" vertical="top"/>
    </xf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2" fillId="0" borderId="0" applyProtection="0"/>
    <xf numFmtId="0" fontId="49" fillId="0" borderId="0" applyProtection="0"/>
    <xf numFmtId="5" fontId="55" fillId="25" borderId="2" applyNumberFormat="0" applyAlignment="0">
      <alignment horizontal="left" vertical="top"/>
    </xf>
    <xf numFmtId="49" fontId="56" fillId="0" borderId="2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>
      <alignment vertical="top"/>
      <protection locked="0"/>
    </xf>
    <xf numFmtId="0" fontId="58" fillId="0" borderId="0" applyBorder="0"/>
    <xf numFmtId="0" fontId="41" fillId="24" borderId="0">
      <alignment horizontal="left" wrapText="1" indent="2"/>
    </xf>
    <xf numFmtId="10" fontId="3" fillId="24" borderId="2" applyNumberFormat="0" applyBorder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8" fillId="0" borderId="0"/>
    <xf numFmtId="0" fontId="13" fillId="0" borderId="0"/>
    <xf numFmtId="0" fontId="14" fillId="0" borderId="0"/>
    <xf numFmtId="0" fontId="7" fillId="0" borderId="0"/>
    <xf numFmtId="0" fontId="7" fillId="0" borderId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200" fontId="4" fillId="0" borderId="0">
      <alignment horizontal="right"/>
    </xf>
    <xf numFmtId="201" fontId="4" fillId="23" borderId="0">
      <alignment horizontal="right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202" fontId="4" fillId="23" borderId="4">
      <alignment horizontal="right"/>
    </xf>
    <xf numFmtId="0" fontId="61" fillId="0" borderId="12"/>
    <xf numFmtId="164" fontId="7" fillId="0" borderId="13"/>
    <xf numFmtId="203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62" fillId="0" borderId="0" applyNumberFormat="0" applyFont="0" applyFill="0" applyAlignment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4" fillId="0" borderId="0"/>
    <xf numFmtId="37" fontId="65" fillId="0" borderId="0"/>
    <xf numFmtId="207" fontId="7" fillId="0" borderId="0"/>
    <xf numFmtId="207" fontId="7" fillId="0" borderId="0"/>
    <xf numFmtId="207" fontId="7" fillId="0" borderId="0"/>
    <xf numFmtId="20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12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12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3" fillId="0" borderId="0"/>
    <xf numFmtId="0" fontId="7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7" fillId="0" borderId="0"/>
    <xf numFmtId="0" fontId="7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27" fillId="0" borderId="0"/>
    <xf numFmtId="0" fontId="127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38" fillId="0" borderId="0"/>
    <xf numFmtId="0" fontId="38" fillId="0" borderId="0"/>
    <xf numFmtId="0" fontId="7" fillId="0" borderId="0"/>
    <xf numFmtId="0" fontId="38" fillId="0" borderId="0"/>
    <xf numFmtId="0" fontId="1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1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7" fillId="0" borderId="0"/>
    <xf numFmtId="0" fontId="125" fillId="0" borderId="0"/>
    <xf numFmtId="0" fontId="7" fillId="0" borderId="0"/>
    <xf numFmtId="0" fontId="13" fillId="0" borderId="0"/>
    <xf numFmtId="0" fontId="3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8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6" fillId="0" borderId="0"/>
    <xf numFmtId="0" fontId="7" fillId="0" borderId="0"/>
    <xf numFmtId="0" fontId="13" fillId="0" borderId="0"/>
    <xf numFmtId="0" fontId="44" fillId="0" borderId="0"/>
    <xf numFmtId="0" fontId="7" fillId="27" borderId="14" applyNumberFormat="0" applyFont="0" applyAlignment="0" applyProtection="0"/>
    <xf numFmtId="0" fontId="13" fillId="27" borderId="14" applyNumberFormat="0" applyFont="0" applyAlignment="0" applyProtection="0"/>
    <xf numFmtId="0" fontId="13" fillId="27" borderId="14" applyNumberFormat="0" applyFont="0" applyAlignment="0" applyProtection="0"/>
    <xf numFmtId="0" fontId="13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208" fontId="4" fillId="23" borderId="0"/>
    <xf numFmtId="209" fontId="4" fillId="0" borderId="0"/>
    <xf numFmtId="9" fontId="1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3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4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ill="0" applyBorder="0" applyAlignment="0" applyProtection="0"/>
    <xf numFmtId="9" fontId="38" fillId="0" borderId="0" applyFont="0" applyFill="0" applyBorder="0" applyAlignment="0" applyProtection="0"/>
    <xf numFmtId="210" fontId="4" fillId="23" borderId="0">
      <alignment horizontal="right"/>
    </xf>
    <xf numFmtId="0" fontId="14" fillId="0" borderId="0" applyNumberFormat="0" applyFont="0" applyFill="0" applyBorder="0" applyAlignment="0" applyProtection="0">
      <alignment horizontal="left"/>
    </xf>
    <xf numFmtId="0" fontId="68" fillId="0" borderId="12">
      <alignment horizontal="center"/>
    </xf>
    <xf numFmtId="211" fontId="4" fillId="2" borderId="0"/>
    <xf numFmtId="211" fontId="4" fillId="2" borderId="0"/>
    <xf numFmtId="0" fontId="69" fillId="0" borderId="0">
      <alignment horizontal="center"/>
    </xf>
    <xf numFmtId="0" fontId="4" fillId="0" borderId="16">
      <alignment horizontal="centerContinuous"/>
    </xf>
    <xf numFmtId="212" fontId="4" fillId="2" borderId="0">
      <alignment horizontal="right"/>
    </xf>
    <xf numFmtId="213" fontId="4" fillId="2" borderId="4">
      <alignment horizontal="right"/>
    </xf>
    <xf numFmtId="214" fontId="70" fillId="0" borderId="0" applyNumberFormat="0" applyFill="0" applyBorder="0" applyAlignment="0" applyProtection="0">
      <alignment horizontal="left"/>
    </xf>
    <xf numFmtId="4" fontId="71" fillId="28" borderId="17" applyNumberFormat="0" applyProtection="0">
      <alignment vertical="center"/>
    </xf>
    <xf numFmtId="4" fontId="72" fillId="28" borderId="17" applyNumberFormat="0" applyProtection="0">
      <alignment vertical="center"/>
    </xf>
    <xf numFmtId="4" fontId="73" fillId="28" borderId="17" applyNumberFormat="0" applyProtection="0">
      <alignment horizontal="left" vertical="center" indent="1"/>
    </xf>
    <xf numFmtId="0" fontId="74" fillId="28" borderId="17" applyNumberFormat="0" applyProtection="0">
      <alignment horizontal="left" vertical="top" indent="1"/>
    </xf>
    <xf numFmtId="4" fontId="73" fillId="29" borderId="0" applyNumberFormat="0" applyProtection="0">
      <alignment horizontal="left" vertical="center" indent="1"/>
    </xf>
    <xf numFmtId="4" fontId="73" fillId="30" borderId="17" applyNumberFormat="0" applyProtection="0">
      <alignment horizontal="right" vertical="center"/>
    </xf>
    <xf numFmtId="4" fontId="73" fillId="31" borderId="17" applyNumberFormat="0" applyProtection="0">
      <alignment horizontal="right" vertical="center"/>
    </xf>
    <xf numFmtId="4" fontId="73" fillId="32" borderId="17" applyNumberFormat="0" applyProtection="0">
      <alignment horizontal="right" vertical="center"/>
    </xf>
    <xf numFmtId="4" fontId="73" fillId="33" borderId="17" applyNumberFormat="0" applyProtection="0">
      <alignment horizontal="right" vertical="center"/>
    </xf>
    <xf numFmtId="4" fontId="73" fillId="34" borderId="17" applyNumberFormat="0" applyProtection="0">
      <alignment horizontal="right" vertical="center"/>
    </xf>
    <xf numFmtId="4" fontId="73" fillId="35" borderId="17" applyNumberFormat="0" applyProtection="0">
      <alignment horizontal="right" vertical="center"/>
    </xf>
    <xf numFmtId="4" fontId="73" fillId="36" borderId="17" applyNumberFormat="0" applyProtection="0">
      <alignment horizontal="right" vertical="center"/>
    </xf>
    <xf numFmtId="4" fontId="73" fillId="37" borderId="17" applyNumberFormat="0" applyProtection="0">
      <alignment horizontal="right" vertical="center"/>
    </xf>
    <xf numFmtId="4" fontId="73" fillId="38" borderId="17" applyNumberFormat="0" applyProtection="0">
      <alignment horizontal="right" vertical="center"/>
    </xf>
    <xf numFmtId="4" fontId="71" fillId="39" borderId="18" applyNumberFormat="0" applyProtection="0">
      <alignment horizontal="left" vertical="center" indent="1"/>
    </xf>
    <xf numFmtId="4" fontId="71" fillId="40" borderId="0" applyNumberFormat="0" applyProtection="0">
      <alignment horizontal="left" vertical="center" indent="1"/>
    </xf>
    <xf numFmtId="4" fontId="71" fillId="29" borderId="0" applyNumberFormat="0" applyProtection="0">
      <alignment horizontal="left" vertical="center" indent="1"/>
    </xf>
    <xf numFmtId="4" fontId="73" fillId="40" borderId="17" applyNumberFormat="0" applyProtection="0">
      <alignment horizontal="right" vertical="center"/>
    </xf>
    <xf numFmtId="4" fontId="38" fillId="40" borderId="0" applyNumberFormat="0" applyProtection="0">
      <alignment horizontal="left" vertical="center" indent="1"/>
    </xf>
    <xf numFmtId="4" fontId="38" fillId="29" borderId="0" applyNumberFormat="0" applyProtection="0">
      <alignment horizontal="left" vertical="center" indent="1"/>
    </xf>
    <xf numFmtId="0" fontId="7" fillId="29" borderId="17" applyNumberFormat="0" applyProtection="0">
      <alignment horizontal="left" vertical="center" indent="1"/>
    </xf>
    <xf numFmtId="0" fontId="7" fillId="29" borderId="17" applyNumberFormat="0" applyProtection="0">
      <alignment horizontal="left" vertical="top" indent="1"/>
    </xf>
    <xf numFmtId="0" fontId="7" fillId="25" borderId="17" applyNumberFormat="0" applyProtection="0">
      <alignment horizontal="left" vertical="center" indent="1"/>
    </xf>
    <xf numFmtId="0" fontId="7" fillId="25" borderId="17" applyNumberFormat="0" applyProtection="0">
      <alignment horizontal="left" vertical="top" indent="1"/>
    </xf>
    <xf numFmtId="0" fontId="7" fillId="40" borderId="17" applyNumberFormat="0" applyProtection="0">
      <alignment horizontal="left" vertical="center" indent="1"/>
    </xf>
    <xf numFmtId="0" fontId="7" fillId="40" borderId="17" applyNumberFormat="0" applyProtection="0">
      <alignment horizontal="left" vertical="top" indent="1"/>
    </xf>
    <xf numFmtId="0" fontId="7" fillId="41" borderId="17" applyNumberFormat="0" applyProtection="0">
      <alignment horizontal="left" vertical="center" indent="1"/>
    </xf>
    <xf numFmtId="0" fontId="7" fillId="41" borderId="17" applyNumberFormat="0" applyProtection="0">
      <alignment horizontal="left" vertical="top" indent="1"/>
    </xf>
    <xf numFmtId="4" fontId="73" fillId="41" borderId="17" applyNumberFormat="0" applyProtection="0">
      <alignment vertical="center"/>
    </xf>
    <xf numFmtId="4" fontId="75" fillId="41" borderId="17" applyNumberFormat="0" applyProtection="0">
      <alignment vertical="center"/>
    </xf>
    <xf numFmtId="4" fontId="71" fillId="40" borderId="19" applyNumberFormat="0" applyProtection="0">
      <alignment horizontal="left" vertical="center" indent="1"/>
    </xf>
    <xf numFmtId="0" fontId="38" fillId="24" borderId="17" applyNumberFormat="0" applyProtection="0">
      <alignment horizontal="left" vertical="top" indent="1"/>
    </xf>
    <xf numFmtId="4" fontId="73" fillId="41" borderId="17" applyNumberFormat="0" applyProtection="0">
      <alignment horizontal="right" vertical="center"/>
    </xf>
    <xf numFmtId="4" fontId="75" fillId="41" borderId="17" applyNumberFormat="0" applyProtection="0">
      <alignment horizontal="right" vertical="center"/>
    </xf>
    <xf numFmtId="4" fontId="71" fillId="40" borderId="17" applyNumberFormat="0" applyProtection="0">
      <alignment horizontal="left" vertical="center" indent="1"/>
    </xf>
    <xf numFmtId="0" fontId="38" fillId="25" borderId="17" applyNumberFormat="0" applyProtection="0">
      <alignment horizontal="left" vertical="top" indent="1"/>
    </xf>
    <xf numFmtId="4" fontId="76" fillId="25" borderId="19" applyNumberFormat="0" applyProtection="0">
      <alignment horizontal="left" vertical="center" indent="1"/>
    </xf>
    <xf numFmtId="4" fontId="77" fillId="41" borderId="17" applyNumberFormat="0" applyProtection="0">
      <alignment horizontal="right" vertical="center"/>
    </xf>
    <xf numFmtId="0" fontId="14" fillId="0" borderId="0"/>
    <xf numFmtId="182" fontId="36" fillId="0" borderId="0" applyFont="0" applyFill="0" applyBorder="0" applyAlignment="0" applyProtection="0"/>
    <xf numFmtId="0" fontId="61" fillId="0" borderId="0"/>
    <xf numFmtId="0" fontId="78" fillId="24" borderId="0">
      <alignment wrapText="1"/>
    </xf>
    <xf numFmtId="40" fontId="79" fillId="0" borderId="0" applyBorder="0">
      <alignment horizontal="right"/>
    </xf>
    <xf numFmtId="215" fontId="80" fillId="0" borderId="20">
      <alignment horizontal="right" vertical="center"/>
    </xf>
    <xf numFmtId="49" fontId="81" fillId="0" borderId="0"/>
    <xf numFmtId="216" fontId="80" fillId="0" borderId="20">
      <alignment horizontal="center"/>
    </xf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4" fillId="0" borderId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217" fontId="80" fillId="0" borderId="0"/>
    <xf numFmtId="218" fontId="80" fillId="0" borderId="2"/>
    <xf numFmtId="5" fontId="86" fillId="42" borderId="23">
      <alignment vertical="top"/>
    </xf>
    <xf numFmtId="0" fontId="87" fillId="43" borderId="2">
      <alignment horizontal="left" vertical="center"/>
    </xf>
    <xf numFmtId="6" fontId="88" fillId="44" borderId="23"/>
    <xf numFmtId="5" fontId="55" fillId="0" borderId="23">
      <alignment horizontal="left" vertical="top"/>
    </xf>
    <xf numFmtId="0" fontId="89" fillId="45" borderId="0">
      <alignment horizontal="left" vertical="center"/>
    </xf>
    <xf numFmtId="5" fontId="15" fillId="0" borderId="24">
      <alignment horizontal="left" vertical="top"/>
    </xf>
    <xf numFmtId="0" fontId="90" fillId="0" borderId="24">
      <alignment horizontal="left" vertical="center"/>
    </xf>
    <xf numFmtId="42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0" borderId="0"/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13" fillId="27" borderId="14" applyNumberFormat="0" applyFont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40" fontId="98" fillId="0" borderId="0" applyFont="0" applyFill="0" applyBorder="0" applyAlignment="0" applyProtection="0"/>
    <xf numFmtId="38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9" fontId="99" fillId="0" borderId="0" applyFont="0" applyFill="0" applyBorder="0" applyAlignment="0" applyProtection="0"/>
    <xf numFmtId="0" fontId="100" fillId="0" borderId="0"/>
    <xf numFmtId="0" fontId="62" fillId="0" borderId="0"/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165" fontId="105" fillId="0" borderId="0" applyFont="0" applyFill="0" applyBorder="0" applyAlignment="0" applyProtection="0"/>
    <xf numFmtId="166" fontId="105" fillId="0" borderId="0" applyFont="0" applyFill="0" applyBorder="0" applyAlignment="0" applyProtection="0"/>
    <xf numFmtId="0" fontId="7" fillId="0" borderId="0" applyFont="0" applyFill="0" applyBorder="0" applyAlignment="0" applyProtection="0"/>
    <xf numFmtId="219" fontId="13" fillId="0" borderId="0" applyFont="0" applyFill="0" applyBorder="0" applyAlignment="0" applyProtection="0"/>
    <xf numFmtId="220" fontId="101" fillId="0" borderId="0" applyFont="0" applyFill="0" applyBorder="0" applyAlignment="0" applyProtection="0"/>
    <xf numFmtId="221" fontId="101" fillId="0" borderId="0" applyFont="0" applyFill="0" applyBorder="0" applyAlignment="0" applyProtection="0"/>
    <xf numFmtId="0" fontId="102" fillId="0" borderId="0"/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183" fontId="7" fillId="0" borderId="0" applyFill="0" applyBorder="0" applyAlignment="0" applyProtection="0"/>
    <xf numFmtId="41" fontId="13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64" fillId="0" borderId="0"/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176" fontId="105" fillId="0" borderId="0" applyFont="0" applyFill="0" applyBorder="0" applyAlignment="0" applyProtection="0"/>
    <xf numFmtId="176" fontId="11" fillId="0" borderId="0" applyFont="0" applyFill="0" applyBorder="0" applyAlignment="0" applyProtection="0"/>
    <xf numFmtId="177" fontId="105" fillId="0" borderId="0" applyFont="0" applyFill="0" applyBorder="0" applyAlignment="0" applyProtection="0"/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11" fillId="0" borderId="0">
      <alignment vertical="center"/>
    </xf>
    <xf numFmtId="43" fontId="1" fillId="0" borderId="0" applyFont="0" applyFill="0" applyBorder="0" applyAlignment="0" applyProtection="0"/>
    <xf numFmtId="0" fontId="131" fillId="0" borderId="0"/>
  </cellStyleXfs>
  <cellXfs count="93">
    <xf numFmtId="0" fontId="0" fillId="0" borderId="0" xfId="0"/>
    <xf numFmtId="43" fontId="123" fillId="0" borderId="0" xfId="675" applyFont="1"/>
    <xf numFmtId="9" fontId="123" fillId="0" borderId="0" xfId="2621" applyFont="1"/>
    <xf numFmtId="0" fontId="115" fillId="0" borderId="0" xfId="0" applyFont="1" applyAlignment="1">
      <alignment vertical="top"/>
    </xf>
    <xf numFmtId="0" fontId="115" fillId="0" borderId="0" xfId="0" applyFont="1" applyAlignment="1">
      <alignment horizontal="center" vertical="top"/>
    </xf>
    <xf numFmtId="0" fontId="118" fillId="0" borderId="0" xfId="0" applyFont="1" applyFill="1" applyAlignment="1">
      <alignment vertical="top"/>
    </xf>
    <xf numFmtId="0" fontId="115" fillId="0" borderId="0" xfId="0" applyFont="1"/>
    <xf numFmtId="0" fontId="115" fillId="0" borderId="0" xfId="0" applyFont="1" applyAlignment="1">
      <alignment horizontal="center"/>
    </xf>
    <xf numFmtId="0" fontId="117" fillId="0" borderId="0" xfId="0" applyFont="1"/>
    <xf numFmtId="0" fontId="115" fillId="0" borderId="0" xfId="0" applyFont="1" applyFill="1" applyAlignment="1">
      <alignment vertical="top"/>
    </xf>
    <xf numFmtId="0" fontId="122" fillId="0" borderId="0" xfId="0" applyFont="1" applyFill="1" applyAlignment="1">
      <alignment vertical="top"/>
    </xf>
    <xf numFmtId="0" fontId="122" fillId="0" borderId="0" xfId="0" applyFont="1" applyAlignment="1">
      <alignment vertical="top"/>
    </xf>
    <xf numFmtId="0" fontId="122" fillId="0" borderId="0" xfId="0" applyFont="1" applyAlignment="1">
      <alignment horizontal="center" vertical="top"/>
    </xf>
    <xf numFmtId="0" fontId="128" fillId="0" borderId="0" xfId="0" applyFont="1"/>
    <xf numFmtId="0" fontId="129" fillId="0" borderId="0" xfId="0" applyFont="1"/>
    <xf numFmtId="0" fontId="0" fillId="0" borderId="0" xfId="0" applyAlignment="1">
      <alignment wrapText="1"/>
    </xf>
    <xf numFmtId="0" fontId="115" fillId="0" borderId="0" xfId="0" applyFont="1" applyAlignment="1">
      <alignment horizontal="left" vertical="top" indent="1"/>
    </xf>
    <xf numFmtId="0" fontId="116" fillId="0" borderId="0" xfId="0" applyFont="1" applyAlignment="1">
      <alignment horizontal="left" vertical="top" indent="2"/>
    </xf>
    <xf numFmtId="0" fontId="115" fillId="0" borderId="0" xfId="0" quotePrefix="1" applyFont="1" applyAlignment="1">
      <alignment horizontal="left" vertical="top" indent="1"/>
    </xf>
    <xf numFmtId="0" fontId="130" fillId="0" borderId="0" xfId="0" applyFont="1" applyAlignment="1">
      <alignment vertical="top"/>
    </xf>
    <xf numFmtId="0" fontId="115" fillId="0" borderId="0" xfId="0" applyFont="1" applyAlignment="1">
      <alignment horizontal="left" vertical="top" indent="4"/>
    </xf>
    <xf numFmtId="0" fontId="115" fillId="0" borderId="0" xfId="0" applyFont="1" applyAlignment="1">
      <alignment horizontal="left" vertical="top" indent="6"/>
    </xf>
    <xf numFmtId="0" fontId="132" fillId="46" borderId="0" xfId="3434" applyFont="1" applyFill="1" applyAlignment="1">
      <alignment horizontal="center" vertical="center"/>
    </xf>
    <xf numFmtId="0" fontId="133" fillId="0" borderId="25" xfId="3434" applyFont="1" applyBorder="1" applyAlignment="1">
      <alignment horizontal="center" vertical="center"/>
    </xf>
    <xf numFmtId="0" fontId="41" fillId="0" borderId="0" xfId="3434" applyFont="1" applyAlignment="1">
      <alignment horizontal="center" vertical="center"/>
    </xf>
    <xf numFmtId="0" fontId="41" fillId="0" borderId="0" xfId="3434" applyFont="1"/>
    <xf numFmtId="0" fontId="135" fillId="46" borderId="0" xfId="3434" applyFont="1" applyFill="1" applyAlignment="1">
      <alignment horizontal="left" indent="1"/>
    </xf>
    <xf numFmtId="0" fontId="136" fillId="0" borderId="0" xfId="3434" applyFont="1" applyAlignment="1">
      <alignment horizontal="left" indent="1"/>
    </xf>
    <xf numFmtId="0" fontId="41" fillId="46" borderId="0" xfId="3434" applyFont="1" applyFill="1"/>
    <xf numFmtId="0" fontId="135" fillId="46" borderId="26" xfId="3434" applyFont="1" applyFill="1" applyBorder="1" applyAlignment="1">
      <alignment horizontal="left"/>
    </xf>
    <xf numFmtId="0" fontId="41" fillId="0" borderId="27" xfId="3434" applyFont="1" applyBorder="1" applyAlignment="1"/>
    <xf numFmtId="0" fontId="135" fillId="46" borderId="0" xfId="3434" applyFont="1" applyFill="1" applyBorder="1"/>
    <xf numFmtId="0" fontId="136" fillId="0" borderId="0" xfId="3434" applyFont="1" applyBorder="1" applyAlignment="1">
      <alignment horizontal="left"/>
    </xf>
    <xf numFmtId="0" fontId="41" fillId="0" borderId="0" xfId="3434" applyFont="1" applyBorder="1" applyAlignment="1"/>
    <xf numFmtId="0" fontId="135" fillId="46" borderId="0" xfId="3434" applyFont="1" applyFill="1" applyBorder="1" applyAlignment="1">
      <alignment horizontal="left" indent="1"/>
    </xf>
    <xf numFmtId="0" fontId="136" fillId="0" borderId="0" xfId="3434" applyFont="1" applyBorder="1" applyAlignment="1">
      <alignment horizontal="left" indent="1"/>
    </xf>
    <xf numFmtId="0" fontId="41" fillId="0" borderId="0" xfId="3434" applyFont="1" applyBorder="1" applyAlignment="1">
      <alignment horizontal="left" indent="1"/>
    </xf>
    <xf numFmtId="0" fontId="41" fillId="0" borderId="0" xfId="3434" applyFont="1" applyBorder="1"/>
    <xf numFmtId="0" fontId="135" fillId="0" borderId="0" xfId="3434" applyFont="1" applyAlignment="1">
      <alignment horizontal="left"/>
    </xf>
    <xf numFmtId="0" fontId="41" fillId="0" borderId="0" xfId="3434" applyFont="1" applyAlignment="1">
      <alignment vertical="center"/>
    </xf>
    <xf numFmtId="0" fontId="41" fillId="0" borderId="0" xfId="3434" applyFont="1" applyAlignment="1">
      <alignment vertical="top"/>
    </xf>
    <xf numFmtId="0" fontId="41" fillId="0" borderId="0" xfId="3434" applyFont="1" applyAlignment="1">
      <alignment horizontal="left" indent="1"/>
    </xf>
    <xf numFmtId="15" fontId="139" fillId="0" borderId="32" xfId="3434" applyNumberFormat="1" applyFont="1" applyBorder="1" applyAlignment="1">
      <alignment vertical="top" wrapText="1"/>
    </xf>
    <xf numFmtId="14" fontId="139" fillId="0" borderId="31" xfId="3434" applyNumberFormat="1" applyFont="1" applyBorder="1" applyAlignment="1">
      <alignment vertical="top" wrapText="1"/>
    </xf>
    <xf numFmtId="0" fontId="139" fillId="0" borderId="33" xfId="3434" applyFont="1" applyBorder="1" applyAlignment="1">
      <alignment vertical="top" wrapText="1"/>
    </xf>
    <xf numFmtId="0" fontId="139" fillId="0" borderId="32" xfId="3434" applyFont="1" applyBorder="1" applyAlignment="1">
      <alignment vertical="top" wrapText="1"/>
    </xf>
    <xf numFmtId="222" fontId="137" fillId="47" borderId="28" xfId="3434" applyNumberFormat="1" applyFont="1" applyFill="1" applyBorder="1" applyAlignment="1">
      <alignment horizontal="center" vertical="center" wrapText="1"/>
    </xf>
    <xf numFmtId="0" fontId="137" fillId="47" borderId="29" xfId="3434" applyFont="1" applyFill="1" applyBorder="1" applyAlignment="1">
      <alignment horizontal="center" vertical="center" wrapText="1"/>
    </xf>
    <xf numFmtId="0" fontId="137" fillId="47" borderId="30" xfId="3434" applyFont="1" applyFill="1" applyBorder="1" applyAlignment="1">
      <alignment horizontal="center" vertical="center" wrapText="1"/>
    </xf>
    <xf numFmtId="49" fontId="139" fillId="0" borderId="32" xfId="3434" applyNumberFormat="1" applyFont="1" applyBorder="1" applyAlignment="1">
      <alignment vertical="top" wrapText="1"/>
    </xf>
    <xf numFmtId="222" fontId="139" fillId="0" borderId="31" xfId="3434" applyNumberFormat="1" applyFont="1" applyBorder="1" applyAlignment="1">
      <alignment vertical="top" wrapText="1"/>
    </xf>
    <xf numFmtId="222" fontId="139" fillId="0" borderId="34" xfId="3434" applyNumberFormat="1" applyFont="1" applyBorder="1" applyAlignment="1">
      <alignment vertical="top" wrapText="1"/>
    </xf>
    <xf numFmtId="49" fontId="139" fillId="0" borderId="35" xfId="3434" applyNumberFormat="1" applyFont="1" applyBorder="1" applyAlignment="1">
      <alignment vertical="top" wrapText="1"/>
    </xf>
    <xf numFmtId="0" fontId="139" fillId="0" borderId="35" xfId="3434" applyFont="1" applyBorder="1" applyAlignment="1">
      <alignment vertical="top" wrapText="1"/>
    </xf>
    <xf numFmtId="0" fontId="139" fillId="0" borderId="36" xfId="3434" applyFont="1" applyBorder="1" applyAlignment="1">
      <alignment vertical="top" wrapText="1"/>
    </xf>
    <xf numFmtId="0" fontId="136" fillId="0" borderId="27" xfId="3434" quotePrefix="1" applyFont="1" applyBorder="1" applyAlignment="1">
      <alignment horizontal="left"/>
    </xf>
    <xf numFmtId="0" fontId="105" fillId="0" borderId="2" xfId="0" applyFont="1" applyBorder="1" applyAlignment="1">
      <alignment vertical="top" wrapText="1"/>
    </xf>
    <xf numFmtId="0" fontId="142" fillId="0" borderId="2" xfId="0" applyFont="1" applyBorder="1" applyAlignment="1">
      <alignment vertical="top" wrapText="1"/>
    </xf>
    <xf numFmtId="0" fontId="142" fillId="0" borderId="2" xfId="0" quotePrefix="1" applyFont="1" applyBorder="1" applyAlignment="1">
      <alignment vertical="top" wrapText="1"/>
    </xf>
    <xf numFmtId="0" fontId="105" fillId="0" borderId="2" xfId="0" quotePrefix="1" applyFont="1" applyBorder="1" applyAlignment="1">
      <alignment vertical="top" wrapText="1"/>
    </xf>
    <xf numFmtId="0" fontId="105" fillId="0" borderId="2" xfId="0" applyFont="1" applyFill="1" applyBorder="1" applyAlignment="1">
      <alignment vertical="top" wrapText="1"/>
    </xf>
    <xf numFmtId="0" fontId="142" fillId="0" borderId="2" xfId="0" applyFont="1" applyFill="1" applyBorder="1" applyAlignment="1">
      <alignment vertical="top" wrapText="1"/>
    </xf>
    <xf numFmtId="0" fontId="140" fillId="48" borderId="2" xfId="0" applyFont="1" applyFill="1" applyBorder="1" applyAlignment="1">
      <alignment vertical="center" wrapText="1"/>
    </xf>
    <xf numFmtId="0" fontId="140" fillId="48" borderId="2" xfId="0" applyFont="1" applyFill="1" applyBorder="1" applyAlignment="1">
      <alignment vertical="center"/>
    </xf>
    <xf numFmtId="0" fontId="141" fillId="48" borderId="2" xfId="0" applyFont="1" applyFill="1" applyBorder="1" applyAlignment="1">
      <alignment vertical="center" wrapText="1"/>
    </xf>
    <xf numFmtId="0" fontId="115" fillId="0" borderId="0" xfId="0" quotePrefix="1" applyFont="1" applyAlignment="1">
      <alignment vertical="top"/>
    </xf>
    <xf numFmtId="15" fontId="136" fillId="0" borderId="27" xfId="3434" applyNumberFormat="1" applyFont="1" applyBorder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143" fillId="0" borderId="0" xfId="0" applyFont="1"/>
    <xf numFmtId="0" fontId="144" fillId="0" borderId="0" xfId="0" applyFont="1" applyAlignment="1">
      <alignment vertical="center"/>
    </xf>
    <xf numFmtId="0" fontId="145" fillId="0" borderId="0" xfId="0" applyFont="1" applyAlignment="1">
      <alignment vertical="center"/>
    </xf>
    <xf numFmtId="0" fontId="146" fillId="49" borderId="0" xfId="0" applyFont="1" applyFill="1" applyAlignment="1">
      <alignment vertical="center"/>
    </xf>
    <xf numFmtId="0" fontId="146" fillId="49" borderId="0" xfId="0" applyFont="1" applyFill="1" applyAlignment="1">
      <alignment horizontal="right" vertical="center"/>
    </xf>
    <xf numFmtId="0" fontId="146" fillId="49" borderId="0" xfId="0" applyFont="1" applyFill="1" applyAlignment="1">
      <alignment horizontal="center" vertical="center"/>
    </xf>
    <xf numFmtId="0" fontId="145" fillId="0" borderId="0" xfId="0" applyFont="1" applyFill="1" applyAlignment="1">
      <alignment vertical="center"/>
    </xf>
    <xf numFmtId="0" fontId="147" fillId="0" borderId="0" xfId="0" applyFont="1" applyFill="1" applyAlignment="1">
      <alignment vertical="center"/>
    </xf>
    <xf numFmtId="182" fontId="148" fillId="0" borderId="0" xfId="675" applyNumberFormat="1" applyFont="1" applyFill="1" applyAlignment="1">
      <alignment horizontal="center" vertical="center"/>
    </xf>
    <xf numFmtId="0" fontId="148" fillId="0" borderId="0" xfId="0" applyFont="1" applyFill="1" applyAlignment="1">
      <alignment horizontal="left" vertical="center"/>
    </xf>
    <xf numFmtId="182" fontId="145" fillId="0" borderId="0" xfId="675" applyNumberFormat="1" applyFont="1" applyFill="1" applyAlignment="1">
      <alignment horizontal="center" vertical="center"/>
    </xf>
    <xf numFmtId="0" fontId="145" fillId="0" borderId="0" xfId="0" applyFont="1" applyFill="1" applyAlignment="1">
      <alignment horizontal="left" vertical="center"/>
    </xf>
    <xf numFmtId="182" fontId="145" fillId="0" borderId="0" xfId="675" applyNumberFormat="1" applyFont="1" applyFill="1" applyAlignment="1">
      <alignment vertical="center"/>
    </xf>
    <xf numFmtId="0" fontId="148" fillId="0" borderId="0" xfId="0" applyFont="1" applyFill="1" applyAlignment="1">
      <alignment horizontal="center" vertical="center"/>
    </xf>
    <xf numFmtId="0" fontId="145" fillId="0" borderId="0" xfId="0" applyFont="1" applyFill="1" applyAlignment="1">
      <alignment horizontal="center" vertical="center"/>
    </xf>
    <xf numFmtId="0" fontId="148" fillId="0" borderId="0" xfId="0" applyFont="1" applyFill="1" applyAlignment="1">
      <alignment vertical="center"/>
    </xf>
    <xf numFmtId="0" fontId="145" fillId="0" borderId="0" xfId="0" applyFont="1" applyFill="1"/>
    <xf numFmtId="182" fontId="145" fillId="0" borderId="0" xfId="675" applyNumberFormat="1" applyFont="1" applyFill="1" applyAlignment="1">
      <alignment horizontal="center"/>
    </xf>
    <xf numFmtId="182" fontId="145" fillId="0" borderId="0" xfId="0" applyNumberFormat="1" applyFont="1" applyFill="1"/>
    <xf numFmtId="0" fontId="138" fillId="0" borderId="26" xfId="3434" applyFont="1" applyBorder="1" applyAlignment="1">
      <alignment horizontal="center" vertical="center" wrapText="1"/>
    </xf>
    <xf numFmtId="0" fontId="134" fillId="0" borderId="26" xfId="3434" applyFont="1" applyBorder="1" applyAlignment="1">
      <alignment horizontal="center" vertical="center"/>
    </xf>
    <xf numFmtId="0" fontId="136" fillId="0" borderId="26" xfId="3434" applyFont="1" applyBorder="1" applyAlignment="1">
      <alignment horizontal="left"/>
    </xf>
    <xf numFmtId="0" fontId="135" fillId="46" borderId="26" xfId="3434" applyFont="1" applyFill="1" applyBorder="1" applyAlignment="1">
      <alignment horizontal="left" vertical="center"/>
    </xf>
    <xf numFmtId="0" fontId="136" fillId="0" borderId="26" xfId="3434" applyFont="1" applyBorder="1" applyAlignment="1">
      <alignment horizontal="left" vertical="center"/>
    </xf>
  </cellXfs>
  <cellStyles count="3435">
    <cellStyle name="$" xfId="1"/>
    <cellStyle name="$m" xfId="2"/>
    <cellStyle name="$q" xfId="3"/>
    <cellStyle name="$q*" xfId="4"/>
    <cellStyle name="$qA" xfId="5"/>
    <cellStyle name="$qRange" xfId="6"/>
    <cellStyle name="??" xfId="7"/>
    <cellStyle name="?? [0.00]_ Att. 1- Cover" xfId="8"/>
    <cellStyle name="?? [0]" xfId="9"/>
    <cellStyle name="?_x001d_??%U©÷u&amp;H©÷9_x0008_? s_x000a__x0007__x0001__x0001_" xfId="10"/>
    <cellStyle name="???? [0.00]_PRODUCT DETAIL Q1" xfId="11"/>
    <cellStyle name="????_PRODUCT DETAIL Q1" xfId="12"/>
    <cellStyle name="???[0]_?? DI" xfId="13"/>
    <cellStyle name="???_?? DI" xfId="14"/>
    <cellStyle name="??[0]_BRE" xfId="15"/>
    <cellStyle name="??_ Att. 1- Cover" xfId="16"/>
    <cellStyle name="??A? [0]_ÿÿÿÿÿÿ_1_¢¬???¢â? " xfId="17"/>
    <cellStyle name="??A?_ÿÿÿÿÿÿ_1_¢¬???¢â? " xfId="18"/>
    <cellStyle name="?¡±¢¥?_?¨ù??¢´¢¥_¢¬???¢â? " xfId="19"/>
    <cellStyle name="?ðÇ%U?&amp;H?_x0008_?s_x000a__x0007__x0001__x0001_" xfId="20"/>
    <cellStyle name="_Bang Chi tieu (2)" xfId="21"/>
    <cellStyle name="_BCT, TimeSheet_2306-2906" xfId="22"/>
    <cellStyle name="_BCT, TimeSheet_2306-2906_RAC Training Effort" xfId="23"/>
    <cellStyle name="_Book1" xfId="24"/>
    <cellStyle name="_HOGV_QC_Guideline_Project Reward" xfId="25"/>
    <cellStyle name="_PM- FSE" xfId="26"/>
    <cellStyle name="~1" xfId="27"/>
    <cellStyle name="¤@¯ë_¥Ø¼Ð¶i«×" xfId="28"/>
    <cellStyle name="¤d¤À¦ì[0]_¥Ø¼Ð¶i«×" xfId="29"/>
    <cellStyle name="¤d¤À¦ì_¥Ø¼Ð¶i«×" xfId="30"/>
    <cellStyle name="1" xfId="31"/>
    <cellStyle name="2" xfId="32"/>
    <cellStyle name="20% - Accent1 10" xfId="33"/>
    <cellStyle name="20% - Accent1 11" xfId="34"/>
    <cellStyle name="20% - Accent1 12" xfId="35"/>
    <cellStyle name="20% - Accent1 13" xfId="36"/>
    <cellStyle name="20% - Accent1 2" xfId="37"/>
    <cellStyle name="20% - Accent1 2 2" xfId="38"/>
    <cellStyle name="20% - Accent1 2 3" xfId="39"/>
    <cellStyle name="20% - Accent1 3" xfId="40"/>
    <cellStyle name="20% - Accent1 4" xfId="41"/>
    <cellStyle name="20% - Accent1 5" xfId="42"/>
    <cellStyle name="20% - Accent1 6" xfId="43"/>
    <cellStyle name="20% - Accent1 7" xfId="44"/>
    <cellStyle name="20% - Accent1 8" xfId="45"/>
    <cellStyle name="20% - Accent1 9" xfId="46"/>
    <cellStyle name="20% - Accent2 10" xfId="47"/>
    <cellStyle name="20% - Accent2 11" xfId="48"/>
    <cellStyle name="20% - Accent2 12" xfId="49"/>
    <cellStyle name="20% - Accent2 13" xfId="50"/>
    <cellStyle name="20% - Accent2 2" xfId="51"/>
    <cellStyle name="20% - Accent2 2 2" xfId="52"/>
    <cellStyle name="20% - Accent2 2 3" xfId="53"/>
    <cellStyle name="20% - Accent2 3" xfId="54"/>
    <cellStyle name="20% - Accent2 4" xfId="55"/>
    <cellStyle name="20% - Accent2 5" xfId="56"/>
    <cellStyle name="20% - Accent2 6" xfId="57"/>
    <cellStyle name="20% - Accent2 7" xfId="58"/>
    <cellStyle name="20% - Accent2 8" xfId="59"/>
    <cellStyle name="20% - Accent2 9" xfId="60"/>
    <cellStyle name="20% - Accent3 10" xfId="61"/>
    <cellStyle name="20% - Accent3 11" xfId="62"/>
    <cellStyle name="20% - Accent3 12" xfId="63"/>
    <cellStyle name="20% - Accent3 13" xfId="64"/>
    <cellStyle name="20% - Accent3 2" xfId="65"/>
    <cellStyle name="20% - Accent3 2 2" xfId="66"/>
    <cellStyle name="20% - Accent3 2 3" xfId="67"/>
    <cellStyle name="20% - Accent3 3" xfId="68"/>
    <cellStyle name="20% - Accent3 4" xfId="69"/>
    <cellStyle name="20% - Accent3 5" xfId="70"/>
    <cellStyle name="20% - Accent3 6" xfId="71"/>
    <cellStyle name="20% - Accent3 7" xfId="72"/>
    <cellStyle name="20% - Accent3 8" xfId="73"/>
    <cellStyle name="20% - Accent3 9" xfId="74"/>
    <cellStyle name="20% - Accent4 10" xfId="75"/>
    <cellStyle name="20% - Accent4 11" xfId="76"/>
    <cellStyle name="20% - Accent4 12" xfId="77"/>
    <cellStyle name="20% - Accent4 13" xfId="78"/>
    <cellStyle name="20% - Accent4 2" xfId="79"/>
    <cellStyle name="20% - Accent4 2 2" xfId="80"/>
    <cellStyle name="20% - Accent4 2 3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 10" xfId="89"/>
    <cellStyle name="20% - Accent5 11" xfId="90"/>
    <cellStyle name="20% - Accent5 12" xfId="91"/>
    <cellStyle name="20% - Accent5 13" xfId="92"/>
    <cellStyle name="20% - Accent5 2" xfId="93"/>
    <cellStyle name="20% - Accent5 2 2" xfId="94"/>
    <cellStyle name="20% - Accent5 2 3" xfId="95"/>
    <cellStyle name="20% - Accent5 3" xfId="96"/>
    <cellStyle name="20% - Accent5 4" xfId="97"/>
    <cellStyle name="20% - Accent5 5" xfId="98"/>
    <cellStyle name="20% - Accent5 6" xfId="99"/>
    <cellStyle name="20% - Accent5 7" xfId="100"/>
    <cellStyle name="20% - Accent5 8" xfId="101"/>
    <cellStyle name="20% - Accent5 9" xfId="102"/>
    <cellStyle name="20% - Accent6 10" xfId="103"/>
    <cellStyle name="20% - Accent6 11" xfId="104"/>
    <cellStyle name="20% - Accent6 12" xfId="105"/>
    <cellStyle name="20% - Accent6 13" xfId="106"/>
    <cellStyle name="20% - Accent6 2" xfId="107"/>
    <cellStyle name="20% - Accent6 2 2" xfId="108"/>
    <cellStyle name="20% - Accent6 2 3" xfId="109"/>
    <cellStyle name="20% - Accent6 3" xfId="110"/>
    <cellStyle name="20% - Accent6 4" xfId="111"/>
    <cellStyle name="20% - Accent6 5" xfId="112"/>
    <cellStyle name="20% - Accent6 6" xfId="113"/>
    <cellStyle name="20% - Accent6 7" xfId="114"/>
    <cellStyle name="20% - Accent6 8" xfId="115"/>
    <cellStyle name="20% - Accent6 9" xfId="116"/>
    <cellStyle name="20% - アクセント 1" xfId="117"/>
    <cellStyle name="20% - アクセント 1 10" xfId="118"/>
    <cellStyle name="20% - アクセント 1 11" xfId="119"/>
    <cellStyle name="20% - アクセント 1 12" xfId="120"/>
    <cellStyle name="20% - アクセント 1 13" xfId="121"/>
    <cellStyle name="20% - アクセント 1 2" xfId="122"/>
    <cellStyle name="20% - アクセント 1 3" xfId="123"/>
    <cellStyle name="20% - アクセント 1 4" xfId="124"/>
    <cellStyle name="20% - アクセント 1 5" xfId="125"/>
    <cellStyle name="20% - アクセント 1 6" xfId="126"/>
    <cellStyle name="20% - アクセント 1 7" xfId="127"/>
    <cellStyle name="20% - アクセント 1 8" xfId="128"/>
    <cellStyle name="20% - アクセント 1 9" xfId="129"/>
    <cellStyle name="20% - アクセント 2" xfId="130"/>
    <cellStyle name="20% - アクセント 2 10" xfId="131"/>
    <cellStyle name="20% - アクセント 2 11" xfId="132"/>
    <cellStyle name="20% - アクセント 2 12" xfId="133"/>
    <cellStyle name="20% - アクセント 2 13" xfId="134"/>
    <cellStyle name="20% - アクセント 2 2" xfId="135"/>
    <cellStyle name="20% - アクセント 2 3" xfId="136"/>
    <cellStyle name="20% - アクセント 2 4" xfId="137"/>
    <cellStyle name="20% - アクセント 2 5" xfId="138"/>
    <cellStyle name="20% - アクセント 2 6" xfId="139"/>
    <cellStyle name="20% - アクセント 2 7" xfId="140"/>
    <cellStyle name="20% - アクセント 2 8" xfId="141"/>
    <cellStyle name="20% - アクセント 2 9" xfId="142"/>
    <cellStyle name="20% - アクセント 3" xfId="143"/>
    <cellStyle name="20% - アクセント 3 10" xfId="144"/>
    <cellStyle name="20% - アクセント 3 11" xfId="145"/>
    <cellStyle name="20% - アクセント 3 12" xfId="146"/>
    <cellStyle name="20% - アクセント 3 13" xfId="147"/>
    <cellStyle name="20% - アクセント 3 2" xfId="148"/>
    <cellStyle name="20% - アクセント 3 3" xfId="149"/>
    <cellStyle name="20% - アクセント 3 4" xfId="150"/>
    <cellStyle name="20% - アクセント 3 5" xfId="151"/>
    <cellStyle name="20% - アクセント 3 6" xfId="152"/>
    <cellStyle name="20% - アクセント 3 7" xfId="153"/>
    <cellStyle name="20% - アクセント 3 8" xfId="154"/>
    <cellStyle name="20% - アクセント 3 9" xfId="155"/>
    <cellStyle name="20% - アクセント 4" xfId="156"/>
    <cellStyle name="20% - アクセント 4 10" xfId="157"/>
    <cellStyle name="20% - アクセント 4 11" xfId="158"/>
    <cellStyle name="20% - アクセント 4 12" xfId="159"/>
    <cellStyle name="20% - アクセント 4 13" xfId="160"/>
    <cellStyle name="20% - アクセント 4 2" xfId="161"/>
    <cellStyle name="20% - アクセント 4 3" xfId="162"/>
    <cellStyle name="20% - アクセント 4 4" xfId="163"/>
    <cellStyle name="20% - アクセント 4 5" xfId="164"/>
    <cellStyle name="20% - アクセント 4 6" xfId="165"/>
    <cellStyle name="20% - アクセント 4 7" xfId="166"/>
    <cellStyle name="20% - アクセント 4 8" xfId="167"/>
    <cellStyle name="20% - アクセント 4 9" xfId="168"/>
    <cellStyle name="20% - アクセント 5" xfId="169"/>
    <cellStyle name="20% - アクセント 5 10" xfId="170"/>
    <cellStyle name="20% - アクセント 5 11" xfId="171"/>
    <cellStyle name="20% - アクセント 5 12" xfId="172"/>
    <cellStyle name="20% - アクセント 5 13" xfId="173"/>
    <cellStyle name="20% - アクセント 5 2" xfId="174"/>
    <cellStyle name="20% - アクセント 5 3" xfId="175"/>
    <cellStyle name="20% - アクセント 5 4" xfId="176"/>
    <cellStyle name="20% - アクセント 5 5" xfId="177"/>
    <cellStyle name="20% - アクセント 5 6" xfId="178"/>
    <cellStyle name="20% - アクセント 5 7" xfId="179"/>
    <cellStyle name="20% - アクセント 5 8" xfId="180"/>
    <cellStyle name="20% - アクセント 5 9" xfId="181"/>
    <cellStyle name="20% - アクセント 6" xfId="182"/>
    <cellStyle name="20% - アクセント 6 10" xfId="183"/>
    <cellStyle name="20% - アクセント 6 11" xfId="184"/>
    <cellStyle name="20% - アクセント 6 12" xfId="185"/>
    <cellStyle name="20% - アクセント 6 13" xfId="186"/>
    <cellStyle name="20% - アクセント 6 2" xfId="187"/>
    <cellStyle name="20% - アクセント 6 3" xfId="188"/>
    <cellStyle name="20% - アクセント 6 4" xfId="189"/>
    <cellStyle name="20% - アクセント 6 5" xfId="190"/>
    <cellStyle name="20% - アクセント 6 6" xfId="191"/>
    <cellStyle name="20% - アクセント 6 7" xfId="192"/>
    <cellStyle name="20% - アクセント 6 8" xfId="193"/>
    <cellStyle name="20% - アクセント 6 9" xfId="194"/>
    <cellStyle name="3" xfId="195"/>
    <cellStyle name="³f¹ô [0]_¥Ø¼Ð¶i«×" xfId="196"/>
    <cellStyle name="³f¹ô[0]_1-99" xfId="197"/>
    <cellStyle name="³f¹ô_¥Ø¼Ð¶i«×" xfId="198"/>
    <cellStyle name="4" xfId="199"/>
    <cellStyle name="40% - Accent1 10" xfId="200"/>
    <cellStyle name="40% - Accent1 11" xfId="201"/>
    <cellStyle name="40% - Accent1 12" xfId="202"/>
    <cellStyle name="40% - Accent1 13" xfId="203"/>
    <cellStyle name="40% - Accent1 2" xfId="204"/>
    <cellStyle name="40% - Accent1 2 2" xfId="205"/>
    <cellStyle name="40% - Accent1 2 3" xfId="206"/>
    <cellStyle name="40% - Accent1 3" xfId="207"/>
    <cellStyle name="40% - Accent1 4" xfId="208"/>
    <cellStyle name="40% - Accent1 5" xfId="209"/>
    <cellStyle name="40% - Accent1 6" xfId="210"/>
    <cellStyle name="40% - Accent1 7" xfId="211"/>
    <cellStyle name="40% - Accent1 8" xfId="212"/>
    <cellStyle name="40% - Accent1 9" xfId="213"/>
    <cellStyle name="40% - Accent2 10" xfId="214"/>
    <cellStyle name="40% - Accent2 11" xfId="215"/>
    <cellStyle name="40% - Accent2 12" xfId="216"/>
    <cellStyle name="40% - Accent2 13" xfId="217"/>
    <cellStyle name="40% - Accent2 2" xfId="218"/>
    <cellStyle name="40% - Accent2 2 2" xfId="219"/>
    <cellStyle name="40% - Accent2 2 3" xfId="220"/>
    <cellStyle name="40% - Accent2 3" xfId="221"/>
    <cellStyle name="40% - Accent2 4" xfId="222"/>
    <cellStyle name="40% - Accent2 5" xfId="223"/>
    <cellStyle name="40% - Accent2 6" xfId="224"/>
    <cellStyle name="40% - Accent2 7" xfId="225"/>
    <cellStyle name="40% - Accent2 8" xfId="226"/>
    <cellStyle name="40% - Accent2 9" xfId="227"/>
    <cellStyle name="40% - Accent3 10" xfId="228"/>
    <cellStyle name="40% - Accent3 11" xfId="229"/>
    <cellStyle name="40% - Accent3 12" xfId="230"/>
    <cellStyle name="40% - Accent3 13" xfId="231"/>
    <cellStyle name="40% - Accent3 2" xfId="232"/>
    <cellStyle name="40% - Accent3 2 2" xfId="233"/>
    <cellStyle name="40% - Accent3 2 3" xfId="234"/>
    <cellStyle name="40% - Accent3 3" xfId="235"/>
    <cellStyle name="40% - Accent3 4" xfId="236"/>
    <cellStyle name="40% - Accent3 5" xfId="237"/>
    <cellStyle name="40% - Accent3 6" xfId="238"/>
    <cellStyle name="40% - Accent3 7" xfId="239"/>
    <cellStyle name="40% - Accent3 8" xfId="240"/>
    <cellStyle name="40% - Accent3 9" xfId="241"/>
    <cellStyle name="40% - Accent4 10" xfId="242"/>
    <cellStyle name="40% - Accent4 11" xfId="243"/>
    <cellStyle name="40% - Accent4 12" xfId="244"/>
    <cellStyle name="40% - Accent4 13" xfId="245"/>
    <cellStyle name="40% - Accent4 2" xfId="246"/>
    <cellStyle name="40% - Accent4 2 2" xfId="247"/>
    <cellStyle name="40% - Accent4 2 3" xfId="248"/>
    <cellStyle name="40% - Accent4 3" xfId="249"/>
    <cellStyle name="40% - Accent4 4" xfId="250"/>
    <cellStyle name="40% - Accent4 5" xfId="251"/>
    <cellStyle name="40% - Accent4 6" xfId="252"/>
    <cellStyle name="40% - Accent4 7" xfId="253"/>
    <cellStyle name="40% - Accent4 8" xfId="254"/>
    <cellStyle name="40% - Accent4 9" xfId="255"/>
    <cellStyle name="40% - Accent5 10" xfId="256"/>
    <cellStyle name="40% - Accent5 11" xfId="257"/>
    <cellStyle name="40% - Accent5 12" xfId="258"/>
    <cellStyle name="40% - Accent5 13" xfId="259"/>
    <cellStyle name="40% - Accent5 2" xfId="260"/>
    <cellStyle name="40% - Accent5 2 2" xfId="261"/>
    <cellStyle name="40% - Accent5 2 3" xfId="262"/>
    <cellStyle name="40% - Accent5 3" xfId="263"/>
    <cellStyle name="40% - Accent5 4" xfId="264"/>
    <cellStyle name="40% - Accent5 5" xfId="265"/>
    <cellStyle name="40% - Accent5 6" xfId="266"/>
    <cellStyle name="40% - Accent5 7" xfId="267"/>
    <cellStyle name="40% - Accent5 8" xfId="268"/>
    <cellStyle name="40% - Accent5 9" xfId="269"/>
    <cellStyle name="40% - Accent6 10" xfId="270"/>
    <cellStyle name="40% - Accent6 11" xfId="271"/>
    <cellStyle name="40% - Accent6 12" xfId="272"/>
    <cellStyle name="40% - Accent6 13" xfId="273"/>
    <cellStyle name="40% - Accent6 2" xfId="274"/>
    <cellStyle name="40% - Accent6 2 2" xfId="275"/>
    <cellStyle name="40% - Accent6 2 3" xfId="276"/>
    <cellStyle name="40% - Accent6 3" xfId="277"/>
    <cellStyle name="40% - Accent6 4" xfId="278"/>
    <cellStyle name="40% - Accent6 5" xfId="279"/>
    <cellStyle name="40% - Accent6 6" xfId="280"/>
    <cellStyle name="40% - Accent6 7" xfId="281"/>
    <cellStyle name="40% - Accent6 8" xfId="282"/>
    <cellStyle name="40% - Accent6 9" xfId="283"/>
    <cellStyle name="40% - アクセント 1" xfId="284"/>
    <cellStyle name="40% - アクセント 1 10" xfId="285"/>
    <cellStyle name="40% - アクセント 1 11" xfId="286"/>
    <cellStyle name="40% - アクセント 1 12" xfId="287"/>
    <cellStyle name="40% - アクセント 1 13" xfId="288"/>
    <cellStyle name="40% - アクセント 1 2" xfId="289"/>
    <cellStyle name="40% - アクセント 1 3" xfId="290"/>
    <cellStyle name="40% - アクセント 1 4" xfId="291"/>
    <cellStyle name="40% - アクセント 1 5" xfId="292"/>
    <cellStyle name="40% - アクセント 1 6" xfId="293"/>
    <cellStyle name="40% - アクセント 1 7" xfId="294"/>
    <cellStyle name="40% - アクセント 1 8" xfId="295"/>
    <cellStyle name="40% - アクセント 1 9" xfId="296"/>
    <cellStyle name="40% - アクセント 2" xfId="297"/>
    <cellStyle name="40% - アクセント 2 10" xfId="298"/>
    <cellStyle name="40% - アクセント 2 11" xfId="299"/>
    <cellStyle name="40% - アクセント 2 12" xfId="300"/>
    <cellStyle name="40% - アクセント 2 13" xfId="301"/>
    <cellStyle name="40% - アクセント 2 2" xfId="302"/>
    <cellStyle name="40% - アクセント 2 3" xfId="303"/>
    <cellStyle name="40% - アクセント 2 4" xfId="304"/>
    <cellStyle name="40% - アクセント 2 5" xfId="305"/>
    <cellStyle name="40% - アクセント 2 6" xfId="306"/>
    <cellStyle name="40% - アクセント 2 7" xfId="307"/>
    <cellStyle name="40% - アクセント 2 8" xfId="308"/>
    <cellStyle name="40% - アクセント 2 9" xfId="309"/>
    <cellStyle name="40% - アクセント 3" xfId="310"/>
    <cellStyle name="40% - アクセント 3 10" xfId="311"/>
    <cellStyle name="40% - アクセント 3 11" xfId="312"/>
    <cellStyle name="40% - アクセント 3 12" xfId="313"/>
    <cellStyle name="40% - アクセント 3 13" xfId="314"/>
    <cellStyle name="40% - アクセント 3 2" xfId="315"/>
    <cellStyle name="40% - アクセント 3 3" xfId="316"/>
    <cellStyle name="40% - アクセント 3 4" xfId="317"/>
    <cellStyle name="40% - アクセント 3 5" xfId="318"/>
    <cellStyle name="40% - アクセント 3 6" xfId="319"/>
    <cellStyle name="40% - アクセント 3 7" xfId="320"/>
    <cellStyle name="40% - アクセント 3 8" xfId="321"/>
    <cellStyle name="40% - アクセント 3 9" xfId="322"/>
    <cellStyle name="40% - アクセント 4" xfId="323"/>
    <cellStyle name="40% - アクセント 4 10" xfId="324"/>
    <cellStyle name="40% - アクセント 4 11" xfId="325"/>
    <cellStyle name="40% - アクセント 4 12" xfId="326"/>
    <cellStyle name="40% - アクセント 4 13" xfId="327"/>
    <cellStyle name="40% - アクセント 4 2" xfId="328"/>
    <cellStyle name="40% - アクセント 4 3" xfId="329"/>
    <cellStyle name="40% - アクセント 4 4" xfId="330"/>
    <cellStyle name="40% - アクセント 4 5" xfId="331"/>
    <cellStyle name="40% - アクセント 4 6" xfId="332"/>
    <cellStyle name="40% - アクセント 4 7" xfId="333"/>
    <cellStyle name="40% - アクセント 4 8" xfId="334"/>
    <cellStyle name="40% - アクセント 4 9" xfId="335"/>
    <cellStyle name="40% - アクセント 5" xfId="336"/>
    <cellStyle name="40% - アクセント 5 10" xfId="337"/>
    <cellStyle name="40% - アクセント 5 11" xfId="338"/>
    <cellStyle name="40% - アクセント 5 12" xfId="339"/>
    <cellStyle name="40% - アクセント 5 13" xfId="340"/>
    <cellStyle name="40% - アクセント 5 2" xfId="341"/>
    <cellStyle name="40% - アクセント 5 3" xfId="342"/>
    <cellStyle name="40% - アクセント 5 4" xfId="343"/>
    <cellStyle name="40% - アクセント 5 5" xfId="344"/>
    <cellStyle name="40% - アクセント 5 6" xfId="345"/>
    <cellStyle name="40% - アクセント 5 7" xfId="346"/>
    <cellStyle name="40% - アクセント 5 8" xfId="347"/>
    <cellStyle name="40% - アクセント 5 9" xfId="348"/>
    <cellStyle name="40% - アクセント 6" xfId="349"/>
    <cellStyle name="40% - アクセント 6 10" xfId="350"/>
    <cellStyle name="40% - アクセント 6 11" xfId="351"/>
    <cellStyle name="40% - アクセント 6 12" xfId="352"/>
    <cellStyle name="40% - アクセント 6 13" xfId="353"/>
    <cellStyle name="40% - アクセント 6 2" xfId="354"/>
    <cellStyle name="40% - アクセント 6 3" xfId="355"/>
    <cellStyle name="40% - アクセント 6 4" xfId="356"/>
    <cellStyle name="40% - アクセント 6 5" xfId="357"/>
    <cellStyle name="40% - アクセント 6 6" xfId="358"/>
    <cellStyle name="40% - アクセント 6 7" xfId="359"/>
    <cellStyle name="40% - アクセント 6 8" xfId="360"/>
    <cellStyle name="40% - アクセント 6 9" xfId="361"/>
    <cellStyle name="60% - Accent1 10" xfId="362"/>
    <cellStyle name="60% - Accent1 11" xfId="363"/>
    <cellStyle name="60% - Accent1 12" xfId="364"/>
    <cellStyle name="60% - Accent1 13" xfId="365"/>
    <cellStyle name="60% - Accent1 2" xfId="366"/>
    <cellStyle name="60% - Accent1 2 2" xfId="367"/>
    <cellStyle name="60% - Accent1 2 3" xfId="368"/>
    <cellStyle name="60% - Accent1 3" xfId="369"/>
    <cellStyle name="60% - Accent1 4" xfId="370"/>
    <cellStyle name="60% - Accent1 5" xfId="371"/>
    <cellStyle name="60% - Accent1 6" xfId="372"/>
    <cellStyle name="60% - Accent1 7" xfId="373"/>
    <cellStyle name="60% - Accent1 8" xfId="374"/>
    <cellStyle name="60% - Accent1 9" xfId="375"/>
    <cellStyle name="60% - Accent2 10" xfId="376"/>
    <cellStyle name="60% - Accent2 11" xfId="377"/>
    <cellStyle name="60% - Accent2 12" xfId="378"/>
    <cellStyle name="60% - Accent2 13" xfId="379"/>
    <cellStyle name="60% - Accent2 2" xfId="380"/>
    <cellStyle name="60% - Accent2 2 2" xfId="381"/>
    <cellStyle name="60% - Accent2 2 3" xfId="382"/>
    <cellStyle name="60% - Accent2 3" xfId="383"/>
    <cellStyle name="60% - Accent2 4" xfId="384"/>
    <cellStyle name="60% - Accent2 5" xfId="385"/>
    <cellStyle name="60% - Accent2 6" xfId="386"/>
    <cellStyle name="60% - Accent2 7" xfId="387"/>
    <cellStyle name="60% - Accent2 8" xfId="388"/>
    <cellStyle name="60% - Accent2 9" xfId="389"/>
    <cellStyle name="60% - Accent3 10" xfId="390"/>
    <cellStyle name="60% - Accent3 11" xfId="391"/>
    <cellStyle name="60% - Accent3 12" xfId="392"/>
    <cellStyle name="60% - Accent3 13" xfId="393"/>
    <cellStyle name="60% - Accent3 2" xfId="394"/>
    <cellStyle name="60% - Accent3 2 2" xfId="395"/>
    <cellStyle name="60% - Accent3 2 3" xfId="396"/>
    <cellStyle name="60% - Accent3 3" xfId="397"/>
    <cellStyle name="60% - Accent3 4" xfId="398"/>
    <cellStyle name="60% - Accent3 5" xfId="399"/>
    <cellStyle name="60% - Accent3 6" xfId="400"/>
    <cellStyle name="60% - Accent3 7" xfId="401"/>
    <cellStyle name="60% - Accent3 8" xfId="402"/>
    <cellStyle name="60% - Accent3 9" xfId="403"/>
    <cellStyle name="60% - Accent4 10" xfId="404"/>
    <cellStyle name="60% - Accent4 11" xfId="405"/>
    <cellStyle name="60% - Accent4 12" xfId="406"/>
    <cellStyle name="60% - Accent4 13" xfId="407"/>
    <cellStyle name="60% - Accent4 2" xfId="408"/>
    <cellStyle name="60% - Accent4 2 2" xfId="409"/>
    <cellStyle name="60% - Accent4 2 3" xfId="410"/>
    <cellStyle name="60% - Accent4 3" xfId="411"/>
    <cellStyle name="60% - Accent4 4" xfId="412"/>
    <cellStyle name="60% - Accent4 5" xfId="413"/>
    <cellStyle name="60% - Accent4 6" xfId="414"/>
    <cellStyle name="60% - Accent4 7" xfId="415"/>
    <cellStyle name="60% - Accent4 8" xfId="416"/>
    <cellStyle name="60% - Accent4 9" xfId="417"/>
    <cellStyle name="60% - Accent5 10" xfId="418"/>
    <cellStyle name="60% - Accent5 11" xfId="419"/>
    <cellStyle name="60% - Accent5 12" xfId="420"/>
    <cellStyle name="60% - Accent5 13" xfId="421"/>
    <cellStyle name="60% - Accent5 2" xfId="422"/>
    <cellStyle name="60% - Accent5 2 2" xfId="423"/>
    <cellStyle name="60% - Accent5 2 3" xfId="424"/>
    <cellStyle name="60% - Accent5 3" xfId="425"/>
    <cellStyle name="60% - Accent5 4" xfId="426"/>
    <cellStyle name="60% - Accent5 5" xfId="427"/>
    <cellStyle name="60% - Accent5 6" xfId="428"/>
    <cellStyle name="60% - Accent5 7" xfId="429"/>
    <cellStyle name="60% - Accent5 8" xfId="430"/>
    <cellStyle name="60% - Accent5 9" xfId="431"/>
    <cellStyle name="60% - Accent6 10" xfId="432"/>
    <cellStyle name="60% - Accent6 11" xfId="433"/>
    <cellStyle name="60% - Accent6 12" xfId="434"/>
    <cellStyle name="60% - Accent6 13" xfId="435"/>
    <cellStyle name="60% - Accent6 2" xfId="436"/>
    <cellStyle name="60% - Accent6 2 2" xfId="437"/>
    <cellStyle name="60% - Accent6 2 3" xfId="438"/>
    <cellStyle name="60% - Accent6 3" xfId="439"/>
    <cellStyle name="60% - Accent6 4" xfId="440"/>
    <cellStyle name="60% - Accent6 5" xfId="441"/>
    <cellStyle name="60% - Accent6 6" xfId="442"/>
    <cellStyle name="60% - Accent6 7" xfId="443"/>
    <cellStyle name="60% - Accent6 8" xfId="444"/>
    <cellStyle name="60% - Accent6 9" xfId="445"/>
    <cellStyle name="60% - アクセント 1" xfId="446"/>
    <cellStyle name="60% - アクセント 1 10" xfId="447"/>
    <cellStyle name="60% - アクセント 1 11" xfId="448"/>
    <cellStyle name="60% - アクセント 1 12" xfId="449"/>
    <cellStyle name="60% - アクセント 1 13" xfId="450"/>
    <cellStyle name="60% - アクセント 1 2" xfId="451"/>
    <cellStyle name="60% - アクセント 1 3" xfId="452"/>
    <cellStyle name="60% - アクセント 1 4" xfId="453"/>
    <cellStyle name="60% - アクセント 1 5" xfId="454"/>
    <cellStyle name="60% - アクセント 1 6" xfId="455"/>
    <cellStyle name="60% - アクセント 1 7" xfId="456"/>
    <cellStyle name="60% - アクセント 1 8" xfId="457"/>
    <cellStyle name="60% - アクセント 1 9" xfId="458"/>
    <cellStyle name="60% - アクセント 2" xfId="459"/>
    <cellStyle name="60% - アクセント 2 10" xfId="460"/>
    <cellStyle name="60% - アクセント 2 11" xfId="461"/>
    <cellStyle name="60% - アクセント 2 12" xfId="462"/>
    <cellStyle name="60% - アクセント 2 13" xfId="463"/>
    <cellStyle name="60% - アクセント 2 2" xfId="464"/>
    <cellStyle name="60% - アクセント 2 3" xfId="465"/>
    <cellStyle name="60% - アクセント 2 4" xfId="466"/>
    <cellStyle name="60% - アクセント 2 5" xfId="467"/>
    <cellStyle name="60% - アクセント 2 6" xfId="468"/>
    <cellStyle name="60% - アクセント 2 7" xfId="469"/>
    <cellStyle name="60% - アクセント 2 8" xfId="470"/>
    <cellStyle name="60% - アクセント 2 9" xfId="471"/>
    <cellStyle name="60% - アクセント 3" xfId="472"/>
    <cellStyle name="60% - アクセント 3 10" xfId="473"/>
    <cellStyle name="60% - アクセント 3 11" xfId="474"/>
    <cellStyle name="60% - アクセント 3 12" xfId="475"/>
    <cellStyle name="60% - アクセント 3 13" xfId="476"/>
    <cellStyle name="60% - アクセント 3 2" xfId="477"/>
    <cellStyle name="60% - アクセント 3 3" xfId="478"/>
    <cellStyle name="60% - アクセント 3 4" xfId="479"/>
    <cellStyle name="60% - アクセント 3 5" xfId="480"/>
    <cellStyle name="60% - アクセント 3 6" xfId="481"/>
    <cellStyle name="60% - アクセント 3 7" xfId="482"/>
    <cellStyle name="60% - アクセント 3 8" xfId="483"/>
    <cellStyle name="60% - アクセント 3 9" xfId="484"/>
    <cellStyle name="60% - アクセント 4" xfId="485"/>
    <cellStyle name="60% - アクセント 4 10" xfId="486"/>
    <cellStyle name="60% - アクセント 4 11" xfId="487"/>
    <cellStyle name="60% - アクセント 4 12" xfId="488"/>
    <cellStyle name="60% - アクセント 4 13" xfId="489"/>
    <cellStyle name="60% - アクセント 4 2" xfId="490"/>
    <cellStyle name="60% - アクセント 4 3" xfId="491"/>
    <cellStyle name="60% - アクセント 4 4" xfId="492"/>
    <cellStyle name="60% - アクセント 4 5" xfId="493"/>
    <cellStyle name="60% - アクセント 4 6" xfId="494"/>
    <cellStyle name="60% - アクセント 4 7" xfId="495"/>
    <cellStyle name="60% - アクセント 4 8" xfId="496"/>
    <cellStyle name="60% - アクセント 4 9" xfId="497"/>
    <cellStyle name="60% - アクセント 5" xfId="498"/>
    <cellStyle name="60% - アクセント 5 10" xfId="499"/>
    <cellStyle name="60% - アクセント 5 11" xfId="500"/>
    <cellStyle name="60% - アクセント 5 12" xfId="501"/>
    <cellStyle name="60% - アクセント 5 13" xfId="502"/>
    <cellStyle name="60% - アクセント 5 2" xfId="503"/>
    <cellStyle name="60% - アクセント 5 3" xfId="504"/>
    <cellStyle name="60% - アクセント 5 4" xfId="505"/>
    <cellStyle name="60% - アクセント 5 5" xfId="506"/>
    <cellStyle name="60% - アクセント 5 6" xfId="507"/>
    <cellStyle name="60% - アクセント 5 7" xfId="508"/>
    <cellStyle name="60% - アクセント 5 8" xfId="509"/>
    <cellStyle name="60% - アクセント 5 9" xfId="510"/>
    <cellStyle name="60% - アクセント 6" xfId="511"/>
    <cellStyle name="60% - アクセント 6 10" xfId="512"/>
    <cellStyle name="60% - アクセント 6 11" xfId="513"/>
    <cellStyle name="60% - アクセント 6 12" xfId="514"/>
    <cellStyle name="60% - アクセント 6 13" xfId="515"/>
    <cellStyle name="60% - アクセント 6 2" xfId="516"/>
    <cellStyle name="60% - アクセント 6 3" xfId="517"/>
    <cellStyle name="60% - アクセント 6 4" xfId="518"/>
    <cellStyle name="60% - アクセント 6 5" xfId="519"/>
    <cellStyle name="60% - アクセント 6 6" xfId="520"/>
    <cellStyle name="60% - アクセント 6 7" xfId="521"/>
    <cellStyle name="60% - アクセント 6 8" xfId="522"/>
    <cellStyle name="60% - アクセント 6 9" xfId="523"/>
    <cellStyle name="Accent1 10" xfId="524"/>
    <cellStyle name="Accent1 11" xfId="525"/>
    <cellStyle name="Accent1 12" xfId="526"/>
    <cellStyle name="Accent1 13" xfId="527"/>
    <cellStyle name="Accent1 2" xfId="528"/>
    <cellStyle name="Accent1 2 2" xfId="529"/>
    <cellStyle name="Accent1 2 3" xfId="530"/>
    <cellStyle name="Accent1 3" xfId="531"/>
    <cellStyle name="Accent1 4" xfId="532"/>
    <cellStyle name="Accent1 5" xfId="533"/>
    <cellStyle name="Accent1 6" xfId="534"/>
    <cellStyle name="Accent1 7" xfId="535"/>
    <cellStyle name="Accent1 8" xfId="536"/>
    <cellStyle name="Accent1 9" xfId="537"/>
    <cellStyle name="Accent2 10" xfId="538"/>
    <cellStyle name="Accent2 11" xfId="539"/>
    <cellStyle name="Accent2 12" xfId="540"/>
    <cellStyle name="Accent2 13" xfId="541"/>
    <cellStyle name="Accent2 2" xfId="542"/>
    <cellStyle name="Accent2 2 2" xfId="543"/>
    <cellStyle name="Accent2 2 3" xfId="544"/>
    <cellStyle name="Accent2 3" xfId="545"/>
    <cellStyle name="Accent2 4" xfId="546"/>
    <cellStyle name="Accent2 5" xfId="547"/>
    <cellStyle name="Accent2 6" xfId="548"/>
    <cellStyle name="Accent2 7" xfId="549"/>
    <cellStyle name="Accent2 8" xfId="550"/>
    <cellStyle name="Accent2 9" xfId="551"/>
    <cellStyle name="Accent3 10" xfId="552"/>
    <cellStyle name="Accent3 11" xfId="553"/>
    <cellStyle name="Accent3 12" xfId="554"/>
    <cellStyle name="Accent3 13" xfId="555"/>
    <cellStyle name="Accent3 2" xfId="556"/>
    <cellStyle name="Accent3 2 2" xfId="557"/>
    <cellStyle name="Accent3 2 3" xfId="558"/>
    <cellStyle name="Accent3 3" xfId="559"/>
    <cellStyle name="Accent3 4" xfId="560"/>
    <cellStyle name="Accent3 5" xfId="561"/>
    <cellStyle name="Accent3 6" xfId="562"/>
    <cellStyle name="Accent3 7" xfId="563"/>
    <cellStyle name="Accent3 8" xfId="564"/>
    <cellStyle name="Accent3 9" xfId="565"/>
    <cellStyle name="Accent4 10" xfId="566"/>
    <cellStyle name="Accent4 11" xfId="567"/>
    <cellStyle name="Accent4 12" xfId="568"/>
    <cellStyle name="Accent4 13" xfId="569"/>
    <cellStyle name="Accent4 2" xfId="570"/>
    <cellStyle name="Accent4 2 2" xfId="571"/>
    <cellStyle name="Accent4 2 3" xfId="572"/>
    <cellStyle name="Accent4 3" xfId="573"/>
    <cellStyle name="Accent4 4" xfId="574"/>
    <cellStyle name="Accent4 5" xfId="575"/>
    <cellStyle name="Accent4 6" xfId="576"/>
    <cellStyle name="Accent4 7" xfId="577"/>
    <cellStyle name="Accent4 8" xfId="578"/>
    <cellStyle name="Accent4 9" xfId="579"/>
    <cellStyle name="Accent5 10" xfId="580"/>
    <cellStyle name="Accent5 11" xfId="581"/>
    <cellStyle name="Accent5 12" xfId="582"/>
    <cellStyle name="Accent5 13" xfId="583"/>
    <cellStyle name="Accent5 2" xfId="584"/>
    <cellStyle name="Accent5 2 2" xfId="585"/>
    <cellStyle name="Accent5 2 3" xfId="586"/>
    <cellStyle name="Accent5 3" xfId="587"/>
    <cellStyle name="Accent5 4" xfId="588"/>
    <cellStyle name="Accent5 5" xfId="589"/>
    <cellStyle name="Accent5 6" xfId="590"/>
    <cellStyle name="Accent5 7" xfId="591"/>
    <cellStyle name="Accent5 8" xfId="592"/>
    <cellStyle name="Accent5 9" xfId="593"/>
    <cellStyle name="Accent6 10" xfId="594"/>
    <cellStyle name="Accent6 11" xfId="595"/>
    <cellStyle name="Accent6 12" xfId="596"/>
    <cellStyle name="Accent6 13" xfId="597"/>
    <cellStyle name="Accent6 2" xfId="598"/>
    <cellStyle name="Accent6 2 2" xfId="599"/>
    <cellStyle name="Accent6 2 3" xfId="600"/>
    <cellStyle name="Accent6 3" xfId="601"/>
    <cellStyle name="Accent6 4" xfId="602"/>
    <cellStyle name="Accent6 5" xfId="603"/>
    <cellStyle name="Accent6 6" xfId="604"/>
    <cellStyle name="Accent6 7" xfId="605"/>
    <cellStyle name="Accent6 8" xfId="606"/>
    <cellStyle name="Accent6 9" xfId="607"/>
    <cellStyle name="ÅëÈ­ [0]_¿ì¹°Åë" xfId="608"/>
    <cellStyle name="AeE­ [0]_INQUIRY ¿?¾÷AßAø " xfId="609"/>
    <cellStyle name="ÅëÈ­ [0]_laroux" xfId="610"/>
    <cellStyle name="ÅëÈ­_¿ì¹°Åë" xfId="611"/>
    <cellStyle name="AeE­_INQUIRY ¿?¾÷AßAø " xfId="612"/>
    <cellStyle name="ÅëÈ­_laroux" xfId="613"/>
    <cellStyle name="ÄÞ¸¶ [0]_¿ì¹°Åë" xfId="614"/>
    <cellStyle name="AÞ¸¶ [0]_INQUIRY ¿?¾÷AßAø " xfId="615"/>
    <cellStyle name="ÄÞ¸¶ [0]_laroux" xfId="616"/>
    <cellStyle name="ÄÞ¸¶_¿ì¹°Åë" xfId="617"/>
    <cellStyle name="AÞ¸¶_INQUIRY ¿?¾÷AßAø " xfId="618"/>
    <cellStyle name="ÄÞ¸¶_laroux" xfId="619"/>
    <cellStyle name="Bad 10" xfId="620"/>
    <cellStyle name="Bad 11" xfId="621"/>
    <cellStyle name="Bad 12" xfId="622"/>
    <cellStyle name="Bad 13" xfId="623"/>
    <cellStyle name="Bad 2" xfId="624"/>
    <cellStyle name="Bad 2 2" xfId="625"/>
    <cellStyle name="Bad 2 3" xfId="626"/>
    <cellStyle name="Bad 3" xfId="627"/>
    <cellStyle name="Bad 4" xfId="628"/>
    <cellStyle name="Bad 5" xfId="629"/>
    <cellStyle name="Bad 6" xfId="630"/>
    <cellStyle name="Bad 7" xfId="631"/>
    <cellStyle name="Bad 8" xfId="632"/>
    <cellStyle name="Bad 9" xfId="633"/>
    <cellStyle name="Body" xfId="634"/>
    <cellStyle name="C?AØ_¿?¾÷CoE² " xfId="635"/>
    <cellStyle name="Ç¥ÁØ_´çÃÊ±¸ÀÔ»ý»ê" xfId="636"/>
    <cellStyle name="C￥AØ_¿μ¾÷CoE² " xfId="637"/>
    <cellStyle name="Ç¥ÁØ_±³°¢¼ö·®" xfId="638"/>
    <cellStyle name="C￥AØ_Sheet1_¿μ¾÷CoE² " xfId="639"/>
    <cellStyle name="Calc Currency (0)" xfId="640"/>
    <cellStyle name="Calc Currency (0) 2" xfId="641"/>
    <cellStyle name="Calc Currency (0) 3" xfId="642"/>
    <cellStyle name="Calc Currency (0)_Gui Ha" xfId="643"/>
    <cellStyle name="Calculation 10" xfId="644"/>
    <cellStyle name="Calculation 11" xfId="645"/>
    <cellStyle name="Calculation 12" xfId="646"/>
    <cellStyle name="Calculation 13" xfId="647"/>
    <cellStyle name="Calculation 2" xfId="648"/>
    <cellStyle name="Calculation 2 2" xfId="649"/>
    <cellStyle name="Calculation 2 3" xfId="650"/>
    <cellStyle name="Calculation 3" xfId="651"/>
    <cellStyle name="Calculation 4" xfId="652"/>
    <cellStyle name="Calculation 5" xfId="653"/>
    <cellStyle name="Calculation 6" xfId="654"/>
    <cellStyle name="Calculation 7" xfId="655"/>
    <cellStyle name="Calculation 8" xfId="656"/>
    <cellStyle name="Calculation 9" xfId="657"/>
    <cellStyle name="category" xfId="658"/>
    <cellStyle name="Change A&amp;ll" xfId="659"/>
    <cellStyle name="Check Cell 10" xfId="660"/>
    <cellStyle name="Check Cell 11" xfId="661"/>
    <cellStyle name="Check Cell 12" xfId="662"/>
    <cellStyle name="Check Cell 13" xfId="663"/>
    <cellStyle name="Check Cell 2" xfId="664"/>
    <cellStyle name="Check Cell 2 2" xfId="665"/>
    <cellStyle name="Check Cell 2 3" xfId="666"/>
    <cellStyle name="Check Cell 3" xfId="667"/>
    <cellStyle name="Check Cell 4" xfId="668"/>
    <cellStyle name="Check Cell 5" xfId="669"/>
    <cellStyle name="Check Cell 6" xfId="670"/>
    <cellStyle name="Check Cell 7" xfId="671"/>
    <cellStyle name="Check Cell 8" xfId="672"/>
    <cellStyle name="Check Cell 9" xfId="673"/>
    <cellStyle name="Chi phÝ kh¸c_Book1" xfId="674"/>
    <cellStyle name="Comma" xfId="675" builtinId="3"/>
    <cellStyle name="Comma [0] 10" xfId="676"/>
    <cellStyle name="Comma [0] 11" xfId="677"/>
    <cellStyle name="Comma [0] 12" xfId="678"/>
    <cellStyle name="Comma [0] 13" xfId="679"/>
    <cellStyle name="Comma [0] 2" xfId="680"/>
    <cellStyle name="Comma [0] 2 2" xfId="681"/>
    <cellStyle name="Comma [0] 2 3" xfId="682"/>
    <cellStyle name="Comma [0] 2 4" xfId="683"/>
    <cellStyle name="Comma [0] 3" xfId="684"/>
    <cellStyle name="Comma [0] 34" xfId="685"/>
    <cellStyle name="Comma [0] 34 2" xfId="686"/>
    <cellStyle name="Comma [0] 34 3" xfId="687"/>
    <cellStyle name="Comma [0] 4" xfId="688"/>
    <cellStyle name="Comma [0] 5" xfId="689"/>
    <cellStyle name="Comma [0] 6" xfId="690"/>
    <cellStyle name="Comma [0] 7" xfId="691"/>
    <cellStyle name="Comma [0] 8" xfId="692"/>
    <cellStyle name="Comma [0] 9" xfId="693"/>
    <cellStyle name="Comma 10" xfId="694"/>
    <cellStyle name="Comma 10 2" xfId="695"/>
    <cellStyle name="Comma 10 2 2" xfId="696"/>
    <cellStyle name="Comma 10 3" xfId="697"/>
    <cellStyle name="Comma 10 4" xfId="698"/>
    <cellStyle name="Comma 10 5" xfId="699"/>
    <cellStyle name="Comma 10 5 2" xfId="700"/>
    <cellStyle name="Comma 10 5 3" xfId="701"/>
    <cellStyle name="Comma 10 6" xfId="702"/>
    <cellStyle name="Comma 10_PM T9 -revised Q3 1.0.xls-adjust G11+FSJ" xfId="703"/>
    <cellStyle name="Comma 11" xfId="704"/>
    <cellStyle name="Comma 11 2" xfId="705"/>
    <cellStyle name="Comma 11_PM T9 -revised Q3 1.0.xls-adjust G11+FSJ" xfId="706"/>
    <cellStyle name="Comma 12" xfId="707"/>
    <cellStyle name="Comma 12 2" xfId="708"/>
    <cellStyle name="Comma 13" xfId="709"/>
    <cellStyle name="Comma 14" xfId="710"/>
    <cellStyle name="Comma 15" xfId="711"/>
    <cellStyle name="Comma 16" xfId="712"/>
    <cellStyle name="Comma 17" xfId="713"/>
    <cellStyle name="Comma 18" xfId="714"/>
    <cellStyle name="Comma 19" xfId="715"/>
    <cellStyle name="Comma 2" xfId="716"/>
    <cellStyle name="Comma 2 10" xfId="717"/>
    <cellStyle name="Comma 2 11" xfId="718"/>
    <cellStyle name="Comma 2 11 2" xfId="719"/>
    <cellStyle name="Comma 2 11 2 2" xfId="720"/>
    <cellStyle name="Comma 2 11 2 3" xfId="721"/>
    <cellStyle name="Comma 2 11 2 4" xfId="722"/>
    <cellStyle name="Comma 2 11 3" xfId="723"/>
    <cellStyle name="Comma 2 12" xfId="724"/>
    <cellStyle name="Comma 2 13" xfId="725"/>
    <cellStyle name="Comma 2 14" xfId="726"/>
    <cellStyle name="Comma 2 15" xfId="727"/>
    <cellStyle name="Comma 2 16" xfId="728"/>
    <cellStyle name="Comma 2 17" xfId="729"/>
    <cellStyle name="Comma 2 18" xfId="730"/>
    <cellStyle name="Comma 2 19" xfId="731"/>
    <cellStyle name="Comma 2 2" xfId="732"/>
    <cellStyle name="Comma 2 2 10" xfId="733"/>
    <cellStyle name="Comma 2 2 10 2" xfId="734"/>
    <cellStyle name="Comma 2 2 10 2 2" xfId="735"/>
    <cellStyle name="Comma 2 2 10 2 3" xfId="736"/>
    <cellStyle name="Comma 2 2 10 3" xfId="737"/>
    <cellStyle name="Comma 2 2 11" xfId="738"/>
    <cellStyle name="Comma 2 2 11 2" xfId="739"/>
    <cellStyle name="Comma 2 2 11 2 2" xfId="740"/>
    <cellStyle name="Comma 2 2 11 2 3" xfId="741"/>
    <cellStyle name="Comma 2 2 11 3" xfId="742"/>
    <cellStyle name="Comma 2 2 12" xfId="743"/>
    <cellStyle name="Comma 2 2 12 2" xfId="744"/>
    <cellStyle name="Comma 2 2 12 2 2" xfId="745"/>
    <cellStyle name="Comma 2 2 12 2 3" xfId="746"/>
    <cellStyle name="Comma 2 2 12 3" xfId="747"/>
    <cellStyle name="Comma 2 2 13" xfId="748"/>
    <cellStyle name="Comma 2 2 13 2" xfId="749"/>
    <cellStyle name="Comma 2 2 13 2 2" xfId="750"/>
    <cellStyle name="Comma 2 2 13 2 3" xfId="751"/>
    <cellStyle name="Comma 2 2 13 3" xfId="752"/>
    <cellStyle name="Comma 2 2 14" xfId="753"/>
    <cellStyle name="Comma 2 2 14 2" xfId="754"/>
    <cellStyle name="Comma 2 2 14 2 2" xfId="755"/>
    <cellStyle name="Comma 2 2 14 2 3" xfId="756"/>
    <cellStyle name="Comma 2 2 14 3" xfId="757"/>
    <cellStyle name="Comma 2 2 15" xfId="758"/>
    <cellStyle name="Comma 2 2 15 2" xfId="759"/>
    <cellStyle name="Comma 2 2 15 2 2" xfId="760"/>
    <cellStyle name="Comma 2 2 15 2 3" xfId="761"/>
    <cellStyle name="Comma 2 2 15 3" xfId="762"/>
    <cellStyle name="Comma 2 2 16" xfId="763"/>
    <cellStyle name="Comma 2 2 16 2" xfId="764"/>
    <cellStyle name="Comma 2 2 16 2 2" xfId="765"/>
    <cellStyle name="Comma 2 2 16 2 3" xfId="766"/>
    <cellStyle name="Comma 2 2 16 3" xfId="767"/>
    <cellStyle name="Comma 2 2 17" xfId="768"/>
    <cellStyle name="Comma 2 2 17 2" xfId="769"/>
    <cellStyle name="Comma 2 2 17 2 2" xfId="770"/>
    <cellStyle name="Comma 2 2 17 2 3" xfId="771"/>
    <cellStyle name="Comma 2 2 17 3" xfId="772"/>
    <cellStyle name="Comma 2 2 18" xfId="773"/>
    <cellStyle name="Comma 2 2 18 2" xfId="774"/>
    <cellStyle name="Comma 2 2 18 2 2" xfId="775"/>
    <cellStyle name="Comma 2 2 18 2 3" xfId="776"/>
    <cellStyle name="Comma 2 2 18 3" xfId="777"/>
    <cellStyle name="Comma 2 2 19" xfId="778"/>
    <cellStyle name="Comma 2 2 19 2" xfId="779"/>
    <cellStyle name="Comma 2 2 19 2 2" xfId="780"/>
    <cellStyle name="Comma 2 2 19 2 3" xfId="781"/>
    <cellStyle name="Comma 2 2 19 3" xfId="782"/>
    <cellStyle name="Comma 2 2 2" xfId="783"/>
    <cellStyle name="Comma 2 2 2 10" xfId="784"/>
    <cellStyle name="Comma 2 2 2 11" xfId="785"/>
    <cellStyle name="Comma 2 2 2 12" xfId="786"/>
    <cellStyle name="Comma 2 2 2 13" xfId="787"/>
    <cellStyle name="Comma 2 2 2 14" xfId="788"/>
    <cellStyle name="Comma 2 2 2 15" xfId="789"/>
    <cellStyle name="Comma 2 2 2 16" xfId="790"/>
    <cellStyle name="Comma 2 2 2 17" xfId="791"/>
    <cellStyle name="Comma 2 2 2 18" xfId="792"/>
    <cellStyle name="Comma 2 2 2 19" xfId="793"/>
    <cellStyle name="Comma 2 2 2 2" xfId="794"/>
    <cellStyle name="Comma 2 2 2 2 10" xfId="795"/>
    <cellStyle name="Comma 2 2 2 2 11" xfId="796"/>
    <cellStyle name="Comma 2 2 2 2 12" xfId="797"/>
    <cellStyle name="Comma 2 2 2 2 13" xfId="798"/>
    <cellStyle name="Comma 2 2 2 2 14" xfId="799"/>
    <cellStyle name="Comma 2 2 2 2 15" xfId="800"/>
    <cellStyle name="Comma 2 2 2 2 16" xfId="801"/>
    <cellStyle name="Comma 2 2 2 2 17" xfId="802"/>
    <cellStyle name="Comma 2 2 2 2 18" xfId="803"/>
    <cellStyle name="Comma 2 2 2 2 19" xfId="804"/>
    <cellStyle name="Comma 2 2 2 2 2" xfId="805"/>
    <cellStyle name="Comma 2 2 2 2 20" xfId="806"/>
    <cellStyle name="Comma 2 2 2 2 21" xfId="807"/>
    <cellStyle name="Comma 2 2 2 2 22" xfId="808"/>
    <cellStyle name="Comma 2 2 2 2 23" xfId="809"/>
    <cellStyle name="Comma 2 2 2 2 24" xfId="810"/>
    <cellStyle name="Comma 2 2 2 2 25" xfId="811"/>
    <cellStyle name="Comma 2 2 2 2 26" xfId="812"/>
    <cellStyle name="Comma 2 2 2 2 27" xfId="813"/>
    <cellStyle name="Comma 2 2 2 2 28" xfId="814"/>
    <cellStyle name="Comma 2 2 2 2 29" xfId="815"/>
    <cellStyle name="Comma 2 2 2 2 3" xfId="816"/>
    <cellStyle name="Comma 2 2 2 2 30" xfId="817"/>
    <cellStyle name="Comma 2 2 2 2 31" xfId="818"/>
    <cellStyle name="Comma 2 2 2 2 32" xfId="819"/>
    <cellStyle name="Comma 2 2 2 2 33" xfId="820"/>
    <cellStyle name="Comma 2 2 2 2 34" xfId="821"/>
    <cellStyle name="Comma 2 2 2 2 35" xfId="822"/>
    <cellStyle name="Comma 2 2 2 2 36" xfId="823"/>
    <cellStyle name="Comma 2 2 2 2 37" xfId="824"/>
    <cellStyle name="Comma 2 2 2 2 38" xfId="825"/>
    <cellStyle name="Comma 2 2 2 2 39" xfId="826"/>
    <cellStyle name="Comma 2 2 2 2 4" xfId="827"/>
    <cellStyle name="Comma 2 2 2 2 40" xfId="828"/>
    <cellStyle name="Comma 2 2 2 2 41" xfId="829"/>
    <cellStyle name="Comma 2 2 2 2 42" xfId="830"/>
    <cellStyle name="Comma 2 2 2 2 43" xfId="831"/>
    <cellStyle name="Comma 2 2 2 2 44" xfId="832"/>
    <cellStyle name="Comma 2 2 2 2 45" xfId="833"/>
    <cellStyle name="Comma 2 2 2 2 46" xfId="834"/>
    <cellStyle name="Comma 2 2 2 2 5" xfId="835"/>
    <cellStyle name="Comma 2 2 2 2 6" xfId="836"/>
    <cellStyle name="Comma 2 2 2 2 7" xfId="837"/>
    <cellStyle name="Comma 2 2 2 2 8" xfId="838"/>
    <cellStyle name="Comma 2 2 2 2 9" xfId="839"/>
    <cellStyle name="Comma 2 2 2 20" xfId="840"/>
    <cellStyle name="Comma 2 2 2 21" xfId="841"/>
    <cellStyle name="Comma 2 2 2 22" xfId="842"/>
    <cellStyle name="Comma 2 2 2 23" xfId="843"/>
    <cellStyle name="Comma 2 2 2 24" xfId="844"/>
    <cellStyle name="Comma 2 2 2 25" xfId="845"/>
    <cellStyle name="Comma 2 2 2 26" xfId="846"/>
    <cellStyle name="Comma 2 2 2 27" xfId="847"/>
    <cellStyle name="Comma 2 2 2 28" xfId="848"/>
    <cellStyle name="Comma 2 2 2 29" xfId="849"/>
    <cellStyle name="Comma 2 2 2 3" xfId="850"/>
    <cellStyle name="Comma 2 2 2 3 2" xfId="851"/>
    <cellStyle name="Comma 2 2 2 3 2 2" xfId="852"/>
    <cellStyle name="Comma 2 2 2 3 2 3" xfId="853"/>
    <cellStyle name="Comma 2 2 2 3 3" xfId="854"/>
    <cellStyle name="Comma 2 2 2 30" xfId="855"/>
    <cellStyle name="Comma 2 2 2 31" xfId="856"/>
    <cellStyle name="Comma 2 2 2 32" xfId="857"/>
    <cellStyle name="Comma 2 2 2 33" xfId="858"/>
    <cellStyle name="Comma 2 2 2 34" xfId="859"/>
    <cellStyle name="Comma 2 2 2 35" xfId="860"/>
    <cellStyle name="Comma 2 2 2 36" xfId="861"/>
    <cellStyle name="Comma 2 2 2 37" xfId="862"/>
    <cellStyle name="Comma 2 2 2 38" xfId="863"/>
    <cellStyle name="Comma 2 2 2 39" xfId="864"/>
    <cellStyle name="Comma 2 2 2 4" xfId="865"/>
    <cellStyle name="Comma 2 2 2 40" xfId="866"/>
    <cellStyle name="Comma 2 2 2 41" xfId="867"/>
    <cellStyle name="Comma 2 2 2 42" xfId="868"/>
    <cellStyle name="Comma 2 2 2 43" xfId="869"/>
    <cellStyle name="Comma 2 2 2 44" xfId="870"/>
    <cellStyle name="Comma 2 2 2 45" xfId="871"/>
    <cellStyle name="Comma 2 2 2 46" xfId="872"/>
    <cellStyle name="Comma 2 2 2 47" xfId="873"/>
    <cellStyle name="Comma 2 2 2 5" xfId="874"/>
    <cellStyle name="Comma 2 2 2 5 2" xfId="875"/>
    <cellStyle name="Comma 2 2 2 6" xfId="876"/>
    <cellStyle name="Comma 2 2 2 7" xfId="877"/>
    <cellStyle name="Comma 2 2 2 8" xfId="878"/>
    <cellStyle name="Comma 2 2 2 9" xfId="879"/>
    <cellStyle name="Comma 2 2 20" xfId="880"/>
    <cellStyle name="Comma 2 2 20 2" xfId="881"/>
    <cellStyle name="Comma 2 2 20 2 2" xfId="882"/>
    <cellStyle name="Comma 2 2 20 2 3" xfId="883"/>
    <cellStyle name="Comma 2 2 20 3" xfId="884"/>
    <cellStyle name="Comma 2 2 21" xfId="885"/>
    <cellStyle name="Comma 2 2 21 2" xfId="886"/>
    <cellStyle name="Comma 2 2 21 2 2" xfId="887"/>
    <cellStyle name="Comma 2 2 21 2 3" xfId="888"/>
    <cellStyle name="Comma 2 2 21 3" xfId="889"/>
    <cellStyle name="Comma 2 2 22" xfId="890"/>
    <cellStyle name="Comma 2 2 22 2" xfId="891"/>
    <cellStyle name="Comma 2 2 22 2 2" xfId="892"/>
    <cellStyle name="Comma 2 2 22 2 3" xfId="893"/>
    <cellStyle name="Comma 2 2 22 3" xfId="894"/>
    <cellStyle name="Comma 2 2 23" xfId="895"/>
    <cellStyle name="Comma 2 2 23 2" xfId="896"/>
    <cellStyle name="Comma 2 2 23 2 2" xfId="897"/>
    <cellStyle name="Comma 2 2 23 2 3" xfId="898"/>
    <cellStyle name="Comma 2 2 23 3" xfId="899"/>
    <cellStyle name="Comma 2 2 24" xfId="900"/>
    <cellStyle name="Comma 2 2 24 2" xfId="901"/>
    <cellStyle name="Comma 2 2 24 2 2" xfId="902"/>
    <cellStyle name="Comma 2 2 24 2 3" xfId="903"/>
    <cellStyle name="Comma 2 2 24 3" xfId="904"/>
    <cellStyle name="Comma 2 2 25" xfId="905"/>
    <cellStyle name="Comma 2 2 25 2" xfId="906"/>
    <cellStyle name="Comma 2 2 25 2 2" xfId="907"/>
    <cellStyle name="Comma 2 2 25 2 3" xfId="908"/>
    <cellStyle name="Comma 2 2 25 3" xfId="909"/>
    <cellStyle name="Comma 2 2 26" xfId="910"/>
    <cellStyle name="Comma 2 2 26 2" xfId="911"/>
    <cellStyle name="Comma 2 2 26 2 2" xfId="912"/>
    <cellStyle name="Comma 2 2 26 2 3" xfId="913"/>
    <cellStyle name="Comma 2 2 26 3" xfId="914"/>
    <cellStyle name="Comma 2 2 27" xfId="915"/>
    <cellStyle name="Comma 2 2 27 2" xfId="916"/>
    <cellStyle name="Comma 2 2 27 2 2" xfId="917"/>
    <cellStyle name="Comma 2 2 27 2 3" xfId="918"/>
    <cellStyle name="Comma 2 2 27 3" xfId="919"/>
    <cellStyle name="Comma 2 2 28" xfId="920"/>
    <cellStyle name="Comma 2 2 28 2" xfId="921"/>
    <cellStyle name="Comma 2 2 28 2 2" xfId="922"/>
    <cellStyle name="Comma 2 2 28 2 3" xfId="923"/>
    <cellStyle name="Comma 2 2 28 3" xfId="924"/>
    <cellStyle name="Comma 2 2 29" xfId="925"/>
    <cellStyle name="Comma 2 2 29 2" xfId="926"/>
    <cellStyle name="Comma 2 2 29 2 2" xfId="927"/>
    <cellStyle name="Comma 2 2 29 2 3" xfId="928"/>
    <cellStyle name="Comma 2 2 29 3" xfId="929"/>
    <cellStyle name="Comma 2 2 3" xfId="930"/>
    <cellStyle name="Comma 2 2 3 2" xfId="931"/>
    <cellStyle name="Comma 2 2 3 2 2" xfId="932"/>
    <cellStyle name="Comma 2 2 3 2 2 2" xfId="933"/>
    <cellStyle name="Comma 2 2 3 2 2 3" xfId="934"/>
    <cellStyle name="Comma 2 2 3 2 3" xfId="935"/>
    <cellStyle name="Comma 2 2 3 2 4" xfId="936"/>
    <cellStyle name="Comma 2 2 3 3" xfId="937"/>
    <cellStyle name="Comma 2 2 3 3 2" xfId="938"/>
    <cellStyle name="Comma 2 2 3 3 2 2" xfId="939"/>
    <cellStyle name="Comma 2 2 3 3 2 3" xfId="940"/>
    <cellStyle name="Comma 2 2 3 3 3" xfId="941"/>
    <cellStyle name="Comma 2 2 3 4" xfId="942"/>
    <cellStyle name="Comma 2 2 3 4 2" xfId="943"/>
    <cellStyle name="Comma 2 2 3 4 2 2" xfId="944"/>
    <cellStyle name="Comma 2 2 3 4 2 3" xfId="945"/>
    <cellStyle name="Comma 2 2 3 4 3" xfId="946"/>
    <cellStyle name="Comma 2 2 3 5" xfId="947"/>
    <cellStyle name="Comma 2 2 3 5 2" xfId="948"/>
    <cellStyle name="Comma 2 2 3 6" xfId="949"/>
    <cellStyle name="Comma 2 2 3 7" xfId="950"/>
    <cellStyle name="Comma 2 2 30" xfId="951"/>
    <cellStyle name="Comma 2 2 30 2" xfId="952"/>
    <cellStyle name="Comma 2 2 30 2 2" xfId="953"/>
    <cellStyle name="Comma 2 2 30 2 3" xfId="954"/>
    <cellStyle name="Comma 2 2 30 3" xfId="955"/>
    <cellStyle name="Comma 2 2 31" xfId="956"/>
    <cellStyle name="Comma 2 2 31 2" xfId="957"/>
    <cellStyle name="Comma 2 2 31 2 2" xfId="958"/>
    <cellStyle name="Comma 2 2 31 2 3" xfId="959"/>
    <cellStyle name="Comma 2 2 31 3" xfId="960"/>
    <cellStyle name="Comma 2 2 32" xfId="961"/>
    <cellStyle name="Comma 2 2 32 2" xfId="962"/>
    <cellStyle name="Comma 2 2 32 2 2" xfId="963"/>
    <cellStyle name="Comma 2 2 32 2 3" xfId="964"/>
    <cellStyle name="Comma 2 2 32 3" xfId="965"/>
    <cellStyle name="Comma 2 2 33" xfId="966"/>
    <cellStyle name="Comma 2 2 33 2" xfId="967"/>
    <cellStyle name="Comma 2 2 33 2 2" xfId="968"/>
    <cellStyle name="Comma 2 2 33 2 3" xfId="969"/>
    <cellStyle name="Comma 2 2 33 3" xfId="970"/>
    <cellStyle name="Comma 2 2 34" xfId="971"/>
    <cellStyle name="Comma 2 2 34 2" xfId="972"/>
    <cellStyle name="Comma 2 2 34 3" xfId="973"/>
    <cellStyle name="Comma 2 2 35" xfId="974"/>
    <cellStyle name="Comma 2 2 35 2" xfId="975"/>
    <cellStyle name="Comma 2 2 35 3" xfId="976"/>
    <cellStyle name="Comma 2 2 36" xfId="977"/>
    <cellStyle name="Comma 2 2 36 2" xfId="978"/>
    <cellStyle name="Comma 2 2 36 2 2" xfId="979"/>
    <cellStyle name="Comma 2 2 36 3" xfId="980"/>
    <cellStyle name="Comma 2 2 37" xfId="981"/>
    <cellStyle name="Comma 2 2 38" xfId="982"/>
    <cellStyle name="Comma 2 2 39" xfId="983"/>
    <cellStyle name="Comma 2 2 4" xfId="984"/>
    <cellStyle name="Comma 2 2 4 2" xfId="985"/>
    <cellStyle name="Comma 2 2 4 3" xfId="986"/>
    <cellStyle name="Comma 2 2 40" xfId="987"/>
    <cellStyle name="Comma 2 2 41" xfId="988"/>
    <cellStyle name="Comma 2 2 42" xfId="989"/>
    <cellStyle name="Comma 2 2 43" xfId="990"/>
    <cellStyle name="Comma 2 2 44" xfId="991"/>
    <cellStyle name="Comma 2 2 45" xfId="992"/>
    <cellStyle name="Comma 2 2 46" xfId="993"/>
    <cellStyle name="Comma 2 2 47" xfId="994"/>
    <cellStyle name="Comma 2 2 48" xfId="995"/>
    <cellStyle name="Comma 2 2 49" xfId="996"/>
    <cellStyle name="Comma 2 2 5" xfId="997"/>
    <cellStyle name="Comma 2 2 50" xfId="998"/>
    <cellStyle name="Comma 2 2 51" xfId="999"/>
    <cellStyle name="Comma 2 2 52" xfId="1000"/>
    <cellStyle name="Comma 2 2 53" xfId="1001"/>
    <cellStyle name="Comma 2 2 6" xfId="1002"/>
    <cellStyle name="Comma 2 2 7" xfId="1003"/>
    <cellStyle name="Comma 2 2 8" xfId="1004"/>
    <cellStyle name="Comma 2 2 9" xfId="1005"/>
    <cellStyle name="Comma 2 20" xfId="1006"/>
    <cellStyle name="Comma 2 21" xfId="1007"/>
    <cellStyle name="Comma 2 22" xfId="1008"/>
    <cellStyle name="Comma 2 23" xfId="1009"/>
    <cellStyle name="Comma 2 24" xfId="1010"/>
    <cellStyle name="Comma 2 25" xfId="1011"/>
    <cellStyle name="Comma 2 26" xfId="1012"/>
    <cellStyle name="Comma 2 27" xfId="1013"/>
    <cellStyle name="Comma 2 28" xfId="1014"/>
    <cellStyle name="Comma 2 29" xfId="1015"/>
    <cellStyle name="Comma 2 3" xfId="1016"/>
    <cellStyle name="Comma 2 30" xfId="1017"/>
    <cellStyle name="Comma 2 31" xfId="1018"/>
    <cellStyle name="Comma 2 32" xfId="1019"/>
    <cellStyle name="Comma 2 33" xfId="1020"/>
    <cellStyle name="Comma 2 34" xfId="1021"/>
    <cellStyle name="Comma 2 35" xfId="1022"/>
    <cellStyle name="Comma 2 35 2" xfId="1023"/>
    <cellStyle name="Comma 2 35_Gui Ha" xfId="1024"/>
    <cellStyle name="Comma 2 36" xfId="1025"/>
    <cellStyle name="Comma 2 37" xfId="1026"/>
    <cellStyle name="Comma 2 38" xfId="1027"/>
    <cellStyle name="Comma 2 39" xfId="1028"/>
    <cellStyle name="Comma 2 4" xfId="1029"/>
    <cellStyle name="Comma 2 4 2" xfId="1030"/>
    <cellStyle name="Comma 2 4 3" xfId="1031"/>
    <cellStyle name="Comma 2 4 4" xfId="1032"/>
    <cellStyle name="Comma 2 40" xfId="1033"/>
    <cellStyle name="Comma 2 41" xfId="1034"/>
    <cellStyle name="Comma 2 42" xfId="1035"/>
    <cellStyle name="Comma 2 43" xfId="1036"/>
    <cellStyle name="Comma 2 44" xfId="1037"/>
    <cellStyle name="Comma 2 45" xfId="1038"/>
    <cellStyle name="Comma 2 46" xfId="1039"/>
    <cellStyle name="Comma 2 47" xfId="1040"/>
    <cellStyle name="Comma 2 48" xfId="1041"/>
    <cellStyle name="Comma 2 49" xfId="1042"/>
    <cellStyle name="Comma 2 5" xfId="1043"/>
    <cellStyle name="Comma 2 6" xfId="1044"/>
    <cellStyle name="Comma 2 7" xfId="1045"/>
    <cellStyle name="Comma 2 8" xfId="1046"/>
    <cellStyle name="Comma 2 9" xfId="1047"/>
    <cellStyle name="Comma 20" xfId="1048"/>
    <cellStyle name="Comma 21" xfId="1049"/>
    <cellStyle name="Comma 22" xfId="1050"/>
    <cellStyle name="Comma 23" xfId="1051"/>
    <cellStyle name="Comma 24" xfId="1052"/>
    <cellStyle name="Comma 25" xfId="1053"/>
    <cellStyle name="Comma 26" xfId="1054"/>
    <cellStyle name="Comma 27" xfId="1055"/>
    <cellStyle name="Comma 28" xfId="1056"/>
    <cellStyle name="Comma 29" xfId="1057"/>
    <cellStyle name="Comma 29 2" xfId="3433"/>
    <cellStyle name="Comma 3" xfId="1058"/>
    <cellStyle name="Comma 3 10" xfId="1059"/>
    <cellStyle name="Comma 3 11" xfId="1060"/>
    <cellStyle name="Comma 3 12" xfId="1061"/>
    <cellStyle name="Comma 3 13" xfId="1062"/>
    <cellStyle name="Comma 3 14" xfId="1063"/>
    <cellStyle name="Comma 3 15" xfId="1064"/>
    <cellStyle name="Comma 3 16" xfId="1065"/>
    <cellStyle name="Comma 3 17" xfId="1066"/>
    <cellStyle name="Comma 3 18" xfId="1067"/>
    <cellStyle name="Comma 3 19" xfId="1068"/>
    <cellStyle name="Comma 3 2" xfId="1069"/>
    <cellStyle name="Comma 3 2 10" xfId="1070"/>
    <cellStyle name="Comma 3 2 11" xfId="1071"/>
    <cellStyle name="Comma 3 2 12" xfId="1072"/>
    <cellStyle name="Comma 3 2 13" xfId="1073"/>
    <cellStyle name="Comma 3 2 14" xfId="1074"/>
    <cellStyle name="Comma 3 2 15" xfId="1075"/>
    <cellStyle name="Comma 3 2 16" xfId="1076"/>
    <cellStyle name="Comma 3 2 17" xfId="1077"/>
    <cellStyle name="Comma 3 2 18" xfId="1078"/>
    <cellStyle name="Comma 3 2 19" xfId="1079"/>
    <cellStyle name="Comma 3 2 2" xfId="1080"/>
    <cellStyle name="Comma 3 2 2 10" xfId="1081"/>
    <cellStyle name="Comma 3 2 2 11" xfId="1082"/>
    <cellStyle name="Comma 3 2 2 12" xfId="1083"/>
    <cellStyle name="Comma 3 2 2 13" xfId="1084"/>
    <cellStyle name="Comma 3 2 2 14" xfId="1085"/>
    <cellStyle name="Comma 3 2 2 15" xfId="1086"/>
    <cellStyle name="Comma 3 2 2 16" xfId="1087"/>
    <cellStyle name="Comma 3 2 2 17" xfId="1088"/>
    <cellStyle name="Comma 3 2 2 18" xfId="1089"/>
    <cellStyle name="Comma 3 2 2 19" xfId="1090"/>
    <cellStyle name="Comma 3 2 2 2" xfId="1091"/>
    <cellStyle name="Comma 3 2 2 2 10" xfId="1092"/>
    <cellStyle name="Comma 3 2 2 2 11" xfId="1093"/>
    <cellStyle name="Comma 3 2 2 2 12" xfId="1094"/>
    <cellStyle name="Comma 3 2 2 2 13" xfId="1095"/>
    <cellStyle name="Comma 3 2 2 2 14" xfId="1096"/>
    <cellStyle name="Comma 3 2 2 2 15" xfId="1097"/>
    <cellStyle name="Comma 3 2 2 2 16" xfId="1098"/>
    <cellStyle name="Comma 3 2 2 2 17" xfId="1099"/>
    <cellStyle name="Comma 3 2 2 2 18" xfId="1100"/>
    <cellStyle name="Comma 3 2 2 2 19" xfId="1101"/>
    <cellStyle name="Comma 3 2 2 2 2" xfId="1102"/>
    <cellStyle name="Comma 3 2 2 2 2 2" xfId="1103"/>
    <cellStyle name="Comma 3 2 2 2 2 3" xfId="1104"/>
    <cellStyle name="Comma 3 2 2 2 20" xfId="1105"/>
    <cellStyle name="Comma 3 2 2 2 21" xfId="1106"/>
    <cellStyle name="Comma 3 2 2 2 22" xfId="1107"/>
    <cellStyle name="Comma 3 2 2 2 23" xfId="1108"/>
    <cellStyle name="Comma 3 2 2 2 24" xfId="1109"/>
    <cellStyle name="Comma 3 2 2 2 25" xfId="1110"/>
    <cellStyle name="Comma 3 2 2 2 26" xfId="1111"/>
    <cellStyle name="Comma 3 2 2 2 27" xfId="1112"/>
    <cellStyle name="Comma 3 2 2 2 28" xfId="1113"/>
    <cellStyle name="Comma 3 2 2 2 29" xfId="1114"/>
    <cellStyle name="Comma 3 2 2 2 3" xfId="1115"/>
    <cellStyle name="Comma 3 2 2 2 30" xfId="1116"/>
    <cellStyle name="Comma 3 2 2 2 31" xfId="1117"/>
    <cellStyle name="Comma 3 2 2 2 32" xfId="1118"/>
    <cellStyle name="Comma 3 2 2 2 33" xfId="1119"/>
    <cellStyle name="Comma 3 2 2 2 34" xfId="1120"/>
    <cellStyle name="Comma 3 2 2 2 35" xfId="1121"/>
    <cellStyle name="Comma 3 2 2 2 36" xfId="1122"/>
    <cellStyle name="Comma 3 2 2 2 37" xfId="1123"/>
    <cellStyle name="Comma 3 2 2 2 38" xfId="1124"/>
    <cellStyle name="Comma 3 2 2 2 39" xfId="1125"/>
    <cellStyle name="Comma 3 2 2 2 4" xfId="1126"/>
    <cellStyle name="Comma 3 2 2 2 40" xfId="1127"/>
    <cellStyle name="Comma 3 2 2 2 41" xfId="1128"/>
    <cellStyle name="Comma 3 2 2 2 42" xfId="1129"/>
    <cellStyle name="Comma 3 2 2 2 43" xfId="1130"/>
    <cellStyle name="Comma 3 2 2 2 44" xfId="1131"/>
    <cellStyle name="Comma 3 2 2 2 45" xfId="1132"/>
    <cellStyle name="Comma 3 2 2 2 46" xfId="1133"/>
    <cellStyle name="Comma 3 2 2 2 47" xfId="1134"/>
    <cellStyle name="Comma 3 2 2 2 5" xfId="1135"/>
    <cellStyle name="Comma 3 2 2 2 6" xfId="1136"/>
    <cellStyle name="Comma 3 2 2 2 7" xfId="1137"/>
    <cellStyle name="Comma 3 2 2 2 8" xfId="1138"/>
    <cellStyle name="Comma 3 2 2 2 9" xfId="1139"/>
    <cellStyle name="Comma 3 2 2 20" xfId="1140"/>
    <cellStyle name="Comma 3 2 2 21" xfId="1141"/>
    <cellStyle name="Comma 3 2 2 22" xfId="1142"/>
    <cellStyle name="Comma 3 2 2 23" xfId="1143"/>
    <cellStyle name="Comma 3 2 2 24" xfId="1144"/>
    <cellStyle name="Comma 3 2 2 25" xfId="1145"/>
    <cellStyle name="Comma 3 2 2 26" xfId="1146"/>
    <cellStyle name="Comma 3 2 2 27" xfId="1147"/>
    <cellStyle name="Comma 3 2 2 28" xfId="1148"/>
    <cellStyle name="Comma 3 2 2 29" xfId="1149"/>
    <cellStyle name="Comma 3 2 2 3" xfId="1150"/>
    <cellStyle name="Comma 3 2 2 30" xfId="1151"/>
    <cellStyle name="Comma 3 2 2 31" xfId="1152"/>
    <cellStyle name="Comma 3 2 2 32" xfId="1153"/>
    <cellStyle name="Comma 3 2 2 33" xfId="1154"/>
    <cellStyle name="Comma 3 2 2 34" xfId="1155"/>
    <cellStyle name="Comma 3 2 2 35" xfId="1156"/>
    <cellStyle name="Comma 3 2 2 36" xfId="1157"/>
    <cellStyle name="Comma 3 2 2 37" xfId="1158"/>
    <cellStyle name="Comma 3 2 2 38" xfId="1159"/>
    <cellStyle name="Comma 3 2 2 39" xfId="1160"/>
    <cellStyle name="Comma 3 2 2 4" xfId="1161"/>
    <cellStyle name="Comma 3 2 2 40" xfId="1162"/>
    <cellStyle name="Comma 3 2 2 41" xfId="1163"/>
    <cellStyle name="Comma 3 2 2 42" xfId="1164"/>
    <cellStyle name="Comma 3 2 2 43" xfId="1165"/>
    <cellStyle name="Comma 3 2 2 44" xfId="1166"/>
    <cellStyle name="Comma 3 2 2 45" xfId="1167"/>
    <cellStyle name="Comma 3 2 2 46" xfId="1168"/>
    <cellStyle name="Comma 3 2 2 47" xfId="1169"/>
    <cellStyle name="Comma 3 2 2 48" xfId="1170"/>
    <cellStyle name="Comma 3 2 2 49" xfId="1171"/>
    <cellStyle name="Comma 3 2 2 5" xfId="1172"/>
    <cellStyle name="Comma 3 2 2 6" xfId="1173"/>
    <cellStyle name="Comma 3 2 2 7" xfId="1174"/>
    <cellStyle name="Comma 3 2 2 8" xfId="1175"/>
    <cellStyle name="Comma 3 2 2 9" xfId="1176"/>
    <cellStyle name="Comma 3 2 20" xfId="1177"/>
    <cellStyle name="Comma 3 2 21" xfId="1178"/>
    <cellStyle name="Comma 3 2 22" xfId="1179"/>
    <cellStyle name="Comma 3 2 23" xfId="1180"/>
    <cellStyle name="Comma 3 2 24" xfId="1181"/>
    <cellStyle name="Comma 3 2 25" xfId="1182"/>
    <cellStyle name="Comma 3 2 26" xfId="1183"/>
    <cellStyle name="Comma 3 2 27" xfId="1184"/>
    <cellStyle name="Comma 3 2 28" xfId="1185"/>
    <cellStyle name="Comma 3 2 29" xfId="1186"/>
    <cellStyle name="Comma 3 2 3" xfId="1187"/>
    <cellStyle name="Comma 3 2 3 2" xfId="1188"/>
    <cellStyle name="Comma 3 2 3 2 2" xfId="1189"/>
    <cellStyle name="Comma 3 2 3 2 3" xfId="1190"/>
    <cellStyle name="Comma 3 2 3 3" xfId="1191"/>
    <cellStyle name="Comma 3 2 3 4" xfId="1192"/>
    <cellStyle name="Comma 3 2 3 5" xfId="1193"/>
    <cellStyle name="Comma 3 2 30" xfId="1194"/>
    <cellStyle name="Comma 3 2 31" xfId="1195"/>
    <cellStyle name="Comma 3 2 32" xfId="1196"/>
    <cellStyle name="Comma 3 2 33" xfId="1197"/>
    <cellStyle name="Comma 3 2 34" xfId="1198"/>
    <cellStyle name="Comma 3 2 35" xfId="1199"/>
    <cellStyle name="Comma 3 2 36" xfId="1200"/>
    <cellStyle name="Comma 3 2 37" xfId="1201"/>
    <cellStyle name="Comma 3 2 38" xfId="1202"/>
    <cellStyle name="Comma 3 2 39" xfId="1203"/>
    <cellStyle name="Comma 3 2 4" xfId="1204"/>
    <cellStyle name="Comma 3 2 4 2" xfId="1205"/>
    <cellStyle name="Comma 3 2 4 2 2" xfId="1206"/>
    <cellStyle name="Comma 3 2 4 2 3" xfId="1207"/>
    <cellStyle name="Comma 3 2 4 3" xfId="1208"/>
    <cellStyle name="Comma 3 2 4 4" xfId="1209"/>
    <cellStyle name="Comma 3 2 4 5" xfId="1210"/>
    <cellStyle name="Comma 3 2 40" xfId="1211"/>
    <cellStyle name="Comma 3 2 41" xfId="1212"/>
    <cellStyle name="Comma 3 2 42" xfId="1213"/>
    <cellStyle name="Comma 3 2 43" xfId="1214"/>
    <cellStyle name="Comma 3 2 44" xfId="1215"/>
    <cellStyle name="Comma 3 2 45" xfId="1216"/>
    <cellStyle name="Comma 3 2 46" xfId="1217"/>
    <cellStyle name="Comma 3 2 47" xfId="1218"/>
    <cellStyle name="Comma 3 2 48" xfId="1219"/>
    <cellStyle name="Comma 3 2 49" xfId="1220"/>
    <cellStyle name="Comma 3 2 5" xfId="1221"/>
    <cellStyle name="Comma 3 2 50" xfId="1222"/>
    <cellStyle name="Comma 3 2 51" xfId="1223"/>
    <cellStyle name="Comma 3 2 52" xfId="1224"/>
    <cellStyle name="Comma 3 2 53" xfId="1225"/>
    <cellStyle name="Comma 3 2 54" xfId="1226"/>
    <cellStyle name="Comma 3 2 6" xfId="1227"/>
    <cellStyle name="Comma 3 2 7" xfId="1228"/>
    <cellStyle name="Comma 3 2 8" xfId="1229"/>
    <cellStyle name="Comma 3 2 8 2" xfId="1230"/>
    <cellStyle name="Comma 3 2 9" xfId="1231"/>
    <cellStyle name="Comma 3 20" xfId="1232"/>
    <cellStyle name="Comma 3 21" xfId="1233"/>
    <cellStyle name="Comma 3 22" xfId="1234"/>
    <cellStyle name="Comma 3 23" xfId="1235"/>
    <cellStyle name="Comma 3 24" xfId="1236"/>
    <cellStyle name="Comma 3 25" xfId="1237"/>
    <cellStyle name="Comma 3 26" xfId="1238"/>
    <cellStyle name="Comma 3 27" xfId="1239"/>
    <cellStyle name="Comma 3 27 2" xfId="1240"/>
    <cellStyle name="Comma 3 27 2 2" xfId="1241"/>
    <cellStyle name="Comma 3 27 2 3" xfId="1242"/>
    <cellStyle name="Comma 3 27 3" xfId="1243"/>
    <cellStyle name="Comma 3 28" xfId="1244"/>
    <cellStyle name="Comma 3 28 2" xfId="1245"/>
    <cellStyle name="Comma 3 28 2 2" xfId="1246"/>
    <cellStyle name="Comma 3 28 2 3" xfId="1247"/>
    <cellStyle name="Comma 3 28 3" xfId="1248"/>
    <cellStyle name="Comma 3 29" xfId="1249"/>
    <cellStyle name="Comma 3 3" xfId="1250"/>
    <cellStyle name="Comma 3 3 2" xfId="1251"/>
    <cellStyle name="Comma 3 3 2 2" xfId="1252"/>
    <cellStyle name="Comma 3 3 2 2 2" xfId="1253"/>
    <cellStyle name="Comma 3 3 2 2 3" xfId="1254"/>
    <cellStyle name="Comma 3 3 2 3" xfId="1255"/>
    <cellStyle name="Comma 3 3 3" xfId="1256"/>
    <cellStyle name="Comma 3 3 3 2" xfId="1257"/>
    <cellStyle name="Comma 3 3 3 2 2" xfId="1258"/>
    <cellStyle name="Comma 3 3 3 2 3" xfId="1259"/>
    <cellStyle name="Comma 3 3 3 3" xfId="1260"/>
    <cellStyle name="Comma 3 3 4" xfId="1261"/>
    <cellStyle name="Comma 3 3 4 2" xfId="1262"/>
    <cellStyle name="Comma 3 3 4 2 2" xfId="1263"/>
    <cellStyle name="Comma 3 3 4 2 3" xfId="1264"/>
    <cellStyle name="Comma 3 3 4 3" xfId="1265"/>
    <cellStyle name="Comma 3 3 5" xfId="1266"/>
    <cellStyle name="Comma 3 3 6" xfId="1267"/>
    <cellStyle name="Comma 3 3_PM T9 -revised Q3 1.0.xls-adjust G11+FSJ" xfId="1268"/>
    <cellStyle name="Comma 3 30" xfId="1269"/>
    <cellStyle name="Comma 3 31" xfId="1270"/>
    <cellStyle name="Comma 3 32" xfId="1271"/>
    <cellStyle name="Comma 3 33" xfId="1272"/>
    <cellStyle name="Comma 3 34" xfId="1273"/>
    <cellStyle name="Comma 3 35" xfId="1274"/>
    <cellStyle name="Comma 3 36" xfId="1275"/>
    <cellStyle name="Comma 3 37" xfId="1276"/>
    <cellStyle name="Comma 3 38" xfId="1277"/>
    <cellStyle name="Comma 3 39" xfId="1278"/>
    <cellStyle name="Comma 3 4" xfId="1279"/>
    <cellStyle name="Comma 3 40" xfId="1280"/>
    <cellStyle name="Comma 3 41" xfId="1281"/>
    <cellStyle name="Comma 3 42" xfId="1282"/>
    <cellStyle name="Comma 3 43" xfId="1283"/>
    <cellStyle name="Comma 3 44" xfId="1284"/>
    <cellStyle name="Comma 3 45" xfId="1285"/>
    <cellStyle name="Comma 3 46" xfId="1286"/>
    <cellStyle name="Comma 3 47" xfId="1287"/>
    <cellStyle name="Comma 3 48" xfId="1288"/>
    <cellStyle name="Comma 3 49" xfId="1289"/>
    <cellStyle name="Comma 3 5" xfId="1290"/>
    <cellStyle name="Comma 3 5 2" xfId="1291"/>
    <cellStyle name="Comma 3 5 2 2" xfId="1292"/>
    <cellStyle name="Comma 3 5 2 3" xfId="1293"/>
    <cellStyle name="Comma 3 5 3" xfId="1294"/>
    <cellStyle name="Comma 3 50" xfId="1295"/>
    <cellStyle name="Comma 3 51" xfId="1296"/>
    <cellStyle name="Comma 3 52" xfId="1297"/>
    <cellStyle name="Comma 3 53" xfId="1298"/>
    <cellStyle name="Comma 3 54" xfId="1299"/>
    <cellStyle name="Comma 3 55" xfId="1300"/>
    <cellStyle name="Comma 3 56" xfId="1301"/>
    <cellStyle name="Comma 3 57" xfId="1302"/>
    <cellStyle name="Comma 3 58" xfId="1303"/>
    <cellStyle name="Comma 3 59" xfId="1304"/>
    <cellStyle name="Comma 3 6" xfId="1305"/>
    <cellStyle name="Comma 3 6 2" xfId="1306"/>
    <cellStyle name="Comma 3 6 2 2" xfId="1307"/>
    <cellStyle name="Comma 3 6 2 3" xfId="1308"/>
    <cellStyle name="Comma 3 6 3" xfId="1309"/>
    <cellStyle name="Comma 3 60" xfId="1310"/>
    <cellStyle name="Comma 3 61" xfId="1311"/>
    <cellStyle name="Comma 3 62" xfId="1312"/>
    <cellStyle name="Comma 3 63" xfId="1313"/>
    <cellStyle name="Comma 3 64" xfId="1314"/>
    <cellStyle name="Comma 3 65" xfId="1315"/>
    <cellStyle name="Comma 3 66" xfId="1316"/>
    <cellStyle name="Comma 3 67" xfId="1317"/>
    <cellStyle name="Comma 3 68" xfId="1318"/>
    <cellStyle name="Comma 3 69" xfId="1319"/>
    <cellStyle name="Comma 3 7" xfId="1320"/>
    <cellStyle name="Comma 3 7 2" xfId="1321"/>
    <cellStyle name="Comma 3 7 3" xfId="1322"/>
    <cellStyle name="Comma 3 70" xfId="1323"/>
    <cellStyle name="Comma 3 71" xfId="1324"/>
    <cellStyle name="Comma 3 72" xfId="1325"/>
    <cellStyle name="Comma 3 73" xfId="1326"/>
    <cellStyle name="Comma 3 74" xfId="1327"/>
    <cellStyle name="Comma 3 8" xfId="1328"/>
    <cellStyle name="Comma 3 8 2" xfId="1329"/>
    <cellStyle name="Comma 3 8 3" xfId="1330"/>
    <cellStyle name="Comma 3 9" xfId="1331"/>
    <cellStyle name="Comma 3 9 2" xfId="1332"/>
    <cellStyle name="Comma 3 9 3" xfId="1333"/>
    <cellStyle name="Comma 3_PM T9 -revised Q3 1.0.xls-adjust G11+FSJ" xfId="1334"/>
    <cellStyle name="Comma 30" xfId="1335"/>
    <cellStyle name="Comma 31" xfId="1336"/>
    <cellStyle name="Comma 32" xfId="1337"/>
    <cellStyle name="Comma 33" xfId="1338"/>
    <cellStyle name="Comma 33 2" xfId="1339"/>
    <cellStyle name="Comma 35" xfId="1340"/>
    <cellStyle name="Comma 35 2" xfId="1341"/>
    <cellStyle name="Comma 35 3" xfId="1342"/>
    <cellStyle name="Comma 36" xfId="1343"/>
    <cellStyle name="Comma 36 2" xfId="1344"/>
    <cellStyle name="Comma 36 2 2" xfId="1345"/>
    <cellStyle name="Comma 36 2 3" xfId="1346"/>
    <cellStyle name="Comma 36 3" xfId="1347"/>
    <cellStyle name="Comma 36 4" xfId="1348"/>
    <cellStyle name="Comma 39" xfId="1349"/>
    <cellStyle name="Comma 4" xfId="1350"/>
    <cellStyle name="Comma 4 10" xfId="1351"/>
    <cellStyle name="Comma 4 11" xfId="1352"/>
    <cellStyle name="Comma 4 12" xfId="1353"/>
    <cellStyle name="Comma 4 13" xfId="1354"/>
    <cellStyle name="Comma 4 14" xfId="1355"/>
    <cellStyle name="Comma 4 15" xfId="1356"/>
    <cellStyle name="Comma 4 16" xfId="1357"/>
    <cellStyle name="Comma 4 17" xfId="1358"/>
    <cellStyle name="Comma 4 18" xfId="1359"/>
    <cellStyle name="Comma 4 19" xfId="1360"/>
    <cellStyle name="Comma 4 2" xfId="1361"/>
    <cellStyle name="Comma 4 20" xfId="1362"/>
    <cellStyle name="Comma 4 21" xfId="1363"/>
    <cellStyle name="Comma 4 22" xfId="1364"/>
    <cellStyle name="Comma 4 23" xfId="1365"/>
    <cellStyle name="Comma 4 24" xfId="1366"/>
    <cellStyle name="Comma 4 25" xfId="1367"/>
    <cellStyle name="Comma 4 26" xfId="1368"/>
    <cellStyle name="Comma 4 27" xfId="1369"/>
    <cellStyle name="Comma 4 27 2" xfId="1370"/>
    <cellStyle name="Comma 4 27 3" xfId="1371"/>
    <cellStyle name="Comma 4 28" xfId="1372"/>
    <cellStyle name="Comma 4 29" xfId="1373"/>
    <cellStyle name="Comma 4 3" xfId="1374"/>
    <cellStyle name="Comma 4 30" xfId="1375"/>
    <cellStyle name="Comma 4 31" xfId="1376"/>
    <cellStyle name="Comma 4 32" xfId="1377"/>
    <cellStyle name="Comma 4 33" xfId="1378"/>
    <cellStyle name="Comma 4 34" xfId="1379"/>
    <cellStyle name="Comma 4 35" xfId="1380"/>
    <cellStyle name="Comma 4 36" xfId="1381"/>
    <cellStyle name="Comma 4 37" xfId="1382"/>
    <cellStyle name="Comma 4 38" xfId="1383"/>
    <cellStyle name="Comma 4 39" xfId="1384"/>
    <cellStyle name="Comma 4 4" xfId="1385"/>
    <cellStyle name="Comma 4 40" xfId="1386"/>
    <cellStyle name="Comma 4 41" xfId="1387"/>
    <cellStyle name="Comma 4 42" xfId="1388"/>
    <cellStyle name="Comma 4 43" xfId="1389"/>
    <cellStyle name="Comma 4 44" xfId="1390"/>
    <cellStyle name="Comma 4 45" xfId="1391"/>
    <cellStyle name="Comma 4 46" xfId="1392"/>
    <cellStyle name="Comma 4 47" xfId="1393"/>
    <cellStyle name="Comma 4 48" xfId="1394"/>
    <cellStyle name="Comma 4 49" xfId="1395"/>
    <cellStyle name="Comma 4 5" xfId="1396"/>
    <cellStyle name="Comma 4 50" xfId="1397"/>
    <cellStyle name="Comma 4 51" xfId="1398"/>
    <cellStyle name="Comma 4 52" xfId="1399"/>
    <cellStyle name="Comma 4 53" xfId="1400"/>
    <cellStyle name="Comma 4 54" xfId="1401"/>
    <cellStyle name="Comma 4 55" xfId="1402"/>
    <cellStyle name="Comma 4 56" xfId="1403"/>
    <cellStyle name="Comma 4 57" xfId="1404"/>
    <cellStyle name="Comma 4 58" xfId="1405"/>
    <cellStyle name="Comma 4 59" xfId="1406"/>
    <cellStyle name="Comma 4 6" xfId="1407"/>
    <cellStyle name="Comma 4 60" xfId="1408"/>
    <cellStyle name="Comma 4 61" xfId="1409"/>
    <cellStyle name="Comma 4 62" xfId="1410"/>
    <cellStyle name="Comma 4 63" xfId="1411"/>
    <cellStyle name="Comma 4 64" xfId="1412"/>
    <cellStyle name="Comma 4 65" xfId="1413"/>
    <cellStyle name="Comma 4 66" xfId="1414"/>
    <cellStyle name="Comma 4 67" xfId="1415"/>
    <cellStyle name="Comma 4 68" xfId="1416"/>
    <cellStyle name="Comma 4 69" xfId="1417"/>
    <cellStyle name="Comma 4 7" xfId="1418"/>
    <cellStyle name="Comma 4 70" xfId="1419"/>
    <cellStyle name="Comma 4 71" xfId="1420"/>
    <cellStyle name="Comma 4 72" xfId="1421"/>
    <cellStyle name="Comma 4 8" xfId="1422"/>
    <cellStyle name="Comma 4 9" xfId="1423"/>
    <cellStyle name="Comma 4_PM T9 -revised Q3 1.0.xls-adjust G11+FSJ" xfId="1424"/>
    <cellStyle name="Comma 48" xfId="1425"/>
    <cellStyle name="Comma 48 2" xfId="1426"/>
    <cellStyle name="Comma 48 3" xfId="1427"/>
    <cellStyle name="Comma 5" xfId="1428"/>
    <cellStyle name="Comma 5 2" xfId="1429"/>
    <cellStyle name="Comma 5 2 10" xfId="1430"/>
    <cellStyle name="Comma 5 2 11" xfId="1431"/>
    <cellStyle name="Comma 5 2 12" xfId="1432"/>
    <cellStyle name="Comma 5 2 13" xfId="1433"/>
    <cellStyle name="Comma 5 2 14" xfId="1434"/>
    <cellStyle name="Comma 5 2 15" xfId="1435"/>
    <cellStyle name="Comma 5 2 16" xfId="1436"/>
    <cellStyle name="Comma 5 2 17" xfId="1437"/>
    <cellStyle name="Comma 5 2 18" xfId="1438"/>
    <cellStyle name="Comma 5 2 19" xfId="1439"/>
    <cellStyle name="Comma 5 2 2" xfId="1440"/>
    <cellStyle name="Comma 5 2 2 2" xfId="1441"/>
    <cellStyle name="Comma 5 2 2 3" xfId="1442"/>
    <cellStyle name="Comma 5 2 20" xfId="1443"/>
    <cellStyle name="Comma 5 2 21" xfId="1444"/>
    <cellStyle name="Comma 5 2 22" xfId="1445"/>
    <cellStyle name="Comma 5 2 23" xfId="1446"/>
    <cellStyle name="Comma 5 2 24" xfId="1447"/>
    <cellStyle name="Comma 5 2 25" xfId="1448"/>
    <cellStyle name="Comma 5 2 26" xfId="1449"/>
    <cellStyle name="Comma 5 2 27" xfId="1450"/>
    <cellStyle name="Comma 5 2 28" xfId="1451"/>
    <cellStyle name="Comma 5 2 29" xfId="1452"/>
    <cellStyle name="Comma 5 2 3" xfId="1453"/>
    <cellStyle name="Comma 5 2 30" xfId="1454"/>
    <cellStyle name="Comma 5 2 31" xfId="1455"/>
    <cellStyle name="Comma 5 2 32" xfId="1456"/>
    <cellStyle name="Comma 5 2 33" xfId="1457"/>
    <cellStyle name="Comma 5 2 34" xfId="1458"/>
    <cellStyle name="Comma 5 2 35" xfId="1459"/>
    <cellStyle name="Comma 5 2 36" xfId="1460"/>
    <cellStyle name="Comma 5 2 37" xfId="1461"/>
    <cellStyle name="Comma 5 2 38" xfId="1462"/>
    <cellStyle name="Comma 5 2 39" xfId="1463"/>
    <cellStyle name="Comma 5 2 4" xfId="1464"/>
    <cellStyle name="Comma 5 2 40" xfId="1465"/>
    <cellStyle name="Comma 5 2 41" xfId="1466"/>
    <cellStyle name="Comma 5 2 42" xfId="1467"/>
    <cellStyle name="Comma 5 2 43" xfId="1468"/>
    <cellStyle name="Comma 5 2 44" xfId="1469"/>
    <cellStyle name="Comma 5 2 45" xfId="1470"/>
    <cellStyle name="Comma 5 2 46" xfId="1471"/>
    <cellStyle name="Comma 5 2 47" xfId="1472"/>
    <cellStyle name="Comma 5 2 5" xfId="1473"/>
    <cellStyle name="Comma 5 2 6" xfId="1474"/>
    <cellStyle name="Comma 5 2 7" xfId="1475"/>
    <cellStyle name="Comma 5 2 8" xfId="1476"/>
    <cellStyle name="Comma 5 2 9" xfId="1477"/>
    <cellStyle name="Comma 5 3" xfId="1478"/>
    <cellStyle name="Comma 5 4" xfId="1479"/>
    <cellStyle name="Comma 5 5" xfId="1480"/>
    <cellStyle name="Comma 5 6" xfId="1481"/>
    <cellStyle name="Comma 53" xfId="1482"/>
    <cellStyle name="Comma 53 2" xfId="1483"/>
    <cellStyle name="Comma 53 3" xfId="1484"/>
    <cellStyle name="Comma 57" xfId="1485"/>
    <cellStyle name="Comma 58" xfId="1486"/>
    <cellStyle name="Comma 59" xfId="1487"/>
    <cellStyle name="Comma 6" xfId="1488"/>
    <cellStyle name="Comma 6 10" xfId="1489"/>
    <cellStyle name="Comma 6 11" xfId="1490"/>
    <cellStyle name="Comma 6 12" xfId="1491"/>
    <cellStyle name="Comma 6 13" xfId="1492"/>
    <cellStyle name="Comma 6 14" xfId="1493"/>
    <cellStyle name="Comma 6 15" xfId="1494"/>
    <cellStyle name="Comma 6 16" xfId="1495"/>
    <cellStyle name="Comma 6 17" xfId="1496"/>
    <cellStyle name="Comma 6 18" xfId="1497"/>
    <cellStyle name="Comma 6 19" xfId="1498"/>
    <cellStyle name="Comma 6 2" xfId="1499"/>
    <cellStyle name="Comma 6 2 10" xfId="1500"/>
    <cellStyle name="Comma 6 2 11" xfId="1501"/>
    <cellStyle name="Comma 6 2 12" xfId="1502"/>
    <cellStyle name="Comma 6 2 13" xfId="1503"/>
    <cellStyle name="Comma 6 2 14" xfId="1504"/>
    <cellStyle name="Comma 6 2 15" xfId="1505"/>
    <cellStyle name="Comma 6 2 16" xfId="1506"/>
    <cellStyle name="Comma 6 2 17" xfId="1507"/>
    <cellStyle name="Comma 6 2 18" xfId="1508"/>
    <cellStyle name="Comma 6 2 19" xfId="1509"/>
    <cellStyle name="Comma 6 2 2" xfId="1510"/>
    <cellStyle name="Comma 6 2 20" xfId="1511"/>
    <cellStyle name="Comma 6 2 21" xfId="1512"/>
    <cellStyle name="Comma 6 2 22" xfId="1513"/>
    <cellStyle name="Comma 6 2 23" xfId="1514"/>
    <cellStyle name="Comma 6 2 24" xfId="1515"/>
    <cellStyle name="Comma 6 2 25" xfId="1516"/>
    <cellStyle name="Comma 6 2 26" xfId="1517"/>
    <cellStyle name="Comma 6 2 27" xfId="1518"/>
    <cellStyle name="Comma 6 2 28" xfId="1519"/>
    <cellStyle name="Comma 6 2 29" xfId="1520"/>
    <cellStyle name="Comma 6 2 3" xfId="1521"/>
    <cellStyle name="Comma 6 2 30" xfId="1522"/>
    <cellStyle name="Comma 6 2 31" xfId="1523"/>
    <cellStyle name="Comma 6 2 32" xfId="1524"/>
    <cellStyle name="Comma 6 2 33" xfId="1525"/>
    <cellStyle name="Comma 6 2 34" xfId="1526"/>
    <cellStyle name="Comma 6 2 35" xfId="1527"/>
    <cellStyle name="Comma 6 2 36" xfId="1528"/>
    <cellStyle name="Comma 6 2 37" xfId="1529"/>
    <cellStyle name="Comma 6 2 38" xfId="1530"/>
    <cellStyle name="Comma 6 2 39" xfId="1531"/>
    <cellStyle name="Comma 6 2 4" xfId="1532"/>
    <cellStyle name="Comma 6 2 40" xfId="1533"/>
    <cellStyle name="Comma 6 2 41" xfId="1534"/>
    <cellStyle name="Comma 6 2 42" xfId="1535"/>
    <cellStyle name="Comma 6 2 43" xfId="1536"/>
    <cellStyle name="Comma 6 2 44" xfId="1537"/>
    <cellStyle name="Comma 6 2 45" xfId="1538"/>
    <cellStyle name="Comma 6 2 46" xfId="1539"/>
    <cellStyle name="Comma 6 2 5" xfId="1540"/>
    <cellStyle name="Comma 6 2 6" xfId="1541"/>
    <cellStyle name="Comma 6 2 7" xfId="1542"/>
    <cellStyle name="Comma 6 2 8" xfId="1543"/>
    <cellStyle name="Comma 6 2 9" xfId="1544"/>
    <cellStyle name="Comma 6 20" xfId="1545"/>
    <cellStyle name="Comma 6 21" xfId="1546"/>
    <cellStyle name="Comma 6 22" xfId="1547"/>
    <cellStyle name="Comma 6 23" xfId="1548"/>
    <cellStyle name="Comma 6 24" xfId="1549"/>
    <cellStyle name="Comma 6 25" xfId="1550"/>
    <cellStyle name="Comma 6 26" xfId="1551"/>
    <cellStyle name="Comma 6 27" xfId="1552"/>
    <cellStyle name="Comma 6 28" xfId="1553"/>
    <cellStyle name="Comma 6 29" xfId="1554"/>
    <cellStyle name="Comma 6 3" xfId="1555"/>
    <cellStyle name="Comma 6 30" xfId="1556"/>
    <cellStyle name="Comma 6 31" xfId="1557"/>
    <cellStyle name="Comma 6 32" xfId="1558"/>
    <cellStyle name="Comma 6 33" xfId="1559"/>
    <cellStyle name="Comma 6 34" xfId="1560"/>
    <cellStyle name="Comma 6 35" xfId="1561"/>
    <cellStyle name="Comma 6 36" xfId="1562"/>
    <cellStyle name="Comma 6 37" xfId="1563"/>
    <cellStyle name="Comma 6 38" xfId="1564"/>
    <cellStyle name="Comma 6 39" xfId="1565"/>
    <cellStyle name="Comma 6 4" xfId="1566"/>
    <cellStyle name="Comma 6 40" xfId="1567"/>
    <cellStyle name="Comma 6 41" xfId="1568"/>
    <cellStyle name="Comma 6 42" xfId="1569"/>
    <cellStyle name="Comma 6 43" xfId="1570"/>
    <cellStyle name="Comma 6 44" xfId="1571"/>
    <cellStyle name="Comma 6 45" xfId="1572"/>
    <cellStyle name="Comma 6 46" xfId="1573"/>
    <cellStyle name="Comma 6 47" xfId="1574"/>
    <cellStyle name="Comma 6 5" xfId="1575"/>
    <cellStyle name="Comma 6 6" xfId="1576"/>
    <cellStyle name="Comma 6 7" xfId="1577"/>
    <cellStyle name="Comma 6 8" xfId="1578"/>
    <cellStyle name="Comma 6 9" xfId="1579"/>
    <cellStyle name="Comma 6_PM T9 -revised Q3 1.0.xls-adjust G11+FSJ" xfId="1580"/>
    <cellStyle name="Comma 60" xfId="1581"/>
    <cellStyle name="Comma 61" xfId="1582"/>
    <cellStyle name="Comma 62" xfId="1583"/>
    <cellStyle name="Comma 7" xfId="1584"/>
    <cellStyle name="Comma 7 2" xfId="1585"/>
    <cellStyle name="Comma 7 3" xfId="1586"/>
    <cellStyle name="Comma 7 4" xfId="1587"/>
    <cellStyle name="Comma 7 5" xfId="1588"/>
    <cellStyle name="Comma 7 6" xfId="1589"/>
    <cellStyle name="Comma 8" xfId="1590"/>
    <cellStyle name="Comma 8 2" xfId="1591"/>
    <cellStyle name="Comma 8 3" xfId="1592"/>
    <cellStyle name="Comma 8 4" xfId="1593"/>
    <cellStyle name="Comma 8 5" xfId="1594"/>
    <cellStyle name="Comma 9" xfId="1595"/>
    <cellStyle name="Comma 9 2" xfId="1596"/>
    <cellStyle name="Comma 9 3" xfId="1597"/>
    <cellStyle name="comma zerodec" xfId="1598"/>
    <cellStyle name="Comma0" xfId="1599"/>
    <cellStyle name="Copied" xfId="1600"/>
    <cellStyle name="Currency 10" xfId="1601"/>
    <cellStyle name="Currency 2" xfId="1602"/>
    <cellStyle name="Currency 2 10" xfId="1603"/>
    <cellStyle name="Currency 2 2" xfId="1604"/>
    <cellStyle name="Currency 2 3" xfId="1605"/>
    <cellStyle name="Currency 2 4" xfId="1606"/>
    <cellStyle name="Currency 2 5" xfId="1607"/>
    <cellStyle name="Currency 2 6" xfId="1608"/>
    <cellStyle name="Currency 2 7" xfId="1609"/>
    <cellStyle name="Currency 2 8" xfId="1610"/>
    <cellStyle name="Currency 2 9" xfId="1611"/>
    <cellStyle name="Currency 3" xfId="1612"/>
    <cellStyle name="Currency0" xfId="1613"/>
    <cellStyle name="Currency1" xfId="1614"/>
    <cellStyle name="d_yield" xfId="1615"/>
    <cellStyle name="d_yield_Sheet1" xfId="1616"/>
    <cellStyle name="Dan" xfId="1617"/>
    <cellStyle name="Date" xfId="1618"/>
    <cellStyle name="Dollar (zero dec)" xfId="1619"/>
    <cellStyle name="Dziesi?tny [0]_Invoices2001Slovakia" xfId="1620"/>
    <cellStyle name="Dziesi?tny_Invoices2001Slovakia" xfId="1621"/>
    <cellStyle name="Dziesietny [0]_Invoices2001Slovakia" xfId="1622"/>
    <cellStyle name="Dziesiętny [0]_Invoices2001Slovakia" xfId="1623"/>
    <cellStyle name="Dziesietny [0]_Invoices2001Slovakia_Book1" xfId="1624"/>
    <cellStyle name="Dziesiętny [0]_Invoices2001Slovakia_Book1" xfId="1625"/>
    <cellStyle name="Dziesietny [0]_Invoices2001Slovakia_Book1_Tong hop Cac tuyen(9-1-06)" xfId="1626"/>
    <cellStyle name="Dziesiętny [0]_Invoices2001Slovakia_Book1_Tong hop Cac tuyen(9-1-06)" xfId="1627"/>
    <cellStyle name="Dziesietny [0]_Invoices2001Slovakia_KL K.C mat duong" xfId="1628"/>
    <cellStyle name="Dziesiętny [0]_Invoices2001Slovakia_Nhalamviec VTC(25-1-05)" xfId="1629"/>
    <cellStyle name="Dziesietny [0]_Invoices2001Slovakia_TDT KHANH HOA" xfId="1630"/>
    <cellStyle name="Dziesiętny [0]_Invoices2001Slovakia_TDT KHANH HOA" xfId="1631"/>
    <cellStyle name="Dziesietny [0]_Invoices2001Slovakia_TDT KHANH HOA_Tong hop Cac tuyen(9-1-06)" xfId="1632"/>
    <cellStyle name="Dziesiętny [0]_Invoices2001Slovakia_TDT KHANH HOA_Tong hop Cac tuyen(9-1-06)" xfId="1633"/>
    <cellStyle name="Dziesietny [0]_Invoices2001Slovakia_TDT quangngai" xfId="1634"/>
    <cellStyle name="Dziesiętny [0]_Invoices2001Slovakia_TDT quangngai" xfId="1635"/>
    <cellStyle name="Dziesietny [0]_Invoices2001Slovakia_Tong hop Cac tuyen(9-1-06)" xfId="1636"/>
    <cellStyle name="Dziesietny_Invoices2001Slovakia" xfId="1637"/>
    <cellStyle name="Dziesiętny_Invoices2001Slovakia" xfId="1638"/>
    <cellStyle name="Dziesietny_Invoices2001Slovakia_Book1" xfId="1639"/>
    <cellStyle name="Dziesiętny_Invoices2001Slovakia_Book1" xfId="1640"/>
    <cellStyle name="Dziesietny_Invoices2001Slovakia_Book1_Tong hop Cac tuyen(9-1-06)" xfId="1641"/>
    <cellStyle name="Dziesiętny_Invoices2001Slovakia_Book1_Tong hop Cac tuyen(9-1-06)" xfId="1642"/>
    <cellStyle name="Dziesietny_Invoices2001Slovakia_KL K.C mat duong" xfId="1643"/>
    <cellStyle name="Dziesiętny_Invoices2001Slovakia_Nhalamviec VTC(25-1-05)" xfId="1644"/>
    <cellStyle name="Dziesietny_Invoices2001Slovakia_TDT KHANH HOA" xfId="1645"/>
    <cellStyle name="Dziesiętny_Invoices2001Slovakia_TDT KHANH HOA" xfId="1646"/>
    <cellStyle name="Dziesietny_Invoices2001Slovakia_TDT KHANH HOA_Tong hop Cac tuyen(9-1-06)" xfId="1647"/>
    <cellStyle name="Dziesiętny_Invoices2001Slovakia_TDT KHANH HOA_Tong hop Cac tuyen(9-1-06)" xfId="1648"/>
    <cellStyle name="Dziesietny_Invoices2001Slovakia_TDT quangngai" xfId="1649"/>
    <cellStyle name="Dziesiętny_Invoices2001Slovakia_TDT quangngai" xfId="1650"/>
    <cellStyle name="Dziesietny_Invoices2001Slovakia_Tong hop Cac tuyen(9-1-06)" xfId="1651"/>
    <cellStyle name="Entered" xfId="1652"/>
    <cellStyle name="eps" xfId="1653"/>
    <cellStyle name="eps$" xfId="1654"/>
    <cellStyle name="eps$A" xfId="1655"/>
    <cellStyle name="eps$E" xfId="1656"/>
    <cellStyle name="eps_2nd Quarter" xfId="1657"/>
    <cellStyle name="epsA" xfId="1658"/>
    <cellStyle name="epsE" xfId="1659"/>
    <cellStyle name="Explanatory Text 10" xfId="1660"/>
    <cellStyle name="Explanatory Text 11" xfId="1661"/>
    <cellStyle name="Explanatory Text 12" xfId="1662"/>
    <cellStyle name="Explanatory Text 13" xfId="1663"/>
    <cellStyle name="Explanatory Text 2" xfId="1664"/>
    <cellStyle name="Explanatory Text 2 2" xfId="1665"/>
    <cellStyle name="Explanatory Text 2 3" xfId="1666"/>
    <cellStyle name="Explanatory Text 3" xfId="1667"/>
    <cellStyle name="Explanatory Text 4" xfId="1668"/>
    <cellStyle name="Explanatory Text 5" xfId="1669"/>
    <cellStyle name="Explanatory Text 6" xfId="1670"/>
    <cellStyle name="Explanatory Text 7" xfId="1671"/>
    <cellStyle name="Explanatory Text 8" xfId="1672"/>
    <cellStyle name="Explanatory Text 9" xfId="1673"/>
    <cellStyle name="Fixed" xfId="1674"/>
    <cellStyle name="fy_eps$" xfId="1675"/>
    <cellStyle name="g_rate" xfId="1676"/>
    <cellStyle name="g_rate_Sheet1" xfId="1677"/>
    <cellStyle name="Good 10" xfId="1678"/>
    <cellStyle name="Good 11" xfId="1679"/>
    <cellStyle name="Good 12" xfId="1680"/>
    <cellStyle name="Good 13" xfId="1681"/>
    <cellStyle name="Good 2" xfId="1682"/>
    <cellStyle name="Good 2 2" xfId="1683"/>
    <cellStyle name="Good 2 3" xfId="1684"/>
    <cellStyle name="Good 3" xfId="1685"/>
    <cellStyle name="Good 4" xfId="1686"/>
    <cellStyle name="Good 5" xfId="1687"/>
    <cellStyle name="Good 6" xfId="1688"/>
    <cellStyle name="Good 7" xfId="1689"/>
    <cellStyle name="Good 8" xfId="1690"/>
    <cellStyle name="Good 9" xfId="1691"/>
    <cellStyle name="Grey" xfId="1692"/>
    <cellStyle name="HEADER" xfId="1693"/>
    <cellStyle name="Header1" xfId="1694"/>
    <cellStyle name="Header2" xfId="1695"/>
    <cellStyle name="Heading" xfId="1696"/>
    <cellStyle name="Heading 1 10" xfId="1697"/>
    <cellStyle name="Heading 1 11" xfId="1698"/>
    <cellStyle name="Heading 1 12" xfId="1699"/>
    <cellStyle name="Heading 1 13" xfId="1700"/>
    <cellStyle name="Heading 1 2" xfId="1701"/>
    <cellStyle name="Heading 1 2 2" xfId="1702"/>
    <cellStyle name="Heading 1 2 3" xfId="1703"/>
    <cellStyle name="Heading 1 3" xfId="1704"/>
    <cellStyle name="Heading 1 4" xfId="1705"/>
    <cellStyle name="Heading 1 5" xfId="1706"/>
    <cellStyle name="Heading 1 6" xfId="1707"/>
    <cellStyle name="Heading 1 7" xfId="1708"/>
    <cellStyle name="Heading 1 8" xfId="1709"/>
    <cellStyle name="Heading 1 9" xfId="1710"/>
    <cellStyle name="Heading 2 10" xfId="1711"/>
    <cellStyle name="Heading 2 11" xfId="1712"/>
    <cellStyle name="Heading 2 12" xfId="1713"/>
    <cellStyle name="Heading 2 13" xfId="1714"/>
    <cellStyle name="Heading 2 2" xfId="1715"/>
    <cellStyle name="Heading 2 2 2" xfId="1716"/>
    <cellStyle name="Heading 2 2 3" xfId="1717"/>
    <cellStyle name="Heading 2 3" xfId="1718"/>
    <cellStyle name="Heading 2 4" xfId="1719"/>
    <cellStyle name="Heading 2 5" xfId="1720"/>
    <cellStyle name="Heading 2 6" xfId="1721"/>
    <cellStyle name="Heading 2 7" xfId="1722"/>
    <cellStyle name="Heading 2 8" xfId="1723"/>
    <cellStyle name="Heading 2 9" xfId="1724"/>
    <cellStyle name="Heading 3 10" xfId="1725"/>
    <cellStyle name="Heading 3 11" xfId="1726"/>
    <cellStyle name="Heading 3 12" xfId="1727"/>
    <cellStyle name="Heading 3 13" xfId="1728"/>
    <cellStyle name="Heading 3 2" xfId="1729"/>
    <cellStyle name="Heading 3 2 2" xfId="1730"/>
    <cellStyle name="Heading 3 2 3" xfId="1731"/>
    <cellStyle name="Heading 3 3" xfId="1732"/>
    <cellStyle name="Heading 3 4" xfId="1733"/>
    <cellStyle name="Heading 3 5" xfId="1734"/>
    <cellStyle name="Heading 3 6" xfId="1735"/>
    <cellStyle name="Heading 3 7" xfId="1736"/>
    <cellStyle name="Heading 3 8" xfId="1737"/>
    <cellStyle name="Heading 3 9" xfId="1738"/>
    <cellStyle name="Heading 4 10" xfId="1739"/>
    <cellStyle name="Heading 4 11" xfId="1740"/>
    <cellStyle name="Heading 4 12" xfId="1741"/>
    <cellStyle name="Heading 4 13" xfId="1742"/>
    <cellStyle name="Heading 4 2" xfId="1743"/>
    <cellStyle name="Heading 4 2 2" xfId="1744"/>
    <cellStyle name="Heading 4 2 3" xfId="1745"/>
    <cellStyle name="Heading 4 3" xfId="1746"/>
    <cellStyle name="Heading 4 4" xfId="1747"/>
    <cellStyle name="Heading 4 5" xfId="1748"/>
    <cellStyle name="Heading 4 6" xfId="1749"/>
    <cellStyle name="Heading 4 7" xfId="1750"/>
    <cellStyle name="Heading 4 8" xfId="1751"/>
    <cellStyle name="Heading 4 9" xfId="1752"/>
    <cellStyle name="HEADING1" xfId="1753"/>
    <cellStyle name="HEADING2" xfId="1754"/>
    <cellStyle name="headoption" xfId="1755"/>
    <cellStyle name="Hoa-Scholl" xfId="1756"/>
    <cellStyle name="Hyperlink 2" xfId="1757"/>
    <cellStyle name="Hyperlink 3" xfId="1758"/>
    <cellStyle name="IBM(401K)" xfId="1759"/>
    <cellStyle name="Indent" xfId="1760"/>
    <cellStyle name="Input [yellow]" xfId="1761"/>
    <cellStyle name="Input 10" xfId="1762"/>
    <cellStyle name="Input 11" xfId="1763"/>
    <cellStyle name="Input 12" xfId="1764"/>
    <cellStyle name="Input 13" xfId="1765"/>
    <cellStyle name="Input 2" xfId="1766"/>
    <cellStyle name="Input 2 2" xfId="1767"/>
    <cellStyle name="Input 2 3" xfId="1768"/>
    <cellStyle name="Input 3" xfId="1769"/>
    <cellStyle name="Input 4" xfId="1770"/>
    <cellStyle name="Input 5" xfId="1771"/>
    <cellStyle name="Input 6" xfId="1772"/>
    <cellStyle name="Input 7" xfId="1773"/>
    <cellStyle name="Input 8" xfId="1774"/>
    <cellStyle name="Input 9" xfId="1775"/>
    <cellStyle name="J401K" xfId="1776"/>
    <cellStyle name="khanh" xfId="1777"/>
    <cellStyle name="Ledger 17 x 11 in" xfId="1778"/>
    <cellStyle name="Ledger 17 x 11 in 2" xfId="1779"/>
    <cellStyle name="Ledger 17 x 11 in_So du cong no FSO Q3-08" xfId="1780"/>
    <cellStyle name="Linked Cell 10" xfId="1781"/>
    <cellStyle name="Linked Cell 11" xfId="1782"/>
    <cellStyle name="Linked Cell 12" xfId="1783"/>
    <cellStyle name="Linked Cell 13" xfId="1784"/>
    <cellStyle name="Linked Cell 2" xfId="1785"/>
    <cellStyle name="Linked Cell 2 2" xfId="1786"/>
    <cellStyle name="Linked Cell 2 3" xfId="1787"/>
    <cellStyle name="Linked Cell 3" xfId="1788"/>
    <cellStyle name="Linked Cell 4" xfId="1789"/>
    <cellStyle name="Linked Cell 5" xfId="1790"/>
    <cellStyle name="Linked Cell 6" xfId="1791"/>
    <cellStyle name="Linked Cell 7" xfId="1792"/>
    <cellStyle name="Linked Cell 8" xfId="1793"/>
    <cellStyle name="Linked Cell 9" xfId="1794"/>
    <cellStyle name="m" xfId="1795"/>
    <cellStyle name="m$" xfId="1796"/>
    <cellStyle name="Millares [0]_Well Timing" xfId="1797"/>
    <cellStyle name="Millares_Well Timing" xfId="1798"/>
    <cellStyle name="mm" xfId="1799"/>
    <cellStyle name="Model" xfId="1800"/>
    <cellStyle name="moi" xfId="1801"/>
    <cellStyle name="Moneda [0]_Well Timing" xfId="1802"/>
    <cellStyle name="Moneda_Well Timing" xfId="1803"/>
    <cellStyle name="Monétaire [0]_TARIFFS DB" xfId="1804"/>
    <cellStyle name="Monétaire_TARIFFS DB" xfId="1805"/>
    <cellStyle name="n" xfId="1806"/>
    <cellStyle name="Neutral 10" xfId="1807"/>
    <cellStyle name="Neutral 11" xfId="1808"/>
    <cellStyle name="Neutral 12" xfId="1809"/>
    <cellStyle name="Neutral 13" xfId="1810"/>
    <cellStyle name="Neutral 2" xfId="1811"/>
    <cellStyle name="Neutral 2 2" xfId="1812"/>
    <cellStyle name="Neutral 2 3" xfId="1813"/>
    <cellStyle name="Neutral 3" xfId="1814"/>
    <cellStyle name="Neutral 4" xfId="1815"/>
    <cellStyle name="Neutral 5" xfId="1816"/>
    <cellStyle name="Neutral 6" xfId="1817"/>
    <cellStyle name="Neutral 7" xfId="1818"/>
    <cellStyle name="Neutral 8" xfId="1819"/>
    <cellStyle name="Neutral 9" xfId="1820"/>
    <cellStyle name="New Times Roman" xfId="1821"/>
    <cellStyle name="no dec" xfId="1822"/>
    <cellStyle name="Normal" xfId="0" builtinId="0"/>
    <cellStyle name="Normal - Style1" xfId="1823"/>
    <cellStyle name="Normal - Style1 2" xfId="1824"/>
    <cellStyle name="Normal - Style1 3" xfId="1825"/>
    <cellStyle name="Normal - Style1_Gui Ha" xfId="1826"/>
    <cellStyle name="Normal 10" xfId="1827"/>
    <cellStyle name="Normal 11" xfId="1828"/>
    <cellStyle name="Normal 11 2" xfId="1829"/>
    <cellStyle name="Normal 12" xfId="1830"/>
    <cellStyle name="Normal 13" xfId="1831"/>
    <cellStyle name="Normal 14" xfId="1832"/>
    <cellStyle name="Normal 15" xfId="1833"/>
    <cellStyle name="Normal 16" xfId="1834"/>
    <cellStyle name="Normal 17" xfId="1835"/>
    <cellStyle name="Normal 18" xfId="1836"/>
    <cellStyle name="Normal 19" xfId="1837"/>
    <cellStyle name="Normal 2" xfId="1838"/>
    <cellStyle name="Normal 2 10" xfId="1839"/>
    <cellStyle name="Normal 2 10 2" xfId="1840"/>
    <cellStyle name="Normal 2 10 2 2" xfId="1841"/>
    <cellStyle name="Normal 2 10 2 2 2" xfId="1842"/>
    <cellStyle name="Normal 2 10 2 2 3" xfId="1843"/>
    <cellStyle name="Normal 2 10 2 3" xfId="1844"/>
    <cellStyle name="Normal 2 10 3" xfId="1845"/>
    <cellStyle name="Normal 2 10 4" xfId="1846"/>
    <cellStyle name="Normal 2 10_Fsoft Finance Report 0809 Template" xfId="1847"/>
    <cellStyle name="Normal 2 11" xfId="1848"/>
    <cellStyle name="Normal 2 11 2" xfId="1849"/>
    <cellStyle name="Normal 2 11 2 2" xfId="1850"/>
    <cellStyle name="Normal 2 11 2 2 2" xfId="1851"/>
    <cellStyle name="Normal 2 11 2 2 3" xfId="1852"/>
    <cellStyle name="Normal 2 11 2 3" xfId="1853"/>
    <cellStyle name="Normal 2 11 3" xfId="1854"/>
    <cellStyle name="Normal 2 11 4" xfId="1855"/>
    <cellStyle name="Normal 2 11_Fsoft Finance Report 0809 Template" xfId="1856"/>
    <cellStyle name="Normal 2 12" xfId="1857"/>
    <cellStyle name="Normal 2 12 2" xfId="1858"/>
    <cellStyle name="Normal 2 12 2 2" xfId="1859"/>
    <cellStyle name="Normal 2 12 2 2 2" xfId="1860"/>
    <cellStyle name="Normal 2 12 2 2 3" xfId="1861"/>
    <cellStyle name="Normal 2 12 2 3" xfId="1862"/>
    <cellStyle name="Normal 2 12 3" xfId="1863"/>
    <cellStyle name="Normal 2 12 4" xfId="1864"/>
    <cellStyle name="Normal 2 12_Fsoft Finance Report 0809 Template" xfId="1865"/>
    <cellStyle name="Normal 2 13" xfId="1866"/>
    <cellStyle name="Normal 2 13 2" xfId="1867"/>
    <cellStyle name="Normal 2 13 2 2" xfId="1868"/>
    <cellStyle name="Normal 2 13 2 2 2" xfId="1869"/>
    <cellStyle name="Normal 2 13 2 2 3" xfId="1870"/>
    <cellStyle name="Normal 2 13 2 3" xfId="1871"/>
    <cellStyle name="Normal 2 13 3" xfId="1872"/>
    <cellStyle name="Normal 2 13 4" xfId="1873"/>
    <cellStyle name="Normal 2 13_Fsoft Finance Report 0809 Template" xfId="1874"/>
    <cellStyle name="Normal 2 14" xfId="1875"/>
    <cellStyle name="Normal 2 14 2" xfId="1876"/>
    <cellStyle name="Normal 2 14 2 2" xfId="1877"/>
    <cellStyle name="Normal 2 14 2 2 2" xfId="1878"/>
    <cellStyle name="Normal 2 14 2 2 3" xfId="1879"/>
    <cellStyle name="Normal 2 14 2 3" xfId="1880"/>
    <cellStyle name="Normal 2 14 3" xfId="1881"/>
    <cellStyle name="Normal 2 14 4" xfId="1882"/>
    <cellStyle name="Normal 2 14_Fsoft Finance Report 0809 Template" xfId="1883"/>
    <cellStyle name="Normal 2 15" xfId="1884"/>
    <cellStyle name="Normal 2 15 2" xfId="1885"/>
    <cellStyle name="Normal 2 15 2 2" xfId="1886"/>
    <cellStyle name="Normal 2 15 2 2 2" xfId="1887"/>
    <cellStyle name="Normal 2 15 2 2 3" xfId="1888"/>
    <cellStyle name="Normal 2 15 2 3" xfId="1889"/>
    <cellStyle name="Normal 2 15 3" xfId="1890"/>
    <cellStyle name="Normal 2 15 4" xfId="1891"/>
    <cellStyle name="Normal 2 15_Fsoft Finance Report 0809 Template" xfId="1892"/>
    <cellStyle name="Normal 2 16" xfId="1893"/>
    <cellStyle name="Normal 2 16 2" xfId="1894"/>
    <cellStyle name="Normal 2 16 2 2" xfId="1895"/>
    <cellStyle name="Normal 2 16 2 2 2" xfId="1896"/>
    <cellStyle name="Normal 2 16 2 2 3" xfId="1897"/>
    <cellStyle name="Normal 2 16 2 3" xfId="1898"/>
    <cellStyle name="Normal 2 16 3" xfId="1899"/>
    <cellStyle name="Normal 2 16 4" xfId="1900"/>
    <cellStyle name="Normal 2 16_Fsoft Finance Report 0809 Template" xfId="1901"/>
    <cellStyle name="Normal 2 17" xfId="1902"/>
    <cellStyle name="Normal 2 17 2" xfId="1903"/>
    <cellStyle name="Normal 2 17 2 2" xfId="1904"/>
    <cellStyle name="Normal 2 17 2 2 2" xfId="1905"/>
    <cellStyle name="Normal 2 17 2 2 3" xfId="1906"/>
    <cellStyle name="Normal 2 17 2 3" xfId="1907"/>
    <cellStyle name="Normal 2 17 3" xfId="1908"/>
    <cellStyle name="Normal 2 17 4" xfId="1909"/>
    <cellStyle name="Normal 2 17_Fsoft Finance Report 0809 Template" xfId="1910"/>
    <cellStyle name="Normal 2 18" xfId="1911"/>
    <cellStyle name="Normal 2 18 2" xfId="1912"/>
    <cellStyle name="Normal 2 18 2 2" xfId="1913"/>
    <cellStyle name="Normal 2 18 2 2 2" xfId="1914"/>
    <cellStyle name="Normal 2 18 2 2 3" xfId="1915"/>
    <cellStyle name="Normal 2 18 2 3" xfId="1916"/>
    <cellStyle name="Normal 2 18 3" xfId="1917"/>
    <cellStyle name="Normal 2 18 4" xfId="1918"/>
    <cellStyle name="Normal 2 18_Fsoft Finance Report 0809 Template" xfId="1919"/>
    <cellStyle name="Normal 2 19" xfId="1920"/>
    <cellStyle name="Normal 2 19 2" xfId="1921"/>
    <cellStyle name="Normal 2 19 2 2" xfId="1922"/>
    <cellStyle name="Normal 2 19 2 2 2" xfId="1923"/>
    <cellStyle name="Normal 2 19 2 2 3" xfId="1924"/>
    <cellStyle name="Normal 2 19 2 3" xfId="1925"/>
    <cellStyle name="Normal 2 19 3" xfId="1926"/>
    <cellStyle name="Normal 2 19 4" xfId="1927"/>
    <cellStyle name="Normal 2 19_Fsoft Finance Report 0809 Template" xfId="1928"/>
    <cellStyle name="Normal 2 2" xfId="1929"/>
    <cellStyle name="Normal 2 2 10" xfId="1930"/>
    <cellStyle name="Normal 2 2 11" xfId="1931"/>
    <cellStyle name="Normal 2 2 12" xfId="1932"/>
    <cellStyle name="Normal 2 2 13" xfId="1933"/>
    <cellStyle name="Normal 2 2 14" xfId="1934"/>
    <cellStyle name="Normal 2 2 15" xfId="1935"/>
    <cellStyle name="Normal 2 2 16" xfId="1936"/>
    <cellStyle name="Normal 2 2 17" xfId="1937"/>
    <cellStyle name="Normal 2 2 18" xfId="1938"/>
    <cellStyle name="Normal 2 2 19" xfId="1939"/>
    <cellStyle name="Normal 2 2 2" xfId="1940"/>
    <cellStyle name="Normal 2 2 2 10" xfId="1941"/>
    <cellStyle name="Normal 2 2 2 11" xfId="1942"/>
    <cellStyle name="Normal 2 2 2 12" xfId="1943"/>
    <cellStyle name="Normal 2 2 2 13" xfId="1944"/>
    <cellStyle name="Normal 2 2 2 14" xfId="1945"/>
    <cellStyle name="Normal 2 2 2 15" xfId="1946"/>
    <cellStyle name="Normal 2 2 2 16" xfId="1947"/>
    <cellStyle name="Normal 2 2 2 17" xfId="1948"/>
    <cellStyle name="Normal 2 2 2 18" xfId="1949"/>
    <cellStyle name="Normal 2 2 2 19" xfId="1950"/>
    <cellStyle name="Normal 2 2 2 2" xfId="1951"/>
    <cellStyle name="Normal 2 2 2 2 10" xfId="1952"/>
    <cellStyle name="Normal 2 2 2 2 11" xfId="1953"/>
    <cellStyle name="Normal 2 2 2 2 12" xfId="1954"/>
    <cellStyle name="Normal 2 2 2 2 13" xfId="1955"/>
    <cellStyle name="Normal 2 2 2 2 14" xfId="1956"/>
    <cellStyle name="Normal 2 2 2 2 15" xfId="1957"/>
    <cellStyle name="Normal 2 2 2 2 16" xfId="1958"/>
    <cellStyle name="Normal 2 2 2 2 17" xfId="1959"/>
    <cellStyle name="Normal 2 2 2 2 18" xfId="1960"/>
    <cellStyle name="Normal 2 2 2 2 19" xfId="1961"/>
    <cellStyle name="Normal 2 2 2 2 2" xfId="1962"/>
    <cellStyle name="Normal 2 2 2 2 2 2" xfId="1963"/>
    <cellStyle name="Normal 2 2 2 2 2 2 2" xfId="1964"/>
    <cellStyle name="Normal 2 2 2 2 2 2 3" xfId="1965"/>
    <cellStyle name="Normal 2 2 2 2 2 2 4" xfId="1966"/>
    <cellStyle name="Normal 2 2 2 2 2 2 5" xfId="1967"/>
    <cellStyle name="Normal 2 2 2 2 2 2 6" xfId="1968"/>
    <cellStyle name="Normal 2 2 2 2 2 2 7" xfId="1969"/>
    <cellStyle name="Normal 2 2 2 2 2 2 8" xfId="1970"/>
    <cellStyle name="Normal 2 2 2 2 2 3" xfId="1971"/>
    <cellStyle name="Normal 2 2 2 2 2 4" xfId="1972"/>
    <cellStyle name="Normal 2 2 2 2 2 5" xfId="1973"/>
    <cellStyle name="Normal 2 2 2 2 2 6" xfId="1974"/>
    <cellStyle name="Normal 2 2 2 2 2 7" xfId="1975"/>
    <cellStyle name="Normal 2 2 2 2 2 8" xfId="1976"/>
    <cellStyle name="Normal 2 2 2 2 2_Fsoft Finance Report 0809 Template" xfId="1977"/>
    <cellStyle name="Normal 2 2 2 2 20" xfId="1978"/>
    <cellStyle name="Normal 2 2 2 2 21" xfId="1979"/>
    <cellStyle name="Normal 2 2 2 2 22" xfId="1980"/>
    <cellStyle name="Normal 2 2 2 2 23" xfId="1981"/>
    <cellStyle name="Normal 2 2 2 2 24" xfId="1982"/>
    <cellStyle name="Normal 2 2 2 2 25" xfId="1983"/>
    <cellStyle name="Normal 2 2 2 2 26" xfId="1984"/>
    <cellStyle name="Normal 2 2 2 2 27" xfId="1985"/>
    <cellStyle name="Normal 2 2 2 2 28" xfId="1986"/>
    <cellStyle name="Normal 2 2 2 2 29" xfId="1987"/>
    <cellStyle name="Normal 2 2 2 2 3" xfId="1988"/>
    <cellStyle name="Normal 2 2 2 2 30" xfId="1989"/>
    <cellStyle name="Normal 2 2 2 2 31" xfId="1990"/>
    <cellStyle name="Normal 2 2 2 2 32" xfId="1991"/>
    <cellStyle name="Normal 2 2 2 2 33" xfId="1992"/>
    <cellStyle name="Normal 2 2 2 2 34" xfId="1993"/>
    <cellStyle name="Normal 2 2 2 2 35" xfId="1994"/>
    <cellStyle name="Normal 2 2 2 2 36" xfId="1995"/>
    <cellStyle name="Normal 2 2 2 2 37" xfId="1996"/>
    <cellStyle name="Normal 2 2 2 2 38" xfId="1997"/>
    <cellStyle name="Normal 2 2 2 2 39" xfId="1998"/>
    <cellStyle name="Normal 2 2 2 2 4" xfId="1999"/>
    <cellStyle name="Normal 2 2 2 2 40" xfId="2000"/>
    <cellStyle name="Normal 2 2 2 2 41" xfId="2001"/>
    <cellStyle name="Normal 2 2 2 2 42" xfId="2002"/>
    <cellStyle name="Normal 2 2 2 2 43" xfId="2003"/>
    <cellStyle name="Normal 2 2 2 2 44" xfId="2004"/>
    <cellStyle name="Normal 2 2 2 2 45" xfId="2005"/>
    <cellStyle name="Normal 2 2 2 2 46" xfId="2006"/>
    <cellStyle name="Normal 2 2 2 2 47" xfId="2007"/>
    <cellStyle name="Normal 2 2 2 2 48" xfId="2008"/>
    <cellStyle name="Normal 2 2 2 2 5" xfId="2009"/>
    <cellStyle name="Normal 2 2 2 2 6" xfId="2010"/>
    <cellStyle name="Normal 2 2 2 2 7" xfId="2011"/>
    <cellStyle name="Normal 2 2 2 2 8" xfId="2012"/>
    <cellStyle name="Normal 2 2 2 2 9" xfId="2013"/>
    <cellStyle name="Normal 2 2 2 20" xfId="2014"/>
    <cellStyle name="Normal 2 2 2 21" xfId="2015"/>
    <cellStyle name="Normal 2 2 2 22" xfId="2016"/>
    <cellStyle name="Normal 2 2 2 23" xfId="2017"/>
    <cellStyle name="Normal 2 2 2 24" xfId="2018"/>
    <cellStyle name="Normal 2 2 2 25" xfId="2019"/>
    <cellStyle name="Normal 2 2 2 26" xfId="2020"/>
    <cellStyle name="Normal 2 2 2 27" xfId="2021"/>
    <cellStyle name="Normal 2 2 2 28" xfId="2022"/>
    <cellStyle name="Normal 2 2 2 29" xfId="2023"/>
    <cellStyle name="Normal 2 2 2 3" xfId="2024"/>
    <cellStyle name="Normal 2 2 2 3 2" xfId="2025"/>
    <cellStyle name="Normal 2 2 2 3 2 2" xfId="2026"/>
    <cellStyle name="Normal 2 2 2 3 2 3" xfId="2027"/>
    <cellStyle name="Normal 2 2 2 3 3" xfId="2028"/>
    <cellStyle name="Normal 2 2 2 3 4" xfId="2029"/>
    <cellStyle name="Normal 2 2 2 3 5" xfId="2030"/>
    <cellStyle name="Normal 2 2 2 3 6" xfId="2031"/>
    <cellStyle name="Normal 2 2 2 3 7" xfId="2032"/>
    <cellStyle name="Normal 2 2 2 3 8" xfId="2033"/>
    <cellStyle name="Normal 2 2 2 30" xfId="2034"/>
    <cellStyle name="Normal 2 2 2 31" xfId="2035"/>
    <cellStyle name="Normal 2 2 2 32" xfId="2036"/>
    <cellStyle name="Normal 2 2 2 33" xfId="2037"/>
    <cellStyle name="Normal 2 2 2 34" xfId="2038"/>
    <cellStyle name="Normal 2 2 2 35" xfId="2039"/>
    <cellStyle name="Normal 2 2 2 36" xfId="2040"/>
    <cellStyle name="Normal 2 2 2 37" xfId="2041"/>
    <cellStyle name="Normal 2 2 2 38" xfId="2042"/>
    <cellStyle name="Normal 2 2 2 39" xfId="2043"/>
    <cellStyle name="Normal 2 2 2 4" xfId="2044"/>
    <cellStyle name="Normal 2 2 2 4 2" xfId="2045"/>
    <cellStyle name="Normal 2 2 2 4 2 2" xfId="2046"/>
    <cellStyle name="Normal 2 2 2 4 2 3" xfId="2047"/>
    <cellStyle name="Normal 2 2 2 4 3" xfId="2048"/>
    <cellStyle name="Normal 2 2 2 40" xfId="2049"/>
    <cellStyle name="Normal 2 2 2 41" xfId="2050"/>
    <cellStyle name="Normal 2 2 2 42" xfId="2051"/>
    <cellStyle name="Normal 2 2 2 43" xfId="2052"/>
    <cellStyle name="Normal 2 2 2 44" xfId="2053"/>
    <cellStyle name="Normal 2 2 2 45" xfId="2054"/>
    <cellStyle name="Normal 2 2 2 46" xfId="2055"/>
    <cellStyle name="Normal 2 2 2 47" xfId="2056"/>
    <cellStyle name="Normal 2 2 2 5" xfId="2057"/>
    <cellStyle name="Normal 2 2 2 6" xfId="2058"/>
    <cellStyle name="Normal 2 2 2 7" xfId="2059"/>
    <cellStyle name="Normal 2 2 2 8" xfId="2060"/>
    <cellStyle name="Normal 2 2 2 9" xfId="2061"/>
    <cellStyle name="Normal 2 2 2_Budget 2009-Plan B-Final" xfId="2062"/>
    <cellStyle name="Normal 2 2 20" xfId="2063"/>
    <cellStyle name="Normal 2 2 21" xfId="2064"/>
    <cellStyle name="Normal 2 2 22" xfId="2065"/>
    <cellStyle name="Normal 2 2 23" xfId="2066"/>
    <cellStyle name="Normal 2 2 24" xfId="2067"/>
    <cellStyle name="Normal 2 2 25" xfId="2068"/>
    <cellStyle name="Normal 2 2 26" xfId="2069"/>
    <cellStyle name="Normal 2 2 27" xfId="2070"/>
    <cellStyle name="Normal 2 2 28" xfId="2071"/>
    <cellStyle name="Normal 2 2 29" xfId="2072"/>
    <cellStyle name="Normal 2 2 3" xfId="2073"/>
    <cellStyle name="Normal 2 2 3 2" xfId="2074"/>
    <cellStyle name="Normal 2 2 3 2 2" xfId="2075"/>
    <cellStyle name="Normal 2 2 3 2 3" xfId="2076"/>
    <cellStyle name="Normal 2 2 3 2 4" xfId="2077"/>
    <cellStyle name="Normal 2 2 3 2 5" xfId="2078"/>
    <cellStyle name="Normal 2 2 3 2 6" xfId="2079"/>
    <cellStyle name="Normal 2 2 3 2 7" xfId="2080"/>
    <cellStyle name="Normal 2 2 3 2 8" xfId="2081"/>
    <cellStyle name="Normal 2 2 3 2_Fsoft Finance Report 0809 Template" xfId="2082"/>
    <cellStyle name="Normal 2 2 3 3" xfId="2083"/>
    <cellStyle name="Normal 2 2 3 4" xfId="2084"/>
    <cellStyle name="Normal 2 2 3 5" xfId="2085"/>
    <cellStyle name="Normal 2 2 3 6" xfId="2086"/>
    <cellStyle name="Normal 2 2 3 7" xfId="2087"/>
    <cellStyle name="Normal 2 2 3 8" xfId="2088"/>
    <cellStyle name="Normal 2 2 3_Fsoft Finance Report 0809 Template" xfId="2089"/>
    <cellStyle name="Normal 2 2 30" xfId="2090"/>
    <cellStyle name="Normal 2 2 31" xfId="2091"/>
    <cellStyle name="Normal 2 2 32" xfId="2092"/>
    <cellStyle name="Normal 2 2 33" xfId="2093"/>
    <cellStyle name="Normal 2 2 34" xfId="2094"/>
    <cellStyle name="Normal 2 2 35" xfId="2095"/>
    <cellStyle name="Normal 2 2 36" xfId="2096"/>
    <cellStyle name="Normal 2 2 37" xfId="2097"/>
    <cellStyle name="Normal 2 2 38" xfId="2098"/>
    <cellStyle name="Normal 2 2 39" xfId="2099"/>
    <cellStyle name="Normal 2 2 4" xfId="2100"/>
    <cellStyle name="Normal 2 2 4 2" xfId="2101"/>
    <cellStyle name="Normal 2 2 40" xfId="2102"/>
    <cellStyle name="Normal 2 2 41" xfId="2103"/>
    <cellStyle name="Normal 2 2 42" xfId="2104"/>
    <cellStyle name="Normal 2 2 43" xfId="2105"/>
    <cellStyle name="Normal 2 2 44" xfId="2106"/>
    <cellStyle name="Normal 2 2 45" xfId="2107"/>
    <cellStyle name="Normal 2 2 46" xfId="2108"/>
    <cellStyle name="Normal 2 2 47" xfId="2109"/>
    <cellStyle name="Normal 2 2 48" xfId="2110"/>
    <cellStyle name="Normal 2 2 49" xfId="2111"/>
    <cellStyle name="Normal 2 2 5" xfId="2112"/>
    <cellStyle name="Normal 2 2 5 2" xfId="2113"/>
    <cellStyle name="Normal 2 2 5 3" xfId="2114"/>
    <cellStyle name="Normal 2 2 5_Gui Ha" xfId="2115"/>
    <cellStyle name="Normal 2 2 50" xfId="2116"/>
    <cellStyle name="Normal 2 2 51" xfId="2117"/>
    <cellStyle name="Normal 2 2 6" xfId="2118"/>
    <cellStyle name="Normal 2 2 7" xfId="2119"/>
    <cellStyle name="Normal 2 2 8" xfId="2120"/>
    <cellStyle name="Normal 2 2 9" xfId="2121"/>
    <cellStyle name="Normal 2 2_Gui Ha" xfId="2122"/>
    <cellStyle name="Normal 2 20" xfId="2123"/>
    <cellStyle name="Normal 2 20 2" xfId="2124"/>
    <cellStyle name="Normal 2 20 2 2" xfId="2125"/>
    <cellStyle name="Normal 2 20 2 2 2" xfId="2126"/>
    <cellStyle name="Normal 2 20 2 2 3" xfId="2127"/>
    <cellStyle name="Normal 2 20 2 3" xfId="2128"/>
    <cellStyle name="Normal 2 20 3" xfId="2129"/>
    <cellStyle name="Normal 2 20 4" xfId="2130"/>
    <cellStyle name="Normal 2 20_Fsoft Finance Report 0809 Template" xfId="2131"/>
    <cellStyle name="Normal 2 21" xfId="2132"/>
    <cellStyle name="Normal 2 21 2" xfId="2133"/>
    <cellStyle name="Normal 2 21 2 2" xfId="2134"/>
    <cellStyle name="Normal 2 21 2 2 2" xfId="2135"/>
    <cellStyle name="Normal 2 21 2 2 3" xfId="2136"/>
    <cellStyle name="Normal 2 21 2 3" xfId="2137"/>
    <cellStyle name="Normal 2 21 3" xfId="2138"/>
    <cellStyle name="Normal 2 21 4" xfId="2139"/>
    <cellStyle name="Normal 2 21_Fsoft Finance Report 0809 Template" xfId="2140"/>
    <cellStyle name="Normal 2 22" xfId="2141"/>
    <cellStyle name="Normal 2 22 2" xfId="2142"/>
    <cellStyle name="Normal 2 22 2 2" xfId="2143"/>
    <cellStyle name="Normal 2 22 2 2 2" xfId="2144"/>
    <cellStyle name="Normal 2 22 2 2 3" xfId="2145"/>
    <cellStyle name="Normal 2 22 2 3" xfId="2146"/>
    <cellStyle name="Normal 2 22 3" xfId="2147"/>
    <cellStyle name="Normal 2 22 4" xfId="2148"/>
    <cellStyle name="Normal 2 22_Fsoft Finance Report 0809 Template" xfId="2149"/>
    <cellStyle name="Normal 2 23" xfId="2150"/>
    <cellStyle name="Normal 2 23 2" xfId="2151"/>
    <cellStyle name="Normal 2 23 2 2" xfId="2152"/>
    <cellStyle name="Normal 2 23 2 2 2" xfId="2153"/>
    <cellStyle name="Normal 2 23 2 2 3" xfId="2154"/>
    <cellStyle name="Normal 2 23 2 3" xfId="2155"/>
    <cellStyle name="Normal 2 23 3" xfId="2156"/>
    <cellStyle name="Normal 2 23 4" xfId="2157"/>
    <cellStyle name="Normal 2 23_Fsoft Finance Report 0809 Template" xfId="2158"/>
    <cellStyle name="Normal 2 24" xfId="2159"/>
    <cellStyle name="Normal 2 24 2" xfId="2160"/>
    <cellStyle name="Normal 2 24 2 2" xfId="2161"/>
    <cellStyle name="Normal 2 24 2 2 2" xfId="2162"/>
    <cellStyle name="Normal 2 24 2 2 3" xfId="2163"/>
    <cellStyle name="Normal 2 24 2 3" xfId="2164"/>
    <cellStyle name="Normal 2 24 3" xfId="2165"/>
    <cellStyle name="Normal 2 24 4" xfId="2166"/>
    <cellStyle name="Normal 2 24_Fsoft Finance Report 0809 Template" xfId="2167"/>
    <cellStyle name="Normal 2 25" xfId="2168"/>
    <cellStyle name="Normal 2 25 2" xfId="2169"/>
    <cellStyle name="Normal 2 25 2 2" xfId="2170"/>
    <cellStyle name="Normal 2 25 2 2 2" xfId="2171"/>
    <cellStyle name="Normal 2 25 2 2 3" xfId="2172"/>
    <cellStyle name="Normal 2 25 2 3" xfId="2173"/>
    <cellStyle name="Normal 2 25 3" xfId="2174"/>
    <cellStyle name="Normal 2 25 4" xfId="2175"/>
    <cellStyle name="Normal 2 25_Fsoft Finance Report 0809 Template" xfId="2176"/>
    <cellStyle name="Normal 2 26" xfId="2177"/>
    <cellStyle name="Normal 2 26 2" xfId="2178"/>
    <cellStyle name="Normal 2 26 2 2" xfId="2179"/>
    <cellStyle name="Normal 2 26 2 2 2" xfId="2180"/>
    <cellStyle name="Normal 2 26 2 2 3" xfId="2181"/>
    <cellStyle name="Normal 2 26 2 3" xfId="2182"/>
    <cellStyle name="Normal 2 26 3" xfId="2183"/>
    <cellStyle name="Normal 2 26 4" xfId="2184"/>
    <cellStyle name="Normal 2 26_Fsoft Finance Report 0809 Template" xfId="2185"/>
    <cellStyle name="Normal 2 27" xfId="2186"/>
    <cellStyle name="Normal 2 27 2" xfId="2187"/>
    <cellStyle name="Normal 2 27 3" xfId="2188"/>
    <cellStyle name="Normal 2 27_Budget 2009-Plan B-Final" xfId="2189"/>
    <cellStyle name="Normal 2 28" xfId="2190"/>
    <cellStyle name="Normal 2 28 2" xfId="2191"/>
    <cellStyle name="Normal 2 28 3" xfId="2192"/>
    <cellStyle name="Normal 2 28_Budget 2009-Plan B-Final" xfId="2193"/>
    <cellStyle name="Normal 2 29" xfId="2194"/>
    <cellStyle name="Normal 2 29 2" xfId="2195"/>
    <cellStyle name="Normal 2 29 2 2" xfId="2196"/>
    <cellStyle name="Normal 2 29 2 3" xfId="2197"/>
    <cellStyle name="Normal 2 29 2_Fsoft Finance Report 0809 Template" xfId="2198"/>
    <cellStyle name="Normal 2 29 3" xfId="2199"/>
    <cellStyle name="Normal 2 29_Fsoft Finance Report 0809 Template" xfId="2200"/>
    <cellStyle name="Normal 2 3" xfId="2201"/>
    <cellStyle name="Normal 2 3 10" xfId="2202"/>
    <cellStyle name="Normal 2 3 2" xfId="2203"/>
    <cellStyle name="Normal 2 3 2 2" xfId="2204"/>
    <cellStyle name="Normal 2 3 2 2 2" xfId="2205"/>
    <cellStyle name="Normal 2 3 2 2 2 2" xfId="2206"/>
    <cellStyle name="Normal 2 3 2 2 2 2 2" xfId="2207"/>
    <cellStyle name="Normal 2 3 2 2 2 2 3" xfId="2208"/>
    <cellStyle name="Normal 2 3 2 2 2 2 4" xfId="2209"/>
    <cellStyle name="Normal 2 3 2 2 2 2 5" xfId="2210"/>
    <cellStyle name="Normal 2 3 2 2 2 2 6" xfId="2211"/>
    <cellStyle name="Normal 2 3 2 2 2 2 7" xfId="2212"/>
    <cellStyle name="Normal 2 3 2 2 2 2 8" xfId="2213"/>
    <cellStyle name="Normal 2 3 2 2 2 3" xfId="2214"/>
    <cellStyle name="Normal 2 3 2 2 2 4" xfId="2215"/>
    <cellStyle name="Normal 2 3 2 2 2 5" xfId="2216"/>
    <cellStyle name="Normal 2 3 2 2 2 6" xfId="2217"/>
    <cellStyle name="Normal 2 3 2 2 2 7" xfId="2218"/>
    <cellStyle name="Normal 2 3 2 2 2 8" xfId="2219"/>
    <cellStyle name="Normal 2 3 2 2 3" xfId="2220"/>
    <cellStyle name="Normal 2 3 2 2 4" xfId="2221"/>
    <cellStyle name="Normal 2 3 2 2 5" xfId="2222"/>
    <cellStyle name="Normal 2 3 2 2 6" xfId="2223"/>
    <cellStyle name="Normal 2 3 2 2 7" xfId="2224"/>
    <cellStyle name="Normal 2 3 2 2 8" xfId="2225"/>
    <cellStyle name="Normal 2 3 2 2 9" xfId="2226"/>
    <cellStyle name="Normal 2 3 2 3" xfId="2227"/>
    <cellStyle name="Normal 2 3 2 3 2" xfId="2228"/>
    <cellStyle name="Normal 2 3 2 3 3" xfId="2229"/>
    <cellStyle name="Normal 2 3 2 3 4" xfId="2230"/>
    <cellStyle name="Normal 2 3 2 3 5" xfId="2231"/>
    <cellStyle name="Normal 2 3 2 3 6" xfId="2232"/>
    <cellStyle name="Normal 2 3 2 3 7" xfId="2233"/>
    <cellStyle name="Normal 2 3 2 3 8" xfId="2234"/>
    <cellStyle name="Normal 2 3 2 4" xfId="2235"/>
    <cellStyle name="Normal 2 3 2 5" xfId="2236"/>
    <cellStyle name="Normal 2 3 2 6" xfId="2237"/>
    <cellStyle name="Normal 2 3 2 7" xfId="2238"/>
    <cellStyle name="Normal 2 3 2 8" xfId="2239"/>
    <cellStyle name="Normal 2 3 2 9" xfId="2240"/>
    <cellStyle name="Normal 2 3 3" xfId="2241"/>
    <cellStyle name="Normal 2 3 3 2" xfId="2242"/>
    <cellStyle name="Normal 2 3 3 2 2" xfId="2243"/>
    <cellStyle name="Normal 2 3 3 2 3" xfId="2244"/>
    <cellStyle name="Normal 2 3 3 2 4" xfId="2245"/>
    <cellStyle name="Normal 2 3 3 2 5" xfId="2246"/>
    <cellStyle name="Normal 2 3 3 2 6" xfId="2247"/>
    <cellStyle name="Normal 2 3 3 2 7" xfId="2248"/>
    <cellStyle name="Normal 2 3 3 2 8" xfId="2249"/>
    <cellStyle name="Normal 2 3 3 3" xfId="2250"/>
    <cellStyle name="Normal 2 3 3 4" xfId="2251"/>
    <cellStyle name="Normal 2 3 3 5" xfId="2252"/>
    <cellStyle name="Normal 2 3 3 6" xfId="2253"/>
    <cellStyle name="Normal 2 3 3 7" xfId="2254"/>
    <cellStyle name="Normal 2 3 3 8" xfId="2255"/>
    <cellStyle name="Normal 2 3 4" xfId="2256"/>
    <cellStyle name="Normal 2 3 5" xfId="2257"/>
    <cellStyle name="Normal 2 3 6" xfId="2258"/>
    <cellStyle name="Normal 2 3 7" xfId="2259"/>
    <cellStyle name="Normal 2 3 8" xfId="2260"/>
    <cellStyle name="Normal 2 3 9" xfId="2261"/>
    <cellStyle name="Normal 2 3_Fsoft Finance Report 0809 Template" xfId="2262"/>
    <cellStyle name="Normal 2 30" xfId="2263"/>
    <cellStyle name="Normal 2 31" xfId="2264"/>
    <cellStyle name="Normal 2 32" xfId="2265"/>
    <cellStyle name="Normal 2 33" xfId="2266"/>
    <cellStyle name="Normal 2 34" xfId="2267"/>
    <cellStyle name="Normal 2 34 2" xfId="2268"/>
    <cellStyle name="Normal 2 34 3" xfId="2269"/>
    <cellStyle name="Normal 2 34_Gui Ha" xfId="2270"/>
    <cellStyle name="Normal 2 35" xfId="2271"/>
    <cellStyle name="Normal 2 36" xfId="2272"/>
    <cellStyle name="Normal 2 37" xfId="2273"/>
    <cellStyle name="Normal 2 38" xfId="2274"/>
    <cellStyle name="Normal 2 39" xfId="2275"/>
    <cellStyle name="Normal 2 4" xfId="2276"/>
    <cellStyle name="Normal 2 4 2" xfId="2277"/>
    <cellStyle name="Normal 2 4_Fsoft Finance Report 0809 Template" xfId="2278"/>
    <cellStyle name="Normal 2 40" xfId="2279"/>
    <cellStyle name="Normal 2 41" xfId="2280"/>
    <cellStyle name="Normal 2 42" xfId="2281"/>
    <cellStyle name="Normal 2 43" xfId="2282"/>
    <cellStyle name="Normal 2 44" xfId="2283"/>
    <cellStyle name="Normal 2 45" xfId="2284"/>
    <cellStyle name="Normal 2 46" xfId="2285"/>
    <cellStyle name="Normal 2 47" xfId="2286"/>
    <cellStyle name="Normal 2 48" xfId="2287"/>
    <cellStyle name="Normal 2 49" xfId="2288"/>
    <cellStyle name="Normal 2 5" xfId="2289"/>
    <cellStyle name="Normal 2 5 2" xfId="2290"/>
    <cellStyle name="Normal 2 5_Fsoft Finance Report 0809 Template" xfId="2291"/>
    <cellStyle name="Normal 2 6" xfId="2292"/>
    <cellStyle name="Normal 2 6 2" xfId="2293"/>
    <cellStyle name="Normal 2 6 2 2" xfId="2294"/>
    <cellStyle name="Normal 2 6 2 3" xfId="2295"/>
    <cellStyle name="Normal 2 6 2 4" xfId="2296"/>
    <cellStyle name="Normal 2 6 2 5" xfId="2297"/>
    <cellStyle name="Normal 2 6 2 6" xfId="2298"/>
    <cellStyle name="Normal 2 6 2 7" xfId="2299"/>
    <cellStyle name="Normal 2 6 2 8" xfId="2300"/>
    <cellStyle name="Normal 2 6 3" xfId="2301"/>
    <cellStyle name="Normal 2 6 4" xfId="2302"/>
    <cellStyle name="Normal 2 6 5" xfId="2303"/>
    <cellStyle name="Normal 2 6 6" xfId="2304"/>
    <cellStyle name="Normal 2 6 7" xfId="2305"/>
    <cellStyle name="Normal 2 6 8" xfId="2306"/>
    <cellStyle name="Normal 2 6_Fsoft Finance Report 0809 Template" xfId="2307"/>
    <cellStyle name="Normal 2 7" xfId="2308"/>
    <cellStyle name="Normal 2 7 2" xfId="2309"/>
    <cellStyle name="Normal 2 7 2 2" xfId="2310"/>
    <cellStyle name="Normal 2 7 2 2 2" xfId="2311"/>
    <cellStyle name="Normal 2 7 2 2 3" xfId="2312"/>
    <cellStyle name="Normal 2 7 2 3" xfId="2313"/>
    <cellStyle name="Normal 2 7 3" xfId="2314"/>
    <cellStyle name="Normal 2 7 4" xfId="2315"/>
    <cellStyle name="Normal 2 7_Fsoft Finance Report 0809 Template" xfId="2316"/>
    <cellStyle name="Normal 2 8" xfId="2317"/>
    <cellStyle name="Normal 2 8 2" xfId="2318"/>
    <cellStyle name="Normal 2 8 3" xfId="2319"/>
    <cellStyle name="Normal 2 8 4" xfId="2320"/>
    <cellStyle name="Normal 2 8_Budget 2009-Plan B-Final" xfId="2321"/>
    <cellStyle name="Normal 2 9" xfId="2322"/>
    <cellStyle name="Normal 2 9 2" xfId="2323"/>
    <cellStyle name="Normal 2 9 2 2" xfId="2324"/>
    <cellStyle name="Normal 2 9 2 2 2" xfId="2325"/>
    <cellStyle name="Normal 2 9 2 2 3" xfId="2326"/>
    <cellStyle name="Normal 2 9 2 3" xfId="2327"/>
    <cellStyle name="Normal 2 9 3" xfId="2328"/>
    <cellStyle name="Normal 2 9 4" xfId="2329"/>
    <cellStyle name="Normal 2 9_Fsoft Finance Report 0809 Template" xfId="2330"/>
    <cellStyle name="Normal 2_data 2008 from OGs-G21" xfId="2331"/>
    <cellStyle name="Normal 20" xfId="2332"/>
    <cellStyle name="Normal 21" xfId="2333"/>
    <cellStyle name="Normal 22" xfId="2334"/>
    <cellStyle name="Normal 23" xfId="2335"/>
    <cellStyle name="Normal 24" xfId="2336"/>
    <cellStyle name="Normal 25" xfId="2337"/>
    <cellStyle name="Normal 26" xfId="2338"/>
    <cellStyle name="Normal 27" xfId="2339"/>
    <cellStyle name="Normal 28" xfId="2340"/>
    <cellStyle name="Normal 29" xfId="2341"/>
    <cellStyle name="Normal 3" xfId="2342"/>
    <cellStyle name="Normal 3 10" xfId="2343"/>
    <cellStyle name="Normal 3 11" xfId="2344"/>
    <cellStyle name="Normal 3 12" xfId="2345"/>
    <cellStyle name="Normal 3 13" xfId="2346"/>
    <cellStyle name="Normal 3 14" xfId="2347"/>
    <cellStyle name="Normal 3 15" xfId="2348"/>
    <cellStyle name="Normal 3 16" xfId="2349"/>
    <cellStyle name="Normal 3 17" xfId="2350"/>
    <cellStyle name="Normal 3 18" xfId="2351"/>
    <cellStyle name="Normal 3 19" xfId="2352"/>
    <cellStyle name="Normal 3 2" xfId="2353"/>
    <cellStyle name="Normal 3 2 10" xfId="2354"/>
    <cellStyle name="Normal 3 2 11" xfId="2355"/>
    <cellStyle name="Normal 3 2 12" xfId="2356"/>
    <cellStyle name="Normal 3 2 13" xfId="2357"/>
    <cellStyle name="Normal 3 2 14" xfId="2358"/>
    <cellStyle name="Normal 3 2 15" xfId="2359"/>
    <cellStyle name="Normal 3 2 16" xfId="2360"/>
    <cellStyle name="Normal 3 2 17" xfId="2361"/>
    <cellStyle name="Normal 3 2 18" xfId="2362"/>
    <cellStyle name="Normal 3 2 19" xfId="2363"/>
    <cellStyle name="Normal 3 2 2" xfId="2364"/>
    <cellStyle name="Normal 3 2 2 2" xfId="2365"/>
    <cellStyle name="Normal 3 2 2 3" xfId="2366"/>
    <cellStyle name="Normal 3 2 2 4" xfId="2367"/>
    <cellStyle name="Normal 3 2 2_Gui Ha" xfId="2368"/>
    <cellStyle name="Normal 3 2 20" xfId="2369"/>
    <cellStyle name="Normal 3 2 21" xfId="2370"/>
    <cellStyle name="Normal 3 2 22" xfId="2371"/>
    <cellStyle name="Normal 3 2 23" xfId="2372"/>
    <cellStyle name="Normal 3 2 24" xfId="2373"/>
    <cellStyle name="Normal 3 2 25" xfId="2374"/>
    <cellStyle name="Normal 3 2 26" xfId="2375"/>
    <cellStyle name="Normal 3 2 27" xfId="2376"/>
    <cellStyle name="Normal 3 2 28" xfId="2377"/>
    <cellStyle name="Normal 3 2 29" xfId="2378"/>
    <cellStyle name="Normal 3 2 3" xfId="2379"/>
    <cellStyle name="Normal 3 2 30" xfId="2380"/>
    <cellStyle name="Normal 3 2 31" xfId="2381"/>
    <cellStyle name="Normal 3 2 32" xfId="2382"/>
    <cellStyle name="Normal 3 2 33" xfId="2383"/>
    <cellStyle name="Normal 3 2 34" xfId="2384"/>
    <cellStyle name="Normal 3 2 35" xfId="2385"/>
    <cellStyle name="Normal 3 2 36" xfId="2386"/>
    <cellStyle name="Normal 3 2 37" xfId="2387"/>
    <cellStyle name="Normal 3 2 38" xfId="2388"/>
    <cellStyle name="Normal 3 2 39" xfId="2389"/>
    <cellStyle name="Normal 3 2 4" xfId="2390"/>
    <cellStyle name="Normal 3 2 40" xfId="2391"/>
    <cellStyle name="Normal 3 2 41" xfId="2392"/>
    <cellStyle name="Normal 3 2 42" xfId="2393"/>
    <cellStyle name="Normal 3 2 43" xfId="2394"/>
    <cellStyle name="Normal 3 2 44" xfId="2395"/>
    <cellStyle name="Normal 3 2 45" xfId="2396"/>
    <cellStyle name="Normal 3 2 46" xfId="2397"/>
    <cellStyle name="Normal 3 2 5" xfId="2398"/>
    <cellStyle name="Normal 3 2 5 2" xfId="2399"/>
    <cellStyle name="Normal 3 2 5_Gui Ha" xfId="2400"/>
    <cellStyle name="Normal 3 2 6" xfId="2401"/>
    <cellStyle name="Normal 3 2 7" xfId="2402"/>
    <cellStyle name="Normal 3 2 8" xfId="2403"/>
    <cellStyle name="Normal 3 2 9" xfId="2404"/>
    <cellStyle name="Normal 3 2_Budget 2009-Plan B-Final" xfId="2405"/>
    <cellStyle name="Normal 3 20" xfId="2406"/>
    <cellStyle name="Normal 3 21" xfId="2407"/>
    <cellStyle name="Normal 3 22" xfId="2408"/>
    <cellStyle name="Normal 3 23" xfId="2409"/>
    <cellStyle name="Normal 3 24" xfId="2410"/>
    <cellStyle name="Normal 3 25" xfId="2411"/>
    <cellStyle name="Normal 3 26" xfId="2412"/>
    <cellStyle name="Normal 3 27" xfId="2413"/>
    <cellStyle name="Normal 3 27 2" xfId="2414"/>
    <cellStyle name="Normal 3 27 3" xfId="2415"/>
    <cellStyle name="Normal 3 27_Gui Ha" xfId="2416"/>
    <cellStyle name="Normal 3 28" xfId="2417"/>
    <cellStyle name="Normal 3 28 2" xfId="2418"/>
    <cellStyle name="Normal 3 28 3" xfId="2419"/>
    <cellStyle name="Normal 3 28_Gui Ha" xfId="2420"/>
    <cellStyle name="Normal 3 29" xfId="2421"/>
    <cellStyle name="Normal 3 29 2" xfId="2422"/>
    <cellStyle name="Normal 3 29 2 2" xfId="2423"/>
    <cellStyle name="Normal 3 29 2_Gui Ha" xfId="2424"/>
    <cellStyle name="Normal 3 29 3" xfId="2425"/>
    <cellStyle name="Normal 3 29_Fsoft Finance Report 0809 Template" xfId="2426"/>
    <cellStyle name="Normal 3 3" xfId="2427"/>
    <cellStyle name="Normal 3 3 2" xfId="2428"/>
    <cellStyle name="Normal 3 30" xfId="2429"/>
    <cellStyle name="Normal 3 31" xfId="2430"/>
    <cellStyle name="Normal 3 32" xfId="2431"/>
    <cellStyle name="Normal 3 33" xfId="2432"/>
    <cellStyle name="Normal 3 34" xfId="2433"/>
    <cellStyle name="Normal 3 35" xfId="2434"/>
    <cellStyle name="Normal 3 36" xfId="2435"/>
    <cellStyle name="Normal 3 37" xfId="2436"/>
    <cellStyle name="Normal 3 38" xfId="2437"/>
    <cellStyle name="Normal 3 39" xfId="2438"/>
    <cellStyle name="Normal 3 4" xfId="2439"/>
    <cellStyle name="Normal 3 40" xfId="2440"/>
    <cellStyle name="Normal 3 41" xfId="2441"/>
    <cellStyle name="Normal 3 42" xfId="2442"/>
    <cellStyle name="Normal 3 43" xfId="2443"/>
    <cellStyle name="Normal 3 44" xfId="2444"/>
    <cellStyle name="Normal 3 45" xfId="2445"/>
    <cellStyle name="Normal 3 46" xfId="2446"/>
    <cellStyle name="Normal 3 47" xfId="2447"/>
    <cellStyle name="Normal 3 48" xfId="2448"/>
    <cellStyle name="Normal 3 49" xfId="2449"/>
    <cellStyle name="Normal 3 5" xfId="2450"/>
    <cellStyle name="Normal 3 50" xfId="2451"/>
    <cellStyle name="Normal 3 51" xfId="2452"/>
    <cellStyle name="Normal 3 52" xfId="2453"/>
    <cellStyle name="Normal 3 53" xfId="2454"/>
    <cellStyle name="Normal 3 54" xfId="2455"/>
    <cellStyle name="Normal 3 55" xfId="2456"/>
    <cellStyle name="Normal 3 56" xfId="2457"/>
    <cellStyle name="Normal 3 57" xfId="2458"/>
    <cellStyle name="Normal 3 58" xfId="2459"/>
    <cellStyle name="Normal 3 59" xfId="2460"/>
    <cellStyle name="Normal 3 6" xfId="2461"/>
    <cellStyle name="Normal 3 60" xfId="2462"/>
    <cellStyle name="Normal 3 61" xfId="2463"/>
    <cellStyle name="Normal 3 62" xfId="2464"/>
    <cellStyle name="Normal 3 63" xfId="2465"/>
    <cellStyle name="Normal 3 64" xfId="2466"/>
    <cellStyle name="Normal 3 65" xfId="2467"/>
    <cellStyle name="Normal 3 66" xfId="2468"/>
    <cellStyle name="Normal 3 67" xfId="2469"/>
    <cellStyle name="Normal 3 68" xfId="2470"/>
    <cellStyle name="Normal 3 69" xfId="2471"/>
    <cellStyle name="Normal 3 7" xfId="2472"/>
    <cellStyle name="Normal 3 70" xfId="2473"/>
    <cellStyle name="Normal 3 71" xfId="2474"/>
    <cellStyle name="Normal 3 72" xfId="2475"/>
    <cellStyle name="Normal 3 73" xfId="2476"/>
    <cellStyle name="Normal 3 74" xfId="2477"/>
    <cellStyle name="Normal 3 75" xfId="2478"/>
    <cellStyle name="Normal 3 75 2" xfId="2479"/>
    <cellStyle name="Normal 3 76" xfId="2480"/>
    <cellStyle name="Normal 3 8" xfId="2481"/>
    <cellStyle name="Normal 3 9" xfId="2482"/>
    <cellStyle name="Normal 3_PM T9 -revised Q3 1.0.xls-adjust G11+FSJ" xfId="2483"/>
    <cellStyle name="Normal 30" xfId="2484"/>
    <cellStyle name="Normal 30 2" xfId="2485"/>
    <cellStyle name="Normal 31" xfId="2486"/>
    <cellStyle name="Normal 32" xfId="2487"/>
    <cellStyle name="Normal 33" xfId="2488"/>
    <cellStyle name="Normal 34" xfId="2489"/>
    <cellStyle name="Normal 34 2" xfId="2490"/>
    <cellStyle name="Normal 35" xfId="2491"/>
    <cellStyle name="Normal 35 2" xfId="2492"/>
    <cellStyle name="Normal 35 2 2" xfId="2493"/>
    <cellStyle name="Normal 35 2_Fsoft Finance Report 0809 Template" xfId="2494"/>
    <cellStyle name="Normal 35 3" xfId="2495"/>
    <cellStyle name="Normal 35 4" xfId="2496"/>
    <cellStyle name="Normal 35 5" xfId="2497"/>
    <cellStyle name="Normal 35 6" xfId="2498"/>
    <cellStyle name="Normal 35_Fsoft Finance Report 0809 V0.9" xfId="2499"/>
    <cellStyle name="Normal 36" xfId="2500"/>
    <cellStyle name="Normal 37" xfId="2501"/>
    <cellStyle name="Normal 38" xfId="2502"/>
    <cellStyle name="Normal 39" xfId="2503"/>
    <cellStyle name="Normal 4" xfId="2504"/>
    <cellStyle name="Normal 4 2" xfId="2505"/>
    <cellStyle name="Normal 4 2 2" xfId="2506"/>
    <cellStyle name="Normal 4 3" xfId="2507"/>
    <cellStyle name="Normal 40" xfId="2508"/>
    <cellStyle name="Normal 41" xfId="2509"/>
    <cellStyle name="Normal 42" xfId="2510"/>
    <cellStyle name="Normal 43" xfId="2511"/>
    <cellStyle name="Normal 44" xfId="2512"/>
    <cellStyle name="Normal 45" xfId="2513"/>
    <cellStyle name="Normal 46" xfId="2514"/>
    <cellStyle name="Normal 47" xfId="2515"/>
    <cellStyle name="Normal 48" xfId="2516"/>
    <cellStyle name="Normal 49" xfId="2517"/>
    <cellStyle name="Normal 5" xfId="2518"/>
    <cellStyle name="Normal 5 2" xfId="2519"/>
    <cellStyle name="Normal 5 3" xfId="2520"/>
    <cellStyle name="Normal 5 4" xfId="3434"/>
    <cellStyle name="Normal 5_Fsoft Finance Report 1109 Template" xfId="2521"/>
    <cellStyle name="Normal 50" xfId="2522"/>
    <cellStyle name="Normal 51" xfId="2523"/>
    <cellStyle name="Normal 52" xfId="2524"/>
    <cellStyle name="Normal 53" xfId="2525"/>
    <cellStyle name="Normal 54" xfId="2526"/>
    <cellStyle name="Normal 55" xfId="2527"/>
    <cellStyle name="Normal 56" xfId="2528"/>
    <cellStyle name="Normal 57" xfId="2529"/>
    <cellStyle name="Normal 58" xfId="2530"/>
    <cellStyle name="Normal 6" xfId="2531"/>
    <cellStyle name="Normal 6 10" xfId="2532"/>
    <cellStyle name="Normal 6 11" xfId="2533"/>
    <cellStyle name="Normal 6 12" xfId="2534"/>
    <cellStyle name="Normal 6 13" xfId="2535"/>
    <cellStyle name="Normal 6 14" xfId="2536"/>
    <cellStyle name="Normal 6 15" xfId="2537"/>
    <cellStyle name="Normal 6 16" xfId="2538"/>
    <cellStyle name="Normal 6 17" xfId="2539"/>
    <cellStyle name="Normal 6 18" xfId="2540"/>
    <cellStyle name="Normal 6 19" xfId="2541"/>
    <cellStyle name="Normal 6 2" xfId="2542"/>
    <cellStyle name="Normal 6 20" xfId="2543"/>
    <cellStyle name="Normal 6 21" xfId="2544"/>
    <cellStyle name="Normal 6 22" xfId="2545"/>
    <cellStyle name="Normal 6 23" xfId="2546"/>
    <cellStyle name="Normal 6 24" xfId="2547"/>
    <cellStyle name="Normal 6 25" xfId="2548"/>
    <cellStyle name="Normal 6 26" xfId="2549"/>
    <cellStyle name="Normal 6 27" xfId="2550"/>
    <cellStyle name="Normal 6 28" xfId="2551"/>
    <cellStyle name="Normal 6 29" xfId="2552"/>
    <cellStyle name="Normal 6 3" xfId="2553"/>
    <cellStyle name="Normal 6 30" xfId="2554"/>
    <cellStyle name="Normal 6 31" xfId="2555"/>
    <cellStyle name="Normal 6 32" xfId="2556"/>
    <cellStyle name="Normal 6 33" xfId="2557"/>
    <cellStyle name="Normal 6 34" xfId="2558"/>
    <cellStyle name="Normal 6 35" xfId="2559"/>
    <cellStyle name="Normal 6 36" xfId="2560"/>
    <cellStyle name="Normal 6 37" xfId="2561"/>
    <cellStyle name="Normal 6 38" xfId="2562"/>
    <cellStyle name="Normal 6 39" xfId="2563"/>
    <cellStyle name="Normal 6 4" xfId="2564"/>
    <cellStyle name="Normal 6 40" xfId="2565"/>
    <cellStyle name="Normal 6 41" xfId="2566"/>
    <cellStyle name="Normal 6 42" xfId="2567"/>
    <cellStyle name="Normal 6 43" xfId="2568"/>
    <cellStyle name="Normal 6 44" xfId="2569"/>
    <cellStyle name="Normal 6 45" xfId="2570"/>
    <cellStyle name="Normal 6 46" xfId="2571"/>
    <cellStyle name="Normal 6 5" xfId="2572"/>
    <cellStyle name="Normal 6 6" xfId="2573"/>
    <cellStyle name="Normal 6 7" xfId="2574"/>
    <cellStyle name="Normal 6 8" xfId="2575"/>
    <cellStyle name="Normal 6 9" xfId="2576"/>
    <cellStyle name="Normal 6_Fsoft Finance Report 1109 Template" xfId="2577"/>
    <cellStyle name="Normal 7" xfId="2578"/>
    <cellStyle name="Normal 8" xfId="2579"/>
    <cellStyle name="Normal 8 2" xfId="2580"/>
    <cellStyle name="Normal 8 3" xfId="2581"/>
    <cellStyle name="Normal 8 4" xfId="2582"/>
    <cellStyle name="Normal 8 5" xfId="2583"/>
    <cellStyle name="Normal 8 6" xfId="2584"/>
    <cellStyle name="Normal 8 7" xfId="2585"/>
    <cellStyle name="Normal 8 8" xfId="2586"/>
    <cellStyle name="Normal 8 9" xfId="2587"/>
    <cellStyle name="Normal 9" xfId="2588"/>
    <cellStyle name="Normal1" xfId="2589"/>
    <cellStyle name="Normalny_Cennik obowiazuje od 06-08-2001 r (1)" xfId="2590"/>
    <cellStyle name="Note 10" xfId="2591"/>
    <cellStyle name="Note 11" xfId="2592"/>
    <cellStyle name="Note 12" xfId="2593"/>
    <cellStyle name="Note 13" xfId="2594"/>
    <cellStyle name="Note 2" xfId="2595"/>
    <cellStyle name="Note 2 2" xfId="2596"/>
    <cellStyle name="Note 2 3" xfId="2597"/>
    <cellStyle name="Note 3" xfId="2598"/>
    <cellStyle name="Note 4" xfId="2599"/>
    <cellStyle name="Note 5" xfId="2600"/>
    <cellStyle name="Note 6" xfId="2601"/>
    <cellStyle name="Note 7" xfId="2602"/>
    <cellStyle name="Note 8" xfId="2603"/>
    <cellStyle name="Note 9" xfId="2604"/>
    <cellStyle name="Output 10" xfId="2605"/>
    <cellStyle name="Output 11" xfId="2606"/>
    <cellStyle name="Output 12" xfId="2607"/>
    <cellStyle name="Output 13" xfId="2608"/>
    <cellStyle name="Output 2" xfId="2609"/>
    <cellStyle name="Output 2 2" xfId="2610"/>
    <cellStyle name="Output 2 3" xfId="2611"/>
    <cellStyle name="Output 3" xfId="2612"/>
    <cellStyle name="Output 4" xfId="2613"/>
    <cellStyle name="Output 5" xfId="2614"/>
    <cellStyle name="Output 6" xfId="2615"/>
    <cellStyle name="Output 7" xfId="2616"/>
    <cellStyle name="Output 8" xfId="2617"/>
    <cellStyle name="Output 9" xfId="2618"/>
    <cellStyle name="pe" xfId="2619"/>
    <cellStyle name="PEG" xfId="2620"/>
    <cellStyle name="Percent" xfId="2621" builtinId="5"/>
    <cellStyle name="Percent [2]" xfId="2622"/>
    <cellStyle name="Percent [2] 2" xfId="2623"/>
    <cellStyle name="Percent [2] 3" xfId="2624"/>
    <cellStyle name="Percent 10" xfId="2625"/>
    <cellStyle name="Percent 10 2" xfId="2626"/>
    <cellStyle name="Percent 11" xfId="2627"/>
    <cellStyle name="Percent 12" xfId="2628"/>
    <cellStyle name="Percent 13" xfId="2629"/>
    <cellStyle name="Percent 14" xfId="2630"/>
    <cellStyle name="Percent 15" xfId="2631"/>
    <cellStyle name="Percent 16" xfId="2632"/>
    <cellStyle name="Percent 17" xfId="2633"/>
    <cellStyle name="Percent 18" xfId="2634"/>
    <cellStyle name="Percent 19" xfId="2635"/>
    <cellStyle name="Percent 2" xfId="2636"/>
    <cellStyle name="Percent 2 10" xfId="2637"/>
    <cellStyle name="Percent 2 10 2" xfId="2638"/>
    <cellStyle name="Percent 2 10 2 2" xfId="2639"/>
    <cellStyle name="Percent 2 10 2 2 2" xfId="2640"/>
    <cellStyle name="Percent 2 10 2 2 3" xfId="2641"/>
    <cellStyle name="Percent 2 10 2 3" xfId="2642"/>
    <cellStyle name="Percent 2 10 3" xfId="2643"/>
    <cellStyle name="Percent 2 10 4" xfId="2644"/>
    <cellStyle name="Percent 2 11" xfId="2645"/>
    <cellStyle name="Percent 2 11 2" xfId="2646"/>
    <cellStyle name="Percent 2 11 2 2" xfId="2647"/>
    <cellStyle name="Percent 2 11 2 2 2" xfId="2648"/>
    <cellStyle name="Percent 2 11 2 2 3" xfId="2649"/>
    <cellStyle name="Percent 2 11 2 3" xfId="2650"/>
    <cellStyle name="Percent 2 11 3" xfId="2651"/>
    <cellStyle name="Percent 2 11 4" xfId="2652"/>
    <cellStyle name="Percent 2 12" xfId="2653"/>
    <cellStyle name="Percent 2 12 2" xfId="2654"/>
    <cellStyle name="Percent 2 12 2 2" xfId="2655"/>
    <cellStyle name="Percent 2 12 2 2 2" xfId="2656"/>
    <cellStyle name="Percent 2 12 2 2 3" xfId="2657"/>
    <cellStyle name="Percent 2 12 2 3" xfId="2658"/>
    <cellStyle name="Percent 2 12 3" xfId="2659"/>
    <cellStyle name="Percent 2 12 4" xfId="2660"/>
    <cellStyle name="Percent 2 13" xfId="2661"/>
    <cellStyle name="Percent 2 13 2" xfId="2662"/>
    <cellStyle name="Percent 2 13 2 2" xfId="2663"/>
    <cellStyle name="Percent 2 13 2 2 2" xfId="2664"/>
    <cellStyle name="Percent 2 13 2 2 3" xfId="2665"/>
    <cellStyle name="Percent 2 13 2 3" xfId="2666"/>
    <cellStyle name="Percent 2 13 3" xfId="2667"/>
    <cellStyle name="Percent 2 13 4" xfId="2668"/>
    <cellStyle name="Percent 2 14" xfId="2669"/>
    <cellStyle name="Percent 2 14 2" xfId="2670"/>
    <cellStyle name="Percent 2 14 2 2" xfId="2671"/>
    <cellStyle name="Percent 2 14 2 2 2" xfId="2672"/>
    <cellStyle name="Percent 2 14 2 2 3" xfId="2673"/>
    <cellStyle name="Percent 2 14 2 3" xfId="2674"/>
    <cellStyle name="Percent 2 14 3" xfId="2675"/>
    <cellStyle name="Percent 2 14 4" xfId="2676"/>
    <cellStyle name="Percent 2 15" xfId="2677"/>
    <cellStyle name="Percent 2 15 2" xfId="2678"/>
    <cellStyle name="Percent 2 15 2 2" xfId="2679"/>
    <cellStyle name="Percent 2 15 2 2 2" xfId="2680"/>
    <cellStyle name="Percent 2 15 2 2 3" xfId="2681"/>
    <cellStyle name="Percent 2 15 2 3" xfId="2682"/>
    <cellStyle name="Percent 2 15 3" xfId="2683"/>
    <cellStyle name="Percent 2 15 4" xfId="2684"/>
    <cellStyle name="Percent 2 16" xfId="2685"/>
    <cellStyle name="Percent 2 16 2" xfId="2686"/>
    <cellStyle name="Percent 2 16 2 2" xfId="2687"/>
    <cellStyle name="Percent 2 16 2 2 2" xfId="2688"/>
    <cellStyle name="Percent 2 16 2 2 3" xfId="2689"/>
    <cellStyle name="Percent 2 16 2 3" xfId="2690"/>
    <cellStyle name="Percent 2 16 3" xfId="2691"/>
    <cellStyle name="Percent 2 16 4" xfId="2692"/>
    <cellStyle name="Percent 2 17" xfId="2693"/>
    <cellStyle name="Percent 2 17 2" xfId="2694"/>
    <cellStyle name="Percent 2 17 2 2" xfId="2695"/>
    <cellStyle name="Percent 2 17 2 2 2" xfId="2696"/>
    <cellStyle name="Percent 2 17 2 2 3" xfId="2697"/>
    <cellStyle name="Percent 2 17 2 3" xfId="2698"/>
    <cellStyle name="Percent 2 17 3" xfId="2699"/>
    <cellStyle name="Percent 2 17 4" xfId="2700"/>
    <cellStyle name="Percent 2 18" xfId="2701"/>
    <cellStyle name="Percent 2 18 2" xfId="2702"/>
    <cellStyle name="Percent 2 18 2 2" xfId="2703"/>
    <cellStyle name="Percent 2 18 2 2 2" xfId="2704"/>
    <cellStyle name="Percent 2 18 2 2 3" xfId="2705"/>
    <cellStyle name="Percent 2 18 2 3" xfId="2706"/>
    <cellStyle name="Percent 2 18 3" xfId="2707"/>
    <cellStyle name="Percent 2 18 4" xfId="2708"/>
    <cellStyle name="Percent 2 19" xfId="2709"/>
    <cellStyle name="Percent 2 19 2" xfId="2710"/>
    <cellStyle name="Percent 2 19 2 2" xfId="2711"/>
    <cellStyle name="Percent 2 19 2 2 2" xfId="2712"/>
    <cellStyle name="Percent 2 19 2 2 3" xfId="2713"/>
    <cellStyle name="Percent 2 19 2 3" xfId="2714"/>
    <cellStyle name="Percent 2 19 3" xfId="2715"/>
    <cellStyle name="Percent 2 19 4" xfId="2716"/>
    <cellStyle name="Percent 2 2" xfId="2717"/>
    <cellStyle name="Percent 2 2 2" xfId="2718"/>
    <cellStyle name="Percent 2 2 2 2" xfId="2719"/>
    <cellStyle name="Percent 2 2 2 2 2" xfId="2720"/>
    <cellStyle name="Percent 2 2 2 2 2 2" xfId="2721"/>
    <cellStyle name="Percent 2 2 2 2 2 3" xfId="2722"/>
    <cellStyle name="Percent 2 2 2 2 3" xfId="2723"/>
    <cellStyle name="Percent 2 2 2 2 4" xfId="2724"/>
    <cellStyle name="Percent 2 2 2 3" xfId="2725"/>
    <cellStyle name="Percent 2 2 2 4" xfId="2726"/>
    <cellStyle name="Percent 2 2 2 5" xfId="2727"/>
    <cellStyle name="Percent 2 2 2 5 2" xfId="2728"/>
    <cellStyle name="Percent 2 2 2 6" xfId="2729"/>
    <cellStyle name="Percent 2 2 2 7" xfId="2730"/>
    <cellStyle name="Percent 2 2 3" xfId="2731"/>
    <cellStyle name="Percent 2 2 3 2" xfId="2732"/>
    <cellStyle name="Percent 2 2 3 2 2" xfId="2733"/>
    <cellStyle name="Percent 2 2 3 2 3" xfId="2734"/>
    <cellStyle name="Percent 2 2 3 3" xfId="2735"/>
    <cellStyle name="Percent 2 2 4" xfId="2736"/>
    <cellStyle name="Percent 2 2 4 2" xfId="2737"/>
    <cellStyle name="Percent 2 2 4 2 2" xfId="2738"/>
    <cellStyle name="Percent 2 2 4 2 3" xfId="2739"/>
    <cellStyle name="Percent 2 2 4 3" xfId="2740"/>
    <cellStyle name="Percent 2 2 5" xfId="2741"/>
    <cellStyle name="Percent 2 2 5 2" xfId="2742"/>
    <cellStyle name="Percent 2 2 5 3" xfId="2743"/>
    <cellStyle name="Percent 2 2 6" xfId="2744"/>
    <cellStyle name="Percent 2 2 7" xfId="2745"/>
    <cellStyle name="Percent 2 20" xfId="2746"/>
    <cellStyle name="Percent 2 20 2" xfId="2747"/>
    <cellStyle name="Percent 2 20 2 2" xfId="2748"/>
    <cellStyle name="Percent 2 20 2 2 2" xfId="2749"/>
    <cellStyle name="Percent 2 20 2 2 3" xfId="2750"/>
    <cellStyle name="Percent 2 20 2 3" xfId="2751"/>
    <cellStyle name="Percent 2 20 3" xfId="2752"/>
    <cellStyle name="Percent 2 20 4" xfId="2753"/>
    <cellStyle name="Percent 2 21" xfId="2754"/>
    <cellStyle name="Percent 2 21 2" xfId="2755"/>
    <cellStyle name="Percent 2 21 2 2" xfId="2756"/>
    <cellStyle name="Percent 2 21 2 2 2" xfId="2757"/>
    <cellStyle name="Percent 2 21 2 2 3" xfId="2758"/>
    <cellStyle name="Percent 2 21 2 3" xfId="2759"/>
    <cellStyle name="Percent 2 21 3" xfId="2760"/>
    <cellStyle name="Percent 2 21 4" xfId="2761"/>
    <cellStyle name="Percent 2 22" xfId="2762"/>
    <cellStyle name="Percent 2 22 2" xfId="2763"/>
    <cellStyle name="Percent 2 22 2 2" xfId="2764"/>
    <cellStyle name="Percent 2 22 2 2 2" xfId="2765"/>
    <cellStyle name="Percent 2 22 2 2 3" xfId="2766"/>
    <cellStyle name="Percent 2 22 2 3" xfId="2767"/>
    <cellStyle name="Percent 2 22 3" xfId="2768"/>
    <cellStyle name="Percent 2 22 4" xfId="2769"/>
    <cellStyle name="Percent 2 23" xfId="2770"/>
    <cellStyle name="Percent 2 23 2" xfId="2771"/>
    <cellStyle name="Percent 2 23 2 2" xfId="2772"/>
    <cellStyle name="Percent 2 23 2 2 2" xfId="2773"/>
    <cellStyle name="Percent 2 23 2 2 3" xfId="2774"/>
    <cellStyle name="Percent 2 23 2 3" xfId="2775"/>
    <cellStyle name="Percent 2 23 3" xfId="2776"/>
    <cellStyle name="Percent 2 23 4" xfId="2777"/>
    <cellStyle name="Percent 2 24" xfId="2778"/>
    <cellStyle name="Percent 2 24 2" xfId="2779"/>
    <cellStyle name="Percent 2 24 2 2" xfId="2780"/>
    <cellStyle name="Percent 2 24 2 2 2" xfId="2781"/>
    <cellStyle name="Percent 2 24 2 2 3" xfId="2782"/>
    <cellStyle name="Percent 2 24 2 3" xfId="2783"/>
    <cellStyle name="Percent 2 24 3" xfId="2784"/>
    <cellStyle name="Percent 2 24 4" xfId="2785"/>
    <cellStyle name="Percent 2 25" xfId="2786"/>
    <cellStyle name="Percent 2 25 2" xfId="2787"/>
    <cellStyle name="Percent 2 25 2 2" xfId="2788"/>
    <cellStyle name="Percent 2 25 2 2 2" xfId="2789"/>
    <cellStyle name="Percent 2 25 2 2 3" xfId="2790"/>
    <cellStyle name="Percent 2 25 2 3" xfId="2791"/>
    <cellStyle name="Percent 2 25 3" xfId="2792"/>
    <cellStyle name="Percent 2 25 4" xfId="2793"/>
    <cellStyle name="Percent 2 26" xfId="2794"/>
    <cellStyle name="Percent 2 26 2" xfId="2795"/>
    <cellStyle name="Percent 2 26 2 2" xfId="2796"/>
    <cellStyle name="Percent 2 26 2 2 2" xfId="2797"/>
    <cellStyle name="Percent 2 26 2 2 3" xfId="2798"/>
    <cellStyle name="Percent 2 26 2 3" xfId="2799"/>
    <cellStyle name="Percent 2 26 3" xfId="2800"/>
    <cellStyle name="Percent 2 26 4" xfId="2801"/>
    <cellStyle name="Percent 2 27" xfId="2802"/>
    <cellStyle name="Percent 2 27 2" xfId="2803"/>
    <cellStyle name="Percent 2 27 3" xfId="2804"/>
    <cellStyle name="Percent 2 28" xfId="2805"/>
    <cellStyle name="Percent 2 28 2" xfId="2806"/>
    <cellStyle name="Percent 2 28 3" xfId="2807"/>
    <cellStyle name="Percent 2 29" xfId="2808"/>
    <cellStyle name="Percent 2 29 2" xfId="2809"/>
    <cellStyle name="Percent 2 29 2 2" xfId="2810"/>
    <cellStyle name="Percent 2 29 2 3" xfId="2811"/>
    <cellStyle name="Percent 2 29 3" xfId="2812"/>
    <cellStyle name="Percent 2 3" xfId="2813"/>
    <cellStyle name="Percent 2 3 2" xfId="2814"/>
    <cellStyle name="Percent 2 3 2 2" xfId="2815"/>
    <cellStyle name="Percent 2 3 2 2 2" xfId="2816"/>
    <cellStyle name="Percent 2 3 2 2 3" xfId="2817"/>
    <cellStyle name="Percent 2 3 2 3" xfId="2818"/>
    <cellStyle name="Percent 2 3 3" xfId="2819"/>
    <cellStyle name="Percent 2 3 4" xfId="2820"/>
    <cellStyle name="Percent 2 30" xfId="2821"/>
    <cellStyle name="Percent 2 31" xfId="2822"/>
    <cellStyle name="Percent 2 32" xfId="2823"/>
    <cellStyle name="Percent 2 33" xfId="2824"/>
    <cellStyle name="Percent 2 34" xfId="2825"/>
    <cellStyle name="Percent 2 35" xfId="2826"/>
    <cellStyle name="Percent 2 36" xfId="2827"/>
    <cellStyle name="Percent 2 37" xfId="2828"/>
    <cellStyle name="Percent 2 38" xfId="2829"/>
    <cellStyle name="Percent 2 39" xfId="2830"/>
    <cellStyle name="Percent 2 4" xfId="2831"/>
    <cellStyle name="Percent 2 4 2" xfId="2832"/>
    <cellStyle name="Percent 2 4 2 2" xfId="2833"/>
    <cellStyle name="Percent 2 4 2 2 2" xfId="2834"/>
    <cellStyle name="Percent 2 4 2 2 3" xfId="2835"/>
    <cellStyle name="Percent 2 4 2 3" xfId="2836"/>
    <cellStyle name="Percent 2 4 3" xfId="2837"/>
    <cellStyle name="Percent 2 4 4" xfId="2838"/>
    <cellStyle name="Percent 2 40" xfId="2839"/>
    <cellStyle name="Percent 2 41" xfId="2840"/>
    <cellStyle name="Percent 2 42" xfId="2841"/>
    <cellStyle name="Percent 2 43" xfId="2842"/>
    <cellStyle name="Percent 2 44" xfId="2843"/>
    <cellStyle name="Percent 2 45" xfId="2844"/>
    <cellStyle name="Percent 2 46" xfId="2845"/>
    <cellStyle name="Percent 2 47" xfId="2846"/>
    <cellStyle name="Percent 2 48" xfId="2847"/>
    <cellStyle name="Percent 2 5" xfId="2848"/>
    <cellStyle name="Percent 2 5 2" xfId="2849"/>
    <cellStyle name="Percent 2 5 2 2" xfId="2850"/>
    <cellStyle name="Percent 2 5 2 2 2" xfId="2851"/>
    <cellStyle name="Percent 2 5 2 2 3" xfId="2852"/>
    <cellStyle name="Percent 2 5 2 3" xfId="2853"/>
    <cellStyle name="Percent 2 5 3" xfId="2854"/>
    <cellStyle name="Percent 2 5 4" xfId="2855"/>
    <cellStyle name="Percent 2 6" xfId="2856"/>
    <cellStyle name="Percent 2 6 2" xfId="2857"/>
    <cellStyle name="Percent 2 6 2 2" xfId="2858"/>
    <cellStyle name="Percent 2 6 2 2 2" xfId="2859"/>
    <cellStyle name="Percent 2 6 2 2 3" xfId="2860"/>
    <cellStyle name="Percent 2 6 2 3" xfId="2861"/>
    <cellStyle name="Percent 2 6 3" xfId="2862"/>
    <cellStyle name="Percent 2 6 4" xfId="2863"/>
    <cellStyle name="Percent 2 7" xfId="2864"/>
    <cellStyle name="Percent 2 7 2" xfId="2865"/>
    <cellStyle name="Percent 2 7 2 2" xfId="2866"/>
    <cellStyle name="Percent 2 7 2 2 2" xfId="2867"/>
    <cellStyle name="Percent 2 7 2 2 3" xfId="2868"/>
    <cellStyle name="Percent 2 7 2 3" xfId="2869"/>
    <cellStyle name="Percent 2 7 3" xfId="2870"/>
    <cellStyle name="Percent 2 7 4" xfId="2871"/>
    <cellStyle name="Percent 2 8" xfId="2872"/>
    <cellStyle name="Percent 2 8 2" xfId="2873"/>
    <cellStyle name="Percent 2 8 3" xfId="2874"/>
    <cellStyle name="Percent 2 8 4" xfId="2875"/>
    <cellStyle name="Percent 2 9" xfId="2876"/>
    <cellStyle name="Percent 2 9 2" xfId="2877"/>
    <cellStyle name="Percent 2 9 2 2" xfId="2878"/>
    <cellStyle name="Percent 2 9 2 2 2" xfId="2879"/>
    <cellStyle name="Percent 2 9 2 2 3" xfId="2880"/>
    <cellStyle name="Percent 2 9 2 3" xfId="2881"/>
    <cellStyle name="Percent 2 9 3" xfId="2882"/>
    <cellStyle name="Percent 2 9 4" xfId="2883"/>
    <cellStyle name="Percent 20" xfId="2884"/>
    <cellStyle name="Percent 21" xfId="2885"/>
    <cellStyle name="Percent 22" xfId="2886"/>
    <cellStyle name="Percent 23" xfId="2887"/>
    <cellStyle name="Percent 24" xfId="2888"/>
    <cellStyle name="Percent 25" xfId="2889"/>
    <cellStyle name="Percent 26" xfId="2890"/>
    <cellStyle name="Percent 27" xfId="2891"/>
    <cellStyle name="Percent 28" xfId="2892"/>
    <cellStyle name="Percent 29" xfId="2893"/>
    <cellStyle name="Percent 3" xfId="2894"/>
    <cellStyle name="Percent 3 10" xfId="2895"/>
    <cellStyle name="Percent 3 11" xfId="2896"/>
    <cellStyle name="Percent 3 12" xfId="2897"/>
    <cellStyle name="Percent 3 13" xfId="2898"/>
    <cellStyle name="Percent 3 14" xfId="2899"/>
    <cellStyle name="Percent 3 15" xfId="2900"/>
    <cellStyle name="Percent 3 16" xfId="2901"/>
    <cellStyle name="Percent 3 17" xfId="2902"/>
    <cellStyle name="Percent 3 18" xfId="2903"/>
    <cellStyle name="Percent 3 19" xfId="2904"/>
    <cellStyle name="Percent 3 2" xfId="2905"/>
    <cellStyle name="Percent 3 2 2" xfId="2906"/>
    <cellStyle name="Percent 3 2 3" xfId="2907"/>
    <cellStyle name="Percent 3 2 4" xfId="2908"/>
    <cellStyle name="Percent 3 2 5" xfId="2909"/>
    <cellStyle name="Percent 3 2 6" xfId="2910"/>
    <cellStyle name="Percent 3 2 7" xfId="2911"/>
    <cellStyle name="Percent 3 20" xfId="2912"/>
    <cellStyle name="Percent 3 21" xfId="2913"/>
    <cellStyle name="Percent 3 22" xfId="2914"/>
    <cellStyle name="Percent 3 23" xfId="2915"/>
    <cellStyle name="Percent 3 24" xfId="2916"/>
    <cellStyle name="Percent 3 25" xfId="2917"/>
    <cellStyle name="Percent 3 26" xfId="2918"/>
    <cellStyle name="Percent 3 27" xfId="2919"/>
    <cellStyle name="Percent 3 27 2" xfId="2920"/>
    <cellStyle name="Percent 3 27 3" xfId="2921"/>
    <cellStyle name="Percent 3 28" xfId="2922"/>
    <cellStyle name="Percent 3 29" xfId="2923"/>
    <cellStyle name="Percent 3 3" xfId="2924"/>
    <cellStyle name="Percent 3 30" xfId="2925"/>
    <cellStyle name="Percent 3 31" xfId="2926"/>
    <cellStyle name="Percent 3 32" xfId="2927"/>
    <cellStyle name="Percent 3 33" xfId="2928"/>
    <cellStyle name="Percent 3 34" xfId="2929"/>
    <cellStyle name="Percent 3 35" xfId="2930"/>
    <cellStyle name="Percent 3 36" xfId="2931"/>
    <cellStyle name="Percent 3 37" xfId="2932"/>
    <cellStyle name="Percent 3 38" xfId="2933"/>
    <cellStyle name="Percent 3 39" xfId="2934"/>
    <cellStyle name="Percent 3 4" xfId="2935"/>
    <cellStyle name="Percent 3 40" xfId="2936"/>
    <cellStyle name="Percent 3 41" xfId="2937"/>
    <cellStyle name="Percent 3 42" xfId="2938"/>
    <cellStyle name="Percent 3 43" xfId="2939"/>
    <cellStyle name="Percent 3 44" xfId="2940"/>
    <cellStyle name="Percent 3 45" xfId="2941"/>
    <cellStyle name="Percent 3 46" xfId="2942"/>
    <cellStyle name="Percent 3 47" xfId="2943"/>
    <cellStyle name="Percent 3 48" xfId="2944"/>
    <cellStyle name="Percent 3 49" xfId="2945"/>
    <cellStyle name="Percent 3 5" xfId="2946"/>
    <cellStyle name="Percent 3 50" xfId="2947"/>
    <cellStyle name="Percent 3 51" xfId="2948"/>
    <cellStyle name="Percent 3 52" xfId="2949"/>
    <cellStyle name="Percent 3 53" xfId="2950"/>
    <cellStyle name="Percent 3 54" xfId="2951"/>
    <cellStyle name="Percent 3 55" xfId="2952"/>
    <cellStyle name="Percent 3 56" xfId="2953"/>
    <cellStyle name="Percent 3 57" xfId="2954"/>
    <cellStyle name="Percent 3 58" xfId="2955"/>
    <cellStyle name="Percent 3 59" xfId="2956"/>
    <cellStyle name="Percent 3 6" xfId="2957"/>
    <cellStyle name="Percent 3 60" xfId="2958"/>
    <cellStyle name="Percent 3 61" xfId="2959"/>
    <cellStyle name="Percent 3 62" xfId="2960"/>
    <cellStyle name="Percent 3 63" xfId="2961"/>
    <cellStyle name="Percent 3 64" xfId="2962"/>
    <cellStyle name="Percent 3 65" xfId="2963"/>
    <cellStyle name="Percent 3 66" xfId="2964"/>
    <cellStyle name="Percent 3 67" xfId="2965"/>
    <cellStyle name="Percent 3 68" xfId="2966"/>
    <cellStyle name="Percent 3 69" xfId="2967"/>
    <cellStyle name="Percent 3 7" xfId="2968"/>
    <cellStyle name="Percent 3 70" xfId="2969"/>
    <cellStyle name="Percent 3 71" xfId="2970"/>
    <cellStyle name="Percent 3 72" xfId="2971"/>
    <cellStyle name="Percent 3 73" xfId="2972"/>
    <cellStyle name="Percent 3 8" xfId="2973"/>
    <cellStyle name="Percent 3 9" xfId="2974"/>
    <cellStyle name="Percent 30" xfId="2975"/>
    <cellStyle name="Percent 31" xfId="2976"/>
    <cellStyle name="Percent 31 2" xfId="2977"/>
    <cellStyle name="Percent 34" xfId="2978"/>
    <cellStyle name="Percent 34 2" xfId="2979"/>
    <cellStyle name="Percent 34 3" xfId="2980"/>
    <cellStyle name="Percent 35" xfId="2981"/>
    <cellStyle name="Percent 35 2" xfId="2982"/>
    <cellStyle name="Percent 35 2 2" xfId="2983"/>
    <cellStyle name="Percent 35 2 3" xfId="2984"/>
    <cellStyle name="Percent 35 3" xfId="2985"/>
    <cellStyle name="Percent 35 4" xfId="2986"/>
    <cellStyle name="Percent 4" xfId="2987"/>
    <cellStyle name="Percent 4 2" xfId="2988"/>
    <cellStyle name="Percent 4 3" xfId="2989"/>
    <cellStyle name="Percent 5" xfId="2990"/>
    <cellStyle name="Percent 52" xfId="2991"/>
    <cellStyle name="Percent 52 2" xfId="2992"/>
    <cellStyle name="Percent 52 3" xfId="2993"/>
    <cellStyle name="Percent 6" xfId="2994"/>
    <cellStyle name="Percent 6 2" xfId="2995"/>
    <cellStyle name="Percent 7" xfId="2996"/>
    <cellStyle name="Percent 8" xfId="2997"/>
    <cellStyle name="Percent 9" xfId="2998"/>
    <cellStyle name="price" xfId="2999"/>
    <cellStyle name="PSChar" xfId="3000"/>
    <cellStyle name="PSHeading" xfId="3001"/>
    <cellStyle name="q" xfId="3002"/>
    <cellStyle name="q_Sheet1" xfId="3003"/>
    <cellStyle name="QEPS-h" xfId="3004"/>
    <cellStyle name="QEPS-H1" xfId="3005"/>
    <cellStyle name="qRange" xfId="3006"/>
    <cellStyle name="range" xfId="3007"/>
    <cellStyle name="RevList" xfId="3008"/>
    <cellStyle name="SAPBEXaggData" xfId="3009"/>
    <cellStyle name="SAPBEXaggDataEmph" xfId="3010"/>
    <cellStyle name="SAPBEXaggItem" xfId="3011"/>
    <cellStyle name="SAPBEXaggItemX" xfId="3012"/>
    <cellStyle name="SAPBEXchaText" xfId="3013"/>
    <cellStyle name="SAPBEXexcBad7" xfId="3014"/>
    <cellStyle name="SAPBEXexcBad8" xfId="3015"/>
    <cellStyle name="SAPBEXexcBad9" xfId="3016"/>
    <cellStyle name="SAPBEXexcCritical4" xfId="3017"/>
    <cellStyle name="SAPBEXexcCritical5" xfId="3018"/>
    <cellStyle name="SAPBEXexcCritical6" xfId="3019"/>
    <cellStyle name="SAPBEXexcGood1" xfId="3020"/>
    <cellStyle name="SAPBEXexcGood2" xfId="3021"/>
    <cellStyle name="SAPBEXexcGood3" xfId="3022"/>
    <cellStyle name="SAPBEXfilterDrill" xfId="3023"/>
    <cellStyle name="SAPBEXfilterItem" xfId="3024"/>
    <cellStyle name="SAPBEXfilterText" xfId="3025"/>
    <cellStyle name="SAPBEXformats" xfId="3026"/>
    <cellStyle name="SAPBEXheaderItem" xfId="3027"/>
    <cellStyle name="SAPBEXheaderText" xfId="3028"/>
    <cellStyle name="SAPBEXHLevel0" xfId="3029"/>
    <cellStyle name="SAPBEXHLevel0X" xfId="3030"/>
    <cellStyle name="SAPBEXHLevel1" xfId="3031"/>
    <cellStyle name="SAPBEXHLevel1X" xfId="3032"/>
    <cellStyle name="SAPBEXHLevel2" xfId="3033"/>
    <cellStyle name="SAPBEXHLevel2X" xfId="3034"/>
    <cellStyle name="SAPBEXHLevel3" xfId="3035"/>
    <cellStyle name="SAPBEXHLevel3X" xfId="3036"/>
    <cellStyle name="SAPBEXresData" xfId="3037"/>
    <cellStyle name="SAPBEXresDataEmph" xfId="3038"/>
    <cellStyle name="SAPBEXresItem" xfId="3039"/>
    <cellStyle name="SAPBEXresItemX" xfId="3040"/>
    <cellStyle name="SAPBEXstdData" xfId="3041"/>
    <cellStyle name="SAPBEXstdDataEmph" xfId="3042"/>
    <cellStyle name="SAPBEXstdItem" xfId="3043"/>
    <cellStyle name="SAPBEXstdItemX" xfId="3044"/>
    <cellStyle name="SAPBEXtitle" xfId="3045"/>
    <cellStyle name="SAPBEXundefined" xfId="3046"/>
    <cellStyle name="Style 1" xfId="3047"/>
    <cellStyle name="Style 2" xfId="3048"/>
    <cellStyle name="subhead" xfId="3049"/>
    <cellStyle name="SubHeading" xfId="3050"/>
    <cellStyle name="Subtotal" xfId="3051"/>
    <cellStyle name="T" xfId="3052"/>
    <cellStyle name="tcn" xfId="3053"/>
    <cellStyle name="th" xfId="3054"/>
    <cellStyle name="Title 10" xfId="3055"/>
    <cellStyle name="Title 11" xfId="3056"/>
    <cellStyle name="Title 12" xfId="3057"/>
    <cellStyle name="Title 13" xfId="3058"/>
    <cellStyle name="Title 2" xfId="3059"/>
    <cellStyle name="Title 2 2" xfId="3060"/>
    <cellStyle name="Title 2 3" xfId="3061"/>
    <cellStyle name="Title 3" xfId="3062"/>
    <cellStyle name="Title 4" xfId="3063"/>
    <cellStyle name="Title 5" xfId="3064"/>
    <cellStyle name="Title 6" xfId="3065"/>
    <cellStyle name="Title 7" xfId="3066"/>
    <cellStyle name="Title 8" xfId="3067"/>
    <cellStyle name="Title 9" xfId="3068"/>
    <cellStyle name="tn" xfId="3069"/>
    <cellStyle name="Total 10" xfId="3070"/>
    <cellStyle name="Total 11" xfId="3071"/>
    <cellStyle name="Total 12" xfId="3072"/>
    <cellStyle name="Total 13" xfId="3073"/>
    <cellStyle name="Total 2" xfId="3074"/>
    <cellStyle name="Total 2 2" xfId="3075"/>
    <cellStyle name="Total 2 3" xfId="3076"/>
    <cellStyle name="Total 3" xfId="3077"/>
    <cellStyle name="Total 4" xfId="3078"/>
    <cellStyle name="Total 5" xfId="3079"/>
    <cellStyle name="Total 6" xfId="3080"/>
    <cellStyle name="Total 7" xfId="3081"/>
    <cellStyle name="Total 8" xfId="3082"/>
    <cellStyle name="Total 9" xfId="3083"/>
    <cellStyle name="viet" xfId="3084"/>
    <cellStyle name="viet2" xfId="3085"/>
    <cellStyle name="vnbo" xfId="3086"/>
    <cellStyle name="vnhead1" xfId="3087"/>
    <cellStyle name="vnhead2" xfId="3088"/>
    <cellStyle name="vnhead3" xfId="3089"/>
    <cellStyle name="vnhead4" xfId="3090"/>
    <cellStyle name="vntxt1" xfId="3091"/>
    <cellStyle name="vntxt2" xfId="3092"/>
    <cellStyle name="Walutowy [0]_Invoices2001Slovakia" xfId="3093"/>
    <cellStyle name="Walutowy_Invoices2001Slovakia" xfId="3094"/>
    <cellStyle name="Warning Text 10" xfId="3095"/>
    <cellStyle name="Warning Text 11" xfId="3096"/>
    <cellStyle name="Warning Text 12" xfId="3097"/>
    <cellStyle name="Warning Text 13" xfId="3098"/>
    <cellStyle name="Warning Text 2" xfId="3099"/>
    <cellStyle name="Warning Text 2 2" xfId="3100"/>
    <cellStyle name="Warning Text 2 3" xfId="3101"/>
    <cellStyle name="Warning Text 3" xfId="3102"/>
    <cellStyle name="Warning Text 4" xfId="3103"/>
    <cellStyle name="Warning Text 5" xfId="3104"/>
    <cellStyle name="Warning Text 6" xfId="3105"/>
    <cellStyle name="Warning Text 7" xfId="3106"/>
    <cellStyle name="Warning Text 8" xfId="3107"/>
    <cellStyle name="Warning Text 9" xfId="3108"/>
    <cellStyle name="xuan" xfId="3109"/>
    <cellStyle name="アクセント 1" xfId="3110"/>
    <cellStyle name="アクセント 1 10" xfId="3111"/>
    <cellStyle name="アクセント 1 11" xfId="3112"/>
    <cellStyle name="アクセント 1 12" xfId="3113"/>
    <cellStyle name="アクセント 1 13" xfId="3114"/>
    <cellStyle name="アクセント 1 2" xfId="3115"/>
    <cellStyle name="アクセント 1 3" xfId="3116"/>
    <cellStyle name="アクセント 1 4" xfId="3117"/>
    <cellStyle name="アクセント 1 5" xfId="3118"/>
    <cellStyle name="アクセント 1 6" xfId="3119"/>
    <cellStyle name="アクセント 1 7" xfId="3120"/>
    <cellStyle name="アクセント 1 8" xfId="3121"/>
    <cellStyle name="アクセント 1 9" xfId="3122"/>
    <cellStyle name="アクセント 2" xfId="3123"/>
    <cellStyle name="アクセント 2 10" xfId="3124"/>
    <cellStyle name="アクセント 2 11" xfId="3125"/>
    <cellStyle name="アクセント 2 12" xfId="3126"/>
    <cellStyle name="アクセント 2 13" xfId="3127"/>
    <cellStyle name="アクセント 2 2" xfId="3128"/>
    <cellStyle name="アクセント 2 3" xfId="3129"/>
    <cellStyle name="アクセント 2 4" xfId="3130"/>
    <cellStyle name="アクセント 2 5" xfId="3131"/>
    <cellStyle name="アクセント 2 6" xfId="3132"/>
    <cellStyle name="アクセント 2 7" xfId="3133"/>
    <cellStyle name="アクセント 2 8" xfId="3134"/>
    <cellStyle name="アクセント 2 9" xfId="3135"/>
    <cellStyle name="アクセント 3" xfId="3136"/>
    <cellStyle name="アクセント 3 10" xfId="3137"/>
    <cellStyle name="アクセント 3 11" xfId="3138"/>
    <cellStyle name="アクセント 3 12" xfId="3139"/>
    <cellStyle name="アクセント 3 13" xfId="3140"/>
    <cellStyle name="アクセント 3 2" xfId="3141"/>
    <cellStyle name="アクセント 3 3" xfId="3142"/>
    <cellStyle name="アクセント 3 4" xfId="3143"/>
    <cellStyle name="アクセント 3 5" xfId="3144"/>
    <cellStyle name="アクセント 3 6" xfId="3145"/>
    <cellStyle name="アクセント 3 7" xfId="3146"/>
    <cellStyle name="アクセント 3 8" xfId="3147"/>
    <cellStyle name="アクセント 3 9" xfId="3148"/>
    <cellStyle name="アクセント 4" xfId="3149"/>
    <cellStyle name="アクセント 4 10" xfId="3150"/>
    <cellStyle name="アクセント 4 11" xfId="3151"/>
    <cellStyle name="アクセント 4 12" xfId="3152"/>
    <cellStyle name="アクセント 4 13" xfId="3153"/>
    <cellStyle name="アクセント 4 2" xfId="3154"/>
    <cellStyle name="アクセント 4 3" xfId="3155"/>
    <cellStyle name="アクセント 4 4" xfId="3156"/>
    <cellStyle name="アクセント 4 5" xfId="3157"/>
    <cellStyle name="アクセント 4 6" xfId="3158"/>
    <cellStyle name="アクセント 4 7" xfId="3159"/>
    <cellStyle name="アクセント 4 8" xfId="3160"/>
    <cellStyle name="アクセント 4 9" xfId="3161"/>
    <cellStyle name="アクセント 5" xfId="3162"/>
    <cellStyle name="アクセント 5 10" xfId="3163"/>
    <cellStyle name="アクセント 5 11" xfId="3164"/>
    <cellStyle name="アクセント 5 12" xfId="3165"/>
    <cellStyle name="アクセント 5 13" xfId="3166"/>
    <cellStyle name="アクセント 5 2" xfId="3167"/>
    <cellStyle name="アクセント 5 3" xfId="3168"/>
    <cellStyle name="アクセント 5 4" xfId="3169"/>
    <cellStyle name="アクセント 5 5" xfId="3170"/>
    <cellStyle name="アクセント 5 6" xfId="3171"/>
    <cellStyle name="アクセント 5 7" xfId="3172"/>
    <cellStyle name="アクセント 5 8" xfId="3173"/>
    <cellStyle name="アクセント 5 9" xfId="3174"/>
    <cellStyle name="アクセント 6" xfId="3175"/>
    <cellStyle name="アクセント 6 10" xfId="3176"/>
    <cellStyle name="アクセント 6 11" xfId="3177"/>
    <cellStyle name="アクセント 6 12" xfId="3178"/>
    <cellStyle name="アクセント 6 13" xfId="3179"/>
    <cellStyle name="アクセント 6 2" xfId="3180"/>
    <cellStyle name="アクセント 6 3" xfId="3181"/>
    <cellStyle name="アクセント 6 4" xfId="3182"/>
    <cellStyle name="アクセント 6 5" xfId="3183"/>
    <cellStyle name="アクセント 6 6" xfId="3184"/>
    <cellStyle name="アクセント 6 7" xfId="3185"/>
    <cellStyle name="アクセント 6 8" xfId="3186"/>
    <cellStyle name="アクセント 6 9" xfId="3187"/>
    <cellStyle name="スタイル 1" xfId="3188"/>
    <cellStyle name="タイトル" xfId="3189"/>
    <cellStyle name="タイトル 10" xfId="3190"/>
    <cellStyle name="タイトル 11" xfId="3191"/>
    <cellStyle name="タイトル 12" xfId="3192"/>
    <cellStyle name="タイトル 13" xfId="3193"/>
    <cellStyle name="タイトル 2" xfId="3194"/>
    <cellStyle name="タイトル 3" xfId="3195"/>
    <cellStyle name="タイトル 4" xfId="3196"/>
    <cellStyle name="タイトル 5" xfId="3197"/>
    <cellStyle name="タイトル 6" xfId="3198"/>
    <cellStyle name="タイトル 7" xfId="3199"/>
    <cellStyle name="タイトル 8" xfId="3200"/>
    <cellStyle name="タイトル 9" xfId="3201"/>
    <cellStyle name="チェック セル" xfId="3202"/>
    <cellStyle name="チェック セル 10" xfId="3203"/>
    <cellStyle name="チェック セル 11" xfId="3204"/>
    <cellStyle name="チェック セル 12" xfId="3205"/>
    <cellStyle name="チェック セル 13" xfId="3206"/>
    <cellStyle name="チェック セル 2" xfId="3207"/>
    <cellStyle name="チェック セル 3" xfId="3208"/>
    <cellStyle name="チェック セル 4" xfId="3209"/>
    <cellStyle name="チェック セル 5" xfId="3210"/>
    <cellStyle name="チェック セル 6" xfId="3211"/>
    <cellStyle name="チェック セル 7" xfId="3212"/>
    <cellStyle name="チェック セル 8" xfId="3213"/>
    <cellStyle name="チェック セル 9" xfId="3214"/>
    <cellStyle name="チェック セル_Xl0000042" xfId="3215"/>
    <cellStyle name="どちらでもない" xfId="3216"/>
    <cellStyle name="どちらでもない 10" xfId="3217"/>
    <cellStyle name="どちらでもない 11" xfId="3218"/>
    <cellStyle name="どちらでもない 12" xfId="3219"/>
    <cellStyle name="どちらでもない 13" xfId="3220"/>
    <cellStyle name="どちらでもない 2" xfId="3221"/>
    <cellStyle name="どちらでもない 3" xfId="3222"/>
    <cellStyle name="どちらでもない 4" xfId="3223"/>
    <cellStyle name="どちらでもない 5" xfId="3224"/>
    <cellStyle name="どちらでもない 6" xfId="3225"/>
    <cellStyle name="どちらでもない 7" xfId="3226"/>
    <cellStyle name="どちらでもない 8" xfId="3227"/>
    <cellStyle name="どちらでもない 9" xfId="3228"/>
    <cellStyle name="ハイパーリンク_JOF Expense 0107 (confirm)" xfId="3229"/>
    <cellStyle name="メモ" xfId="3230"/>
    <cellStyle name="リンク セル" xfId="3231"/>
    <cellStyle name="リンク セル 10" xfId="3232"/>
    <cellStyle name="リンク セル 11" xfId="3233"/>
    <cellStyle name="リンク セル 12" xfId="3234"/>
    <cellStyle name="リンク セル 13" xfId="3235"/>
    <cellStyle name="リンク セル 2" xfId="3236"/>
    <cellStyle name="リンク セル 3" xfId="3237"/>
    <cellStyle name="リンク セル 4" xfId="3238"/>
    <cellStyle name="リンク セル 5" xfId="3239"/>
    <cellStyle name="リンク セル 6" xfId="3240"/>
    <cellStyle name="リンク セル 7" xfId="3241"/>
    <cellStyle name="リンク セル 8" xfId="3242"/>
    <cellStyle name="リンク セル 9" xfId="3243"/>
    <cellStyle name="リンク セル_Xl0000042" xfId="3244"/>
    <cellStyle name=" [0.00]_ Att. 1- Cover" xfId="3430"/>
    <cellStyle name="_ Att. 1- Cover" xfId="3431"/>
    <cellStyle name="?_ Att. 1- Cover" xfId="3432"/>
    <cellStyle name="똿뗦먛귟 [0.00]_PRODUCT DETAIL Q1" xfId="3245"/>
    <cellStyle name="똿뗦먛귟_PRODUCT DETAIL Q1" xfId="3246"/>
    <cellStyle name="믅됞 [0.00]_PRODUCT DETAIL Q1" xfId="3247"/>
    <cellStyle name="믅됞_PRODUCT DETAIL Q1" xfId="3248"/>
    <cellStyle name="백분율_95" xfId="3249"/>
    <cellStyle name="뷭?_BOOKSHIP" xfId="3250"/>
    <cellStyle name="콤마 [0]_1202" xfId="3282"/>
    <cellStyle name="콤마_1202" xfId="3283"/>
    <cellStyle name="통화 [0]_1202" xfId="3284"/>
    <cellStyle name="통화_1202" xfId="3285"/>
    <cellStyle name="표준_(정보부문)월별인원계획" xfId="3286"/>
    <cellStyle name="一般_00Q3902REV.1" xfId="3251"/>
    <cellStyle name="入力" xfId="3252"/>
    <cellStyle name="入力 10" xfId="3253"/>
    <cellStyle name="入力 11" xfId="3254"/>
    <cellStyle name="入力 12" xfId="3255"/>
    <cellStyle name="入力 13" xfId="3256"/>
    <cellStyle name="入力 2" xfId="3257"/>
    <cellStyle name="入力 3" xfId="3258"/>
    <cellStyle name="入力 4" xfId="3259"/>
    <cellStyle name="入力 5" xfId="3260"/>
    <cellStyle name="入力 6" xfId="3261"/>
    <cellStyle name="入力 7" xfId="3262"/>
    <cellStyle name="入力 8" xfId="3263"/>
    <cellStyle name="入力 9" xfId="3264"/>
    <cellStyle name="入力_Xl0000042" xfId="3265"/>
    <cellStyle name="出力" xfId="3266"/>
    <cellStyle name="出力 10" xfId="3267"/>
    <cellStyle name="出力 11" xfId="3268"/>
    <cellStyle name="出力 12" xfId="3269"/>
    <cellStyle name="出力 13" xfId="3270"/>
    <cellStyle name="出力 2" xfId="3271"/>
    <cellStyle name="出力 3" xfId="3272"/>
    <cellStyle name="出力 4" xfId="3273"/>
    <cellStyle name="出力 5" xfId="3274"/>
    <cellStyle name="出力 6" xfId="3275"/>
    <cellStyle name="出力 7" xfId="3276"/>
    <cellStyle name="出力 8" xfId="3277"/>
    <cellStyle name="出力 9" xfId="3278"/>
    <cellStyle name="出力_Xl0000042" xfId="3279"/>
    <cellStyle name="千分位[0]_00Q3902REV.1" xfId="3280"/>
    <cellStyle name="千分位_00Q3902REV.1" xfId="3281"/>
    <cellStyle name="悪い" xfId="3287"/>
    <cellStyle name="悪い 10" xfId="3288"/>
    <cellStyle name="悪い 11" xfId="3289"/>
    <cellStyle name="悪い 12" xfId="3290"/>
    <cellStyle name="悪い 13" xfId="3291"/>
    <cellStyle name="悪い 2" xfId="3292"/>
    <cellStyle name="悪い 3" xfId="3293"/>
    <cellStyle name="悪い 4" xfId="3294"/>
    <cellStyle name="悪い 5" xfId="3295"/>
    <cellStyle name="悪い 6" xfId="3296"/>
    <cellStyle name="悪い 7" xfId="3297"/>
    <cellStyle name="悪い 8" xfId="3298"/>
    <cellStyle name="悪い 9" xfId="3299"/>
    <cellStyle name="桁区切り [0.00]_Rev T3-07 for FSJ (from TuDTN 06Apr07)" xfId="3300"/>
    <cellStyle name="桁区切り 2" xfId="3301"/>
    <cellStyle name="桁区切り_FSJ_Payment_Feb(1).06__add_Osaka_" xfId="3302"/>
    <cellStyle name="標準 2" xfId="3303"/>
    <cellStyle name="標準_BOQ-08" xfId="3304"/>
    <cellStyle name="良い" xfId="3305"/>
    <cellStyle name="良い 10" xfId="3306"/>
    <cellStyle name="良い 11" xfId="3307"/>
    <cellStyle name="良い 12" xfId="3308"/>
    <cellStyle name="良い 13" xfId="3309"/>
    <cellStyle name="良い 2" xfId="3310"/>
    <cellStyle name="良い 3" xfId="3311"/>
    <cellStyle name="良い 4" xfId="3312"/>
    <cellStyle name="良い 5" xfId="3313"/>
    <cellStyle name="良い 6" xfId="3314"/>
    <cellStyle name="良い 7" xfId="3315"/>
    <cellStyle name="良い 8" xfId="3316"/>
    <cellStyle name="良い 9" xfId="3317"/>
    <cellStyle name="見出し 1" xfId="3318"/>
    <cellStyle name="見出し 1 10" xfId="3319"/>
    <cellStyle name="見出し 1 11" xfId="3320"/>
    <cellStyle name="見出し 1 12" xfId="3321"/>
    <cellStyle name="見出し 1 13" xfId="3322"/>
    <cellStyle name="見出し 1 2" xfId="3323"/>
    <cellStyle name="見出し 1 3" xfId="3324"/>
    <cellStyle name="見出し 1 4" xfId="3325"/>
    <cellStyle name="見出し 1 5" xfId="3326"/>
    <cellStyle name="見出し 1 6" xfId="3327"/>
    <cellStyle name="見出し 1 7" xfId="3328"/>
    <cellStyle name="見出し 1 8" xfId="3329"/>
    <cellStyle name="見出し 1 9" xfId="3330"/>
    <cellStyle name="見出し 1_Xl0000042" xfId="3331"/>
    <cellStyle name="見出し 2" xfId="3332"/>
    <cellStyle name="見出し 2 10" xfId="3333"/>
    <cellStyle name="見出し 2 11" xfId="3334"/>
    <cellStyle name="見出し 2 12" xfId="3335"/>
    <cellStyle name="見出し 2 13" xfId="3336"/>
    <cellStyle name="見出し 2 2" xfId="3337"/>
    <cellStyle name="見出し 2 3" xfId="3338"/>
    <cellStyle name="見出し 2 4" xfId="3339"/>
    <cellStyle name="見出し 2 5" xfId="3340"/>
    <cellStyle name="見出し 2 6" xfId="3341"/>
    <cellStyle name="見出し 2 7" xfId="3342"/>
    <cellStyle name="見出し 2 8" xfId="3343"/>
    <cellStyle name="見出し 2 9" xfId="3344"/>
    <cellStyle name="見出し 2_Xl0000042" xfId="3345"/>
    <cellStyle name="見出し 3" xfId="3346"/>
    <cellStyle name="見出し 3 10" xfId="3347"/>
    <cellStyle name="見出し 3 11" xfId="3348"/>
    <cellStyle name="見出し 3 12" xfId="3349"/>
    <cellStyle name="見出し 3 13" xfId="3350"/>
    <cellStyle name="見出し 3 2" xfId="3351"/>
    <cellStyle name="見出し 3 3" xfId="3352"/>
    <cellStyle name="見出し 3 4" xfId="3353"/>
    <cellStyle name="見出し 3 5" xfId="3354"/>
    <cellStyle name="見出し 3 6" xfId="3355"/>
    <cellStyle name="見出し 3 7" xfId="3356"/>
    <cellStyle name="見出し 3 8" xfId="3357"/>
    <cellStyle name="見出し 3 9" xfId="3358"/>
    <cellStyle name="見出し 3_Xl0000042" xfId="3359"/>
    <cellStyle name="見出し 4" xfId="3360"/>
    <cellStyle name="見出し 4 10" xfId="3361"/>
    <cellStyle name="見出し 4 11" xfId="3362"/>
    <cellStyle name="見出し 4 12" xfId="3363"/>
    <cellStyle name="見出し 4 13" xfId="3364"/>
    <cellStyle name="見出し 4 2" xfId="3365"/>
    <cellStyle name="見出し 4 3" xfId="3366"/>
    <cellStyle name="見出し 4 4" xfId="3367"/>
    <cellStyle name="見出し 4 5" xfId="3368"/>
    <cellStyle name="見出し 4 6" xfId="3369"/>
    <cellStyle name="見出し 4 7" xfId="3370"/>
    <cellStyle name="見出し 4 8" xfId="3371"/>
    <cellStyle name="見出し 4 9" xfId="3372"/>
    <cellStyle name="計算" xfId="3373"/>
    <cellStyle name="計算 10" xfId="3374"/>
    <cellStyle name="計算 11" xfId="3375"/>
    <cellStyle name="計算 12" xfId="3376"/>
    <cellStyle name="計算 13" xfId="3377"/>
    <cellStyle name="計算 2" xfId="3378"/>
    <cellStyle name="計算 3" xfId="3379"/>
    <cellStyle name="計算 4" xfId="3380"/>
    <cellStyle name="計算 5" xfId="3381"/>
    <cellStyle name="計算 6" xfId="3382"/>
    <cellStyle name="計算 7" xfId="3383"/>
    <cellStyle name="計算 8" xfId="3384"/>
    <cellStyle name="計算 9" xfId="3385"/>
    <cellStyle name="計算_Xl0000042" xfId="3386"/>
    <cellStyle name="説明文" xfId="3387"/>
    <cellStyle name="説明文 10" xfId="3388"/>
    <cellStyle name="説明文 11" xfId="3389"/>
    <cellStyle name="説明文 12" xfId="3390"/>
    <cellStyle name="説明文 13" xfId="3391"/>
    <cellStyle name="説明文 2" xfId="3392"/>
    <cellStyle name="説明文 3" xfId="3393"/>
    <cellStyle name="説明文 4" xfId="3394"/>
    <cellStyle name="説明文 5" xfId="3395"/>
    <cellStyle name="説明文 6" xfId="3396"/>
    <cellStyle name="説明文 7" xfId="3397"/>
    <cellStyle name="説明文 8" xfId="3398"/>
    <cellStyle name="説明文 9" xfId="3399"/>
    <cellStyle name="警告文" xfId="3400"/>
    <cellStyle name="警告文 10" xfId="3401"/>
    <cellStyle name="警告文 11" xfId="3402"/>
    <cellStyle name="警告文 12" xfId="3403"/>
    <cellStyle name="警告文 13" xfId="3404"/>
    <cellStyle name="警告文 2" xfId="3405"/>
    <cellStyle name="警告文 3" xfId="3406"/>
    <cellStyle name="警告文 4" xfId="3407"/>
    <cellStyle name="警告文 5" xfId="3408"/>
    <cellStyle name="警告文 6" xfId="3409"/>
    <cellStyle name="警告文 7" xfId="3410"/>
    <cellStyle name="警告文 8" xfId="3411"/>
    <cellStyle name="警告文 9" xfId="3412"/>
    <cellStyle name="貨幣 [0]_00Q3902REV.1" xfId="3413"/>
    <cellStyle name="貨幣[0]_1-99" xfId="3414"/>
    <cellStyle name="貨幣_00Q3902REV.1" xfId="3415"/>
    <cellStyle name="集計" xfId="3416"/>
    <cellStyle name="集計 10" xfId="3417"/>
    <cellStyle name="集計 11" xfId="3418"/>
    <cellStyle name="集計 12" xfId="3419"/>
    <cellStyle name="集計 13" xfId="3420"/>
    <cellStyle name="集計 2" xfId="3421"/>
    <cellStyle name="集計 3" xfId="3422"/>
    <cellStyle name="集計 4" xfId="3423"/>
    <cellStyle name="集計 5" xfId="3424"/>
    <cellStyle name="集計 6" xfId="3425"/>
    <cellStyle name="集計 7" xfId="3426"/>
    <cellStyle name="集計 8" xfId="3427"/>
    <cellStyle name="集計 9" xfId="3428"/>
    <cellStyle name="集計_Xl0000042" xfId="3429"/>
  </cellStyles>
  <dxfs count="0"/>
  <tableStyles count="0" defaultTableStyle="TableStyleMedium9" defaultPivotStyle="PivotStyleLight16"/>
  <colors>
    <mruColors>
      <color rgb="FFE6B8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123825</xdr:rowOff>
        </xdr:from>
        <xdr:to>
          <xdr:col>15</xdr:col>
          <xdr:colOff>0</xdr:colOff>
          <xdr:row>18</xdr:row>
          <xdr:rowOff>57150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7"/>
  <sheetViews>
    <sheetView workbookViewId="0">
      <selection activeCell="F11" sqref="F11"/>
    </sheetView>
  </sheetViews>
  <sheetFormatPr defaultRowHeight="12.75"/>
  <cols>
    <col min="1" max="1" width="2.28515625" style="25" customWidth="1"/>
    <col min="2" max="2" width="14.42578125" style="41" customWidth="1"/>
    <col min="3" max="3" width="9.28515625" style="25" customWidth="1"/>
    <col min="4" max="4" width="14.42578125" style="25" customWidth="1"/>
    <col min="5" max="5" width="8" style="25" customWidth="1"/>
    <col min="6" max="6" width="36.85546875" style="25" customWidth="1"/>
    <col min="7" max="7" width="31" style="25" customWidth="1"/>
    <col min="8" max="256" width="9" style="25"/>
    <col min="257" max="257" width="2.28515625" style="25" customWidth="1"/>
    <col min="258" max="258" width="19.5703125" style="25" customWidth="1"/>
    <col min="259" max="259" width="9.28515625" style="25" customWidth="1"/>
    <col min="260" max="260" width="14.42578125" style="25" customWidth="1"/>
    <col min="261" max="261" width="8" style="25" customWidth="1"/>
    <col min="262" max="262" width="31.140625" style="25" customWidth="1"/>
    <col min="263" max="263" width="31" style="25" customWidth="1"/>
    <col min="264" max="512" width="9" style="25"/>
    <col min="513" max="513" width="2.28515625" style="25" customWidth="1"/>
    <col min="514" max="514" width="19.5703125" style="25" customWidth="1"/>
    <col min="515" max="515" width="9.28515625" style="25" customWidth="1"/>
    <col min="516" max="516" width="14.42578125" style="25" customWidth="1"/>
    <col min="517" max="517" width="8" style="25" customWidth="1"/>
    <col min="518" max="518" width="31.140625" style="25" customWidth="1"/>
    <col min="519" max="519" width="31" style="25" customWidth="1"/>
    <col min="520" max="768" width="9" style="25"/>
    <col min="769" max="769" width="2.28515625" style="25" customWidth="1"/>
    <col min="770" max="770" width="19.5703125" style="25" customWidth="1"/>
    <col min="771" max="771" width="9.28515625" style="25" customWidth="1"/>
    <col min="772" max="772" width="14.42578125" style="25" customWidth="1"/>
    <col min="773" max="773" width="8" style="25" customWidth="1"/>
    <col min="774" max="774" width="31.140625" style="25" customWidth="1"/>
    <col min="775" max="775" width="31" style="25" customWidth="1"/>
    <col min="776" max="1024" width="9" style="25"/>
    <col min="1025" max="1025" width="2.28515625" style="25" customWidth="1"/>
    <col min="1026" max="1026" width="19.5703125" style="25" customWidth="1"/>
    <col min="1027" max="1027" width="9.28515625" style="25" customWidth="1"/>
    <col min="1028" max="1028" width="14.42578125" style="25" customWidth="1"/>
    <col min="1029" max="1029" width="8" style="25" customWidth="1"/>
    <col min="1030" max="1030" width="31.140625" style="25" customWidth="1"/>
    <col min="1031" max="1031" width="31" style="25" customWidth="1"/>
    <col min="1032" max="1280" width="9" style="25"/>
    <col min="1281" max="1281" width="2.28515625" style="25" customWidth="1"/>
    <col min="1282" max="1282" width="19.5703125" style="25" customWidth="1"/>
    <col min="1283" max="1283" width="9.28515625" style="25" customWidth="1"/>
    <col min="1284" max="1284" width="14.42578125" style="25" customWidth="1"/>
    <col min="1285" max="1285" width="8" style="25" customWidth="1"/>
    <col min="1286" max="1286" width="31.140625" style="25" customWidth="1"/>
    <col min="1287" max="1287" width="31" style="25" customWidth="1"/>
    <col min="1288" max="1536" width="9" style="25"/>
    <col min="1537" max="1537" width="2.28515625" style="25" customWidth="1"/>
    <col min="1538" max="1538" width="19.5703125" style="25" customWidth="1"/>
    <col min="1539" max="1539" width="9.28515625" style="25" customWidth="1"/>
    <col min="1540" max="1540" width="14.42578125" style="25" customWidth="1"/>
    <col min="1541" max="1541" width="8" style="25" customWidth="1"/>
    <col min="1542" max="1542" width="31.140625" style="25" customWidth="1"/>
    <col min="1543" max="1543" width="31" style="25" customWidth="1"/>
    <col min="1544" max="1792" width="9" style="25"/>
    <col min="1793" max="1793" width="2.28515625" style="25" customWidth="1"/>
    <col min="1794" max="1794" width="19.5703125" style="25" customWidth="1"/>
    <col min="1795" max="1795" width="9.28515625" style="25" customWidth="1"/>
    <col min="1796" max="1796" width="14.42578125" style="25" customWidth="1"/>
    <col min="1797" max="1797" width="8" style="25" customWidth="1"/>
    <col min="1798" max="1798" width="31.140625" style="25" customWidth="1"/>
    <col min="1799" max="1799" width="31" style="25" customWidth="1"/>
    <col min="1800" max="2048" width="9" style="25"/>
    <col min="2049" max="2049" width="2.28515625" style="25" customWidth="1"/>
    <col min="2050" max="2050" width="19.5703125" style="25" customWidth="1"/>
    <col min="2051" max="2051" width="9.28515625" style="25" customWidth="1"/>
    <col min="2052" max="2052" width="14.42578125" style="25" customWidth="1"/>
    <col min="2053" max="2053" width="8" style="25" customWidth="1"/>
    <col min="2054" max="2054" width="31.140625" style="25" customWidth="1"/>
    <col min="2055" max="2055" width="31" style="25" customWidth="1"/>
    <col min="2056" max="2304" width="9" style="25"/>
    <col min="2305" max="2305" width="2.28515625" style="25" customWidth="1"/>
    <col min="2306" max="2306" width="19.5703125" style="25" customWidth="1"/>
    <col min="2307" max="2307" width="9.28515625" style="25" customWidth="1"/>
    <col min="2308" max="2308" width="14.42578125" style="25" customWidth="1"/>
    <col min="2309" max="2309" width="8" style="25" customWidth="1"/>
    <col min="2310" max="2310" width="31.140625" style="25" customWidth="1"/>
    <col min="2311" max="2311" width="31" style="25" customWidth="1"/>
    <col min="2312" max="2560" width="9" style="25"/>
    <col min="2561" max="2561" width="2.28515625" style="25" customWidth="1"/>
    <col min="2562" max="2562" width="19.5703125" style="25" customWidth="1"/>
    <col min="2563" max="2563" width="9.28515625" style="25" customWidth="1"/>
    <col min="2564" max="2564" width="14.42578125" style="25" customWidth="1"/>
    <col min="2565" max="2565" width="8" style="25" customWidth="1"/>
    <col min="2566" max="2566" width="31.140625" style="25" customWidth="1"/>
    <col min="2567" max="2567" width="31" style="25" customWidth="1"/>
    <col min="2568" max="2816" width="9" style="25"/>
    <col min="2817" max="2817" width="2.28515625" style="25" customWidth="1"/>
    <col min="2818" max="2818" width="19.5703125" style="25" customWidth="1"/>
    <col min="2819" max="2819" width="9.28515625" style="25" customWidth="1"/>
    <col min="2820" max="2820" width="14.42578125" style="25" customWidth="1"/>
    <col min="2821" max="2821" width="8" style="25" customWidth="1"/>
    <col min="2822" max="2822" width="31.140625" style="25" customWidth="1"/>
    <col min="2823" max="2823" width="31" style="25" customWidth="1"/>
    <col min="2824" max="3072" width="9" style="25"/>
    <col min="3073" max="3073" width="2.28515625" style="25" customWidth="1"/>
    <col min="3074" max="3074" width="19.5703125" style="25" customWidth="1"/>
    <col min="3075" max="3075" width="9.28515625" style="25" customWidth="1"/>
    <col min="3076" max="3076" width="14.42578125" style="25" customWidth="1"/>
    <col min="3077" max="3077" width="8" style="25" customWidth="1"/>
    <col min="3078" max="3078" width="31.140625" style="25" customWidth="1"/>
    <col min="3079" max="3079" width="31" style="25" customWidth="1"/>
    <col min="3080" max="3328" width="9" style="25"/>
    <col min="3329" max="3329" width="2.28515625" style="25" customWidth="1"/>
    <col min="3330" max="3330" width="19.5703125" style="25" customWidth="1"/>
    <col min="3331" max="3331" width="9.28515625" style="25" customWidth="1"/>
    <col min="3332" max="3332" width="14.42578125" style="25" customWidth="1"/>
    <col min="3333" max="3333" width="8" style="25" customWidth="1"/>
    <col min="3334" max="3334" width="31.140625" style="25" customWidth="1"/>
    <col min="3335" max="3335" width="31" style="25" customWidth="1"/>
    <col min="3336" max="3584" width="9" style="25"/>
    <col min="3585" max="3585" width="2.28515625" style="25" customWidth="1"/>
    <col min="3586" max="3586" width="19.5703125" style="25" customWidth="1"/>
    <col min="3587" max="3587" width="9.28515625" style="25" customWidth="1"/>
    <col min="3588" max="3588" width="14.42578125" style="25" customWidth="1"/>
    <col min="3589" max="3589" width="8" style="25" customWidth="1"/>
    <col min="3590" max="3590" width="31.140625" style="25" customWidth="1"/>
    <col min="3591" max="3591" width="31" style="25" customWidth="1"/>
    <col min="3592" max="3840" width="9" style="25"/>
    <col min="3841" max="3841" width="2.28515625" style="25" customWidth="1"/>
    <col min="3842" max="3842" width="19.5703125" style="25" customWidth="1"/>
    <col min="3843" max="3843" width="9.28515625" style="25" customWidth="1"/>
    <col min="3844" max="3844" width="14.42578125" style="25" customWidth="1"/>
    <col min="3845" max="3845" width="8" style="25" customWidth="1"/>
    <col min="3846" max="3846" width="31.140625" style="25" customWidth="1"/>
    <col min="3847" max="3847" width="31" style="25" customWidth="1"/>
    <col min="3848" max="4096" width="9" style="25"/>
    <col min="4097" max="4097" width="2.28515625" style="25" customWidth="1"/>
    <col min="4098" max="4098" width="19.5703125" style="25" customWidth="1"/>
    <col min="4099" max="4099" width="9.28515625" style="25" customWidth="1"/>
    <col min="4100" max="4100" width="14.42578125" style="25" customWidth="1"/>
    <col min="4101" max="4101" width="8" style="25" customWidth="1"/>
    <col min="4102" max="4102" width="31.140625" style="25" customWidth="1"/>
    <col min="4103" max="4103" width="31" style="25" customWidth="1"/>
    <col min="4104" max="4352" width="9" style="25"/>
    <col min="4353" max="4353" width="2.28515625" style="25" customWidth="1"/>
    <col min="4354" max="4354" width="19.5703125" style="25" customWidth="1"/>
    <col min="4355" max="4355" width="9.28515625" style="25" customWidth="1"/>
    <col min="4356" max="4356" width="14.42578125" style="25" customWidth="1"/>
    <col min="4357" max="4357" width="8" style="25" customWidth="1"/>
    <col min="4358" max="4358" width="31.140625" style="25" customWidth="1"/>
    <col min="4359" max="4359" width="31" style="25" customWidth="1"/>
    <col min="4360" max="4608" width="9" style="25"/>
    <col min="4609" max="4609" width="2.28515625" style="25" customWidth="1"/>
    <col min="4610" max="4610" width="19.5703125" style="25" customWidth="1"/>
    <col min="4611" max="4611" width="9.28515625" style="25" customWidth="1"/>
    <col min="4612" max="4612" width="14.42578125" style="25" customWidth="1"/>
    <col min="4613" max="4613" width="8" style="25" customWidth="1"/>
    <col min="4614" max="4614" width="31.140625" style="25" customWidth="1"/>
    <col min="4615" max="4615" width="31" style="25" customWidth="1"/>
    <col min="4616" max="4864" width="9" style="25"/>
    <col min="4865" max="4865" width="2.28515625" style="25" customWidth="1"/>
    <col min="4866" max="4866" width="19.5703125" style="25" customWidth="1"/>
    <col min="4867" max="4867" width="9.28515625" style="25" customWidth="1"/>
    <col min="4868" max="4868" width="14.42578125" style="25" customWidth="1"/>
    <col min="4869" max="4869" width="8" style="25" customWidth="1"/>
    <col min="4870" max="4870" width="31.140625" style="25" customWidth="1"/>
    <col min="4871" max="4871" width="31" style="25" customWidth="1"/>
    <col min="4872" max="5120" width="9" style="25"/>
    <col min="5121" max="5121" width="2.28515625" style="25" customWidth="1"/>
    <col min="5122" max="5122" width="19.5703125" style="25" customWidth="1"/>
    <col min="5123" max="5123" width="9.28515625" style="25" customWidth="1"/>
    <col min="5124" max="5124" width="14.42578125" style="25" customWidth="1"/>
    <col min="5125" max="5125" width="8" style="25" customWidth="1"/>
    <col min="5126" max="5126" width="31.140625" style="25" customWidth="1"/>
    <col min="5127" max="5127" width="31" style="25" customWidth="1"/>
    <col min="5128" max="5376" width="9" style="25"/>
    <col min="5377" max="5377" width="2.28515625" style="25" customWidth="1"/>
    <col min="5378" max="5378" width="19.5703125" style="25" customWidth="1"/>
    <col min="5379" max="5379" width="9.28515625" style="25" customWidth="1"/>
    <col min="5380" max="5380" width="14.42578125" style="25" customWidth="1"/>
    <col min="5381" max="5381" width="8" style="25" customWidth="1"/>
    <col min="5382" max="5382" width="31.140625" style="25" customWidth="1"/>
    <col min="5383" max="5383" width="31" style="25" customWidth="1"/>
    <col min="5384" max="5632" width="9" style="25"/>
    <col min="5633" max="5633" width="2.28515625" style="25" customWidth="1"/>
    <col min="5634" max="5634" width="19.5703125" style="25" customWidth="1"/>
    <col min="5635" max="5635" width="9.28515625" style="25" customWidth="1"/>
    <col min="5636" max="5636" width="14.42578125" style="25" customWidth="1"/>
    <col min="5637" max="5637" width="8" style="25" customWidth="1"/>
    <col min="5638" max="5638" width="31.140625" style="25" customWidth="1"/>
    <col min="5639" max="5639" width="31" style="25" customWidth="1"/>
    <col min="5640" max="5888" width="9" style="25"/>
    <col min="5889" max="5889" width="2.28515625" style="25" customWidth="1"/>
    <col min="5890" max="5890" width="19.5703125" style="25" customWidth="1"/>
    <col min="5891" max="5891" width="9.28515625" style="25" customWidth="1"/>
    <col min="5892" max="5892" width="14.42578125" style="25" customWidth="1"/>
    <col min="5893" max="5893" width="8" style="25" customWidth="1"/>
    <col min="5894" max="5894" width="31.140625" style="25" customWidth="1"/>
    <col min="5895" max="5895" width="31" style="25" customWidth="1"/>
    <col min="5896" max="6144" width="9" style="25"/>
    <col min="6145" max="6145" width="2.28515625" style="25" customWidth="1"/>
    <col min="6146" max="6146" width="19.5703125" style="25" customWidth="1"/>
    <col min="6147" max="6147" width="9.28515625" style="25" customWidth="1"/>
    <col min="6148" max="6148" width="14.42578125" style="25" customWidth="1"/>
    <col min="6149" max="6149" width="8" style="25" customWidth="1"/>
    <col min="6150" max="6150" width="31.140625" style="25" customWidth="1"/>
    <col min="6151" max="6151" width="31" style="25" customWidth="1"/>
    <col min="6152" max="6400" width="9" style="25"/>
    <col min="6401" max="6401" width="2.28515625" style="25" customWidth="1"/>
    <col min="6402" max="6402" width="19.5703125" style="25" customWidth="1"/>
    <col min="6403" max="6403" width="9.28515625" style="25" customWidth="1"/>
    <col min="6404" max="6404" width="14.42578125" style="25" customWidth="1"/>
    <col min="6405" max="6405" width="8" style="25" customWidth="1"/>
    <col min="6406" max="6406" width="31.140625" style="25" customWidth="1"/>
    <col min="6407" max="6407" width="31" style="25" customWidth="1"/>
    <col min="6408" max="6656" width="9" style="25"/>
    <col min="6657" max="6657" width="2.28515625" style="25" customWidth="1"/>
    <col min="6658" max="6658" width="19.5703125" style="25" customWidth="1"/>
    <col min="6659" max="6659" width="9.28515625" style="25" customWidth="1"/>
    <col min="6660" max="6660" width="14.42578125" style="25" customWidth="1"/>
    <col min="6661" max="6661" width="8" style="25" customWidth="1"/>
    <col min="6662" max="6662" width="31.140625" style="25" customWidth="1"/>
    <col min="6663" max="6663" width="31" style="25" customWidth="1"/>
    <col min="6664" max="6912" width="9" style="25"/>
    <col min="6913" max="6913" width="2.28515625" style="25" customWidth="1"/>
    <col min="6914" max="6914" width="19.5703125" style="25" customWidth="1"/>
    <col min="6915" max="6915" width="9.28515625" style="25" customWidth="1"/>
    <col min="6916" max="6916" width="14.42578125" style="25" customWidth="1"/>
    <col min="6917" max="6917" width="8" style="25" customWidth="1"/>
    <col min="6918" max="6918" width="31.140625" style="25" customWidth="1"/>
    <col min="6919" max="6919" width="31" style="25" customWidth="1"/>
    <col min="6920" max="7168" width="9" style="25"/>
    <col min="7169" max="7169" width="2.28515625" style="25" customWidth="1"/>
    <col min="7170" max="7170" width="19.5703125" style="25" customWidth="1"/>
    <col min="7171" max="7171" width="9.28515625" style="25" customWidth="1"/>
    <col min="7172" max="7172" width="14.42578125" style="25" customWidth="1"/>
    <col min="7173" max="7173" width="8" style="25" customWidth="1"/>
    <col min="7174" max="7174" width="31.140625" style="25" customWidth="1"/>
    <col min="7175" max="7175" width="31" style="25" customWidth="1"/>
    <col min="7176" max="7424" width="9" style="25"/>
    <col min="7425" max="7425" width="2.28515625" style="25" customWidth="1"/>
    <col min="7426" max="7426" width="19.5703125" style="25" customWidth="1"/>
    <col min="7427" max="7427" width="9.28515625" style="25" customWidth="1"/>
    <col min="7428" max="7428" width="14.42578125" style="25" customWidth="1"/>
    <col min="7429" max="7429" width="8" style="25" customWidth="1"/>
    <col min="7430" max="7430" width="31.140625" style="25" customWidth="1"/>
    <col min="7431" max="7431" width="31" style="25" customWidth="1"/>
    <col min="7432" max="7680" width="9" style="25"/>
    <col min="7681" max="7681" width="2.28515625" style="25" customWidth="1"/>
    <col min="7682" max="7682" width="19.5703125" style="25" customWidth="1"/>
    <col min="7683" max="7683" width="9.28515625" style="25" customWidth="1"/>
    <col min="7684" max="7684" width="14.42578125" style="25" customWidth="1"/>
    <col min="7685" max="7685" width="8" style="25" customWidth="1"/>
    <col min="7686" max="7686" width="31.140625" style="25" customWidth="1"/>
    <col min="7687" max="7687" width="31" style="25" customWidth="1"/>
    <col min="7688" max="7936" width="9" style="25"/>
    <col min="7937" max="7937" width="2.28515625" style="25" customWidth="1"/>
    <col min="7938" max="7938" width="19.5703125" style="25" customWidth="1"/>
    <col min="7939" max="7939" width="9.28515625" style="25" customWidth="1"/>
    <col min="7940" max="7940" width="14.42578125" style="25" customWidth="1"/>
    <col min="7941" max="7941" width="8" style="25" customWidth="1"/>
    <col min="7942" max="7942" width="31.140625" style="25" customWidth="1"/>
    <col min="7943" max="7943" width="31" style="25" customWidth="1"/>
    <col min="7944" max="8192" width="9" style="25"/>
    <col min="8193" max="8193" width="2.28515625" style="25" customWidth="1"/>
    <col min="8194" max="8194" width="19.5703125" style="25" customWidth="1"/>
    <col min="8195" max="8195" width="9.28515625" style="25" customWidth="1"/>
    <col min="8196" max="8196" width="14.42578125" style="25" customWidth="1"/>
    <col min="8197" max="8197" width="8" style="25" customWidth="1"/>
    <col min="8198" max="8198" width="31.140625" style="25" customWidth="1"/>
    <col min="8199" max="8199" width="31" style="25" customWidth="1"/>
    <col min="8200" max="8448" width="9" style="25"/>
    <col min="8449" max="8449" width="2.28515625" style="25" customWidth="1"/>
    <col min="8450" max="8450" width="19.5703125" style="25" customWidth="1"/>
    <col min="8451" max="8451" width="9.28515625" style="25" customWidth="1"/>
    <col min="8452" max="8452" width="14.42578125" style="25" customWidth="1"/>
    <col min="8453" max="8453" width="8" style="25" customWidth="1"/>
    <col min="8454" max="8454" width="31.140625" style="25" customWidth="1"/>
    <col min="8455" max="8455" width="31" style="25" customWidth="1"/>
    <col min="8456" max="8704" width="9" style="25"/>
    <col min="8705" max="8705" width="2.28515625" style="25" customWidth="1"/>
    <col min="8706" max="8706" width="19.5703125" style="25" customWidth="1"/>
    <col min="8707" max="8707" width="9.28515625" style="25" customWidth="1"/>
    <col min="8708" max="8708" width="14.42578125" style="25" customWidth="1"/>
    <col min="8709" max="8709" width="8" style="25" customWidth="1"/>
    <col min="8710" max="8710" width="31.140625" style="25" customWidth="1"/>
    <col min="8711" max="8711" width="31" style="25" customWidth="1"/>
    <col min="8712" max="8960" width="9" style="25"/>
    <col min="8961" max="8961" width="2.28515625" style="25" customWidth="1"/>
    <col min="8962" max="8962" width="19.5703125" style="25" customWidth="1"/>
    <col min="8963" max="8963" width="9.28515625" style="25" customWidth="1"/>
    <col min="8964" max="8964" width="14.42578125" style="25" customWidth="1"/>
    <col min="8965" max="8965" width="8" style="25" customWidth="1"/>
    <col min="8966" max="8966" width="31.140625" style="25" customWidth="1"/>
    <col min="8967" max="8967" width="31" style="25" customWidth="1"/>
    <col min="8968" max="9216" width="9" style="25"/>
    <col min="9217" max="9217" width="2.28515625" style="25" customWidth="1"/>
    <col min="9218" max="9218" width="19.5703125" style="25" customWidth="1"/>
    <col min="9219" max="9219" width="9.28515625" style="25" customWidth="1"/>
    <col min="9220" max="9220" width="14.42578125" style="25" customWidth="1"/>
    <col min="9221" max="9221" width="8" style="25" customWidth="1"/>
    <col min="9222" max="9222" width="31.140625" style="25" customWidth="1"/>
    <col min="9223" max="9223" width="31" style="25" customWidth="1"/>
    <col min="9224" max="9472" width="9" style="25"/>
    <col min="9473" max="9473" width="2.28515625" style="25" customWidth="1"/>
    <col min="9474" max="9474" width="19.5703125" style="25" customWidth="1"/>
    <col min="9475" max="9475" width="9.28515625" style="25" customWidth="1"/>
    <col min="9476" max="9476" width="14.42578125" style="25" customWidth="1"/>
    <col min="9477" max="9477" width="8" style="25" customWidth="1"/>
    <col min="9478" max="9478" width="31.140625" style="25" customWidth="1"/>
    <col min="9479" max="9479" width="31" style="25" customWidth="1"/>
    <col min="9480" max="9728" width="9" style="25"/>
    <col min="9729" max="9729" width="2.28515625" style="25" customWidth="1"/>
    <col min="9730" max="9730" width="19.5703125" style="25" customWidth="1"/>
    <col min="9731" max="9731" width="9.28515625" style="25" customWidth="1"/>
    <col min="9732" max="9732" width="14.42578125" style="25" customWidth="1"/>
    <col min="9733" max="9733" width="8" style="25" customWidth="1"/>
    <col min="9734" max="9734" width="31.140625" style="25" customWidth="1"/>
    <col min="9735" max="9735" width="31" style="25" customWidth="1"/>
    <col min="9736" max="9984" width="9" style="25"/>
    <col min="9985" max="9985" width="2.28515625" style="25" customWidth="1"/>
    <col min="9986" max="9986" width="19.5703125" style="25" customWidth="1"/>
    <col min="9987" max="9987" width="9.28515625" style="25" customWidth="1"/>
    <col min="9988" max="9988" width="14.42578125" style="25" customWidth="1"/>
    <col min="9989" max="9989" width="8" style="25" customWidth="1"/>
    <col min="9990" max="9990" width="31.140625" style="25" customWidth="1"/>
    <col min="9991" max="9991" width="31" style="25" customWidth="1"/>
    <col min="9992" max="10240" width="9" style="25"/>
    <col min="10241" max="10241" width="2.28515625" style="25" customWidth="1"/>
    <col min="10242" max="10242" width="19.5703125" style="25" customWidth="1"/>
    <col min="10243" max="10243" width="9.28515625" style="25" customWidth="1"/>
    <col min="10244" max="10244" width="14.42578125" style="25" customWidth="1"/>
    <col min="10245" max="10245" width="8" style="25" customWidth="1"/>
    <col min="10246" max="10246" width="31.140625" style="25" customWidth="1"/>
    <col min="10247" max="10247" width="31" style="25" customWidth="1"/>
    <col min="10248" max="10496" width="9" style="25"/>
    <col min="10497" max="10497" width="2.28515625" style="25" customWidth="1"/>
    <col min="10498" max="10498" width="19.5703125" style="25" customWidth="1"/>
    <col min="10499" max="10499" width="9.28515625" style="25" customWidth="1"/>
    <col min="10500" max="10500" width="14.42578125" style="25" customWidth="1"/>
    <col min="10501" max="10501" width="8" style="25" customWidth="1"/>
    <col min="10502" max="10502" width="31.140625" style="25" customWidth="1"/>
    <col min="10503" max="10503" width="31" style="25" customWidth="1"/>
    <col min="10504" max="10752" width="9" style="25"/>
    <col min="10753" max="10753" width="2.28515625" style="25" customWidth="1"/>
    <col min="10754" max="10754" width="19.5703125" style="25" customWidth="1"/>
    <col min="10755" max="10755" width="9.28515625" style="25" customWidth="1"/>
    <col min="10756" max="10756" width="14.42578125" style="25" customWidth="1"/>
    <col min="10757" max="10757" width="8" style="25" customWidth="1"/>
    <col min="10758" max="10758" width="31.140625" style="25" customWidth="1"/>
    <col min="10759" max="10759" width="31" style="25" customWidth="1"/>
    <col min="10760" max="11008" width="9" style="25"/>
    <col min="11009" max="11009" width="2.28515625" style="25" customWidth="1"/>
    <col min="11010" max="11010" width="19.5703125" style="25" customWidth="1"/>
    <col min="11011" max="11011" width="9.28515625" style="25" customWidth="1"/>
    <col min="11012" max="11012" width="14.42578125" style="25" customWidth="1"/>
    <col min="11013" max="11013" width="8" style="25" customWidth="1"/>
    <col min="11014" max="11014" width="31.140625" style="25" customWidth="1"/>
    <col min="11015" max="11015" width="31" style="25" customWidth="1"/>
    <col min="11016" max="11264" width="9" style="25"/>
    <col min="11265" max="11265" width="2.28515625" style="25" customWidth="1"/>
    <col min="11266" max="11266" width="19.5703125" style="25" customWidth="1"/>
    <col min="11267" max="11267" width="9.28515625" style="25" customWidth="1"/>
    <col min="11268" max="11268" width="14.42578125" style="25" customWidth="1"/>
    <col min="11269" max="11269" width="8" style="25" customWidth="1"/>
    <col min="11270" max="11270" width="31.140625" style="25" customWidth="1"/>
    <col min="11271" max="11271" width="31" style="25" customWidth="1"/>
    <col min="11272" max="11520" width="9" style="25"/>
    <col min="11521" max="11521" width="2.28515625" style="25" customWidth="1"/>
    <col min="11522" max="11522" width="19.5703125" style="25" customWidth="1"/>
    <col min="11523" max="11523" width="9.28515625" style="25" customWidth="1"/>
    <col min="11524" max="11524" width="14.42578125" style="25" customWidth="1"/>
    <col min="11525" max="11525" width="8" style="25" customWidth="1"/>
    <col min="11526" max="11526" width="31.140625" style="25" customWidth="1"/>
    <col min="11527" max="11527" width="31" style="25" customWidth="1"/>
    <col min="11528" max="11776" width="9" style="25"/>
    <col min="11777" max="11777" width="2.28515625" style="25" customWidth="1"/>
    <col min="11778" max="11778" width="19.5703125" style="25" customWidth="1"/>
    <col min="11779" max="11779" width="9.28515625" style="25" customWidth="1"/>
    <col min="11780" max="11780" width="14.42578125" style="25" customWidth="1"/>
    <col min="11781" max="11781" width="8" style="25" customWidth="1"/>
    <col min="11782" max="11782" width="31.140625" style="25" customWidth="1"/>
    <col min="11783" max="11783" width="31" style="25" customWidth="1"/>
    <col min="11784" max="12032" width="9" style="25"/>
    <col min="12033" max="12033" width="2.28515625" style="25" customWidth="1"/>
    <col min="12034" max="12034" width="19.5703125" style="25" customWidth="1"/>
    <col min="12035" max="12035" width="9.28515625" style="25" customWidth="1"/>
    <col min="12036" max="12036" width="14.42578125" style="25" customWidth="1"/>
    <col min="12037" max="12037" width="8" style="25" customWidth="1"/>
    <col min="12038" max="12038" width="31.140625" style="25" customWidth="1"/>
    <col min="12039" max="12039" width="31" style="25" customWidth="1"/>
    <col min="12040" max="12288" width="9" style="25"/>
    <col min="12289" max="12289" width="2.28515625" style="25" customWidth="1"/>
    <col min="12290" max="12290" width="19.5703125" style="25" customWidth="1"/>
    <col min="12291" max="12291" width="9.28515625" style="25" customWidth="1"/>
    <col min="12292" max="12292" width="14.42578125" style="25" customWidth="1"/>
    <col min="12293" max="12293" width="8" style="25" customWidth="1"/>
    <col min="12294" max="12294" width="31.140625" style="25" customWidth="1"/>
    <col min="12295" max="12295" width="31" style="25" customWidth="1"/>
    <col min="12296" max="12544" width="9" style="25"/>
    <col min="12545" max="12545" width="2.28515625" style="25" customWidth="1"/>
    <col min="12546" max="12546" width="19.5703125" style="25" customWidth="1"/>
    <col min="12547" max="12547" width="9.28515625" style="25" customWidth="1"/>
    <col min="12548" max="12548" width="14.42578125" style="25" customWidth="1"/>
    <col min="12549" max="12549" width="8" style="25" customWidth="1"/>
    <col min="12550" max="12550" width="31.140625" style="25" customWidth="1"/>
    <col min="12551" max="12551" width="31" style="25" customWidth="1"/>
    <col min="12552" max="12800" width="9" style="25"/>
    <col min="12801" max="12801" width="2.28515625" style="25" customWidth="1"/>
    <col min="12802" max="12802" width="19.5703125" style="25" customWidth="1"/>
    <col min="12803" max="12803" width="9.28515625" style="25" customWidth="1"/>
    <col min="12804" max="12804" width="14.42578125" style="25" customWidth="1"/>
    <col min="12805" max="12805" width="8" style="25" customWidth="1"/>
    <col min="12806" max="12806" width="31.140625" style="25" customWidth="1"/>
    <col min="12807" max="12807" width="31" style="25" customWidth="1"/>
    <col min="12808" max="13056" width="9" style="25"/>
    <col min="13057" max="13057" width="2.28515625" style="25" customWidth="1"/>
    <col min="13058" max="13058" width="19.5703125" style="25" customWidth="1"/>
    <col min="13059" max="13059" width="9.28515625" style="25" customWidth="1"/>
    <col min="13060" max="13060" width="14.42578125" style="25" customWidth="1"/>
    <col min="13061" max="13061" width="8" style="25" customWidth="1"/>
    <col min="13062" max="13062" width="31.140625" style="25" customWidth="1"/>
    <col min="13063" max="13063" width="31" style="25" customWidth="1"/>
    <col min="13064" max="13312" width="9" style="25"/>
    <col min="13313" max="13313" width="2.28515625" style="25" customWidth="1"/>
    <col min="13314" max="13314" width="19.5703125" style="25" customWidth="1"/>
    <col min="13315" max="13315" width="9.28515625" style="25" customWidth="1"/>
    <col min="13316" max="13316" width="14.42578125" style="25" customWidth="1"/>
    <col min="13317" max="13317" width="8" style="25" customWidth="1"/>
    <col min="13318" max="13318" width="31.140625" style="25" customWidth="1"/>
    <col min="13319" max="13319" width="31" style="25" customWidth="1"/>
    <col min="13320" max="13568" width="9" style="25"/>
    <col min="13569" max="13569" width="2.28515625" style="25" customWidth="1"/>
    <col min="13570" max="13570" width="19.5703125" style="25" customWidth="1"/>
    <col min="13571" max="13571" width="9.28515625" style="25" customWidth="1"/>
    <col min="13572" max="13572" width="14.42578125" style="25" customWidth="1"/>
    <col min="13573" max="13573" width="8" style="25" customWidth="1"/>
    <col min="13574" max="13574" width="31.140625" style="25" customWidth="1"/>
    <col min="13575" max="13575" width="31" style="25" customWidth="1"/>
    <col min="13576" max="13824" width="9" style="25"/>
    <col min="13825" max="13825" width="2.28515625" style="25" customWidth="1"/>
    <col min="13826" max="13826" width="19.5703125" style="25" customWidth="1"/>
    <col min="13827" max="13827" width="9.28515625" style="25" customWidth="1"/>
    <col min="13828" max="13828" width="14.42578125" style="25" customWidth="1"/>
    <col min="13829" max="13829" width="8" style="25" customWidth="1"/>
    <col min="13830" max="13830" width="31.140625" style="25" customWidth="1"/>
    <col min="13831" max="13831" width="31" style="25" customWidth="1"/>
    <col min="13832" max="14080" width="9" style="25"/>
    <col min="14081" max="14081" width="2.28515625" style="25" customWidth="1"/>
    <col min="14082" max="14082" width="19.5703125" style="25" customWidth="1"/>
    <col min="14083" max="14083" width="9.28515625" style="25" customWidth="1"/>
    <col min="14084" max="14084" width="14.42578125" style="25" customWidth="1"/>
    <col min="14085" max="14085" width="8" style="25" customWidth="1"/>
    <col min="14086" max="14086" width="31.140625" style="25" customWidth="1"/>
    <col min="14087" max="14087" width="31" style="25" customWidth="1"/>
    <col min="14088" max="14336" width="9" style="25"/>
    <col min="14337" max="14337" width="2.28515625" style="25" customWidth="1"/>
    <col min="14338" max="14338" width="19.5703125" style="25" customWidth="1"/>
    <col min="14339" max="14339" width="9.28515625" style="25" customWidth="1"/>
    <col min="14340" max="14340" width="14.42578125" style="25" customWidth="1"/>
    <col min="14341" max="14341" width="8" style="25" customWidth="1"/>
    <col min="14342" max="14342" width="31.140625" style="25" customWidth="1"/>
    <col min="14343" max="14343" width="31" style="25" customWidth="1"/>
    <col min="14344" max="14592" width="9" style="25"/>
    <col min="14593" max="14593" width="2.28515625" style="25" customWidth="1"/>
    <col min="14594" max="14594" width="19.5703125" style="25" customWidth="1"/>
    <col min="14595" max="14595" width="9.28515625" style="25" customWidth="1"/>
    <col min="14596" max="14596" width="14.42578125" style="25" customWidth="1"/>
    <col min="14597" max="14597" width="8" style="25" customWidth="1"/>
    <col min="14598" max="14598" width="31.140625" style="25" customWidth="1"/>
    <col min="14599" max="14599" width="31" style="25" customWidth="1"/>
    <col min="14600" max="14848" width="9" style="25"/>
    <col min="14849" max="14849" width="2.28515625" style="25" customWidth="1"/>
    <col min="14850" max="14850" width="19.5703125" style="25" customWidth="1"/>
    <col min="14851" max="14851" width="9.28515625" style="25" customWidth="1"/>
    <col min="14852" max="14852" width="14.42578125" style="25" customWidth="1"/>
    <col min="14853" max="14853" width="8" style="25" customWidth="1"/>
    <col min="14854" max="14854" width="31.140625" style="25" customWidth="1"/>
    <col min="14855" max="14855" width="31" style="25" customWidth="1"/>
    <col min="14856" max="15104" width="9" style="25"/>
    <col min="15105" max="15105" width="2.28515625" style="25" customWidth="1"/>
    <col min="15106" max="15106" width="19.5703125" style="25" customWidth="1"/>
    <col min="15107" max="15107" width="9.28515625" style="25" customWidth="1"/>
    <col min="15108" max="15108" width="14.42578125" style="25" customWidth="1"/>
    <col min="15109" max="15109" width="8" style="25" customWidth="1"/>
    <col min="15110" max="15110" width="31.140625" style="25" customWidth="1"/>
    <col min="15111" max="15111" width="31" style="25" customWidth="1"/>
    <col min="15112" max="15360" width="9" style="25"/>
    <col min="15361" max="15361" width="2.28515625" style="25" customWidth="1"/>
    <col min="15362" max="15362" width="19.5703125" style="25" customWidth="1"/>
    <col min="15363" max="15363" width="9.28515625" style="25" customWidth="1"/>
    <col min="15364" max="15364" width="14.42578125" style="25" customWidth="1"/>
    <col min="15365" max="15365" width="8" style="25" customWidth="1"/>
    <col min="15366" max="15366" width="31.140625" style="25" customWidth="1"/>
    <col min="15367" max="15367" width="31" style="25" customWidth="1"/>
    <col min="15368" max="15616" width="9" style="25"/>
    <col min="15617" max="15617" width="2.28515625" style="25" customWidth="1"/>
    <col min="15618" max="15618" width="19.5703125" style="25" customWidth="1"/>
    <col min="15619" max="15619" width="9.28515625" style="25" customWidth="1"/>
    <col min="15620" max="15620" width="14.42578125" style="25" customWidth="1"/>
    <col min="15621" max="15621" width="8" style="25" customWidth="1"/>
    <col min="15622" max="15622" width="31.140625" style="25" customWidth="1"/>
    <col min="15623" max="15623" width="31" style="25" customWidth="1"/>
    <col min="15624" max="15872" width="9" style="25"/>
    <col min="15873" max="15873" width="2.28515625" style="25" customWidth="1"/>
    <col min="15874" max="15874" width="19.5703125" style="25" customWidth="1"/>
    <col min="15875" max="15875" width="9.28515625" style="25" customWidth="1"/>
    <col min="15876" max="15876" width="14.42578125" style="25" customWidth="1"/>
    <col min="15877" max="15877" width="8" style="25" customWidth="1"/>
    <col min="15878" max="15878" width="31.140625" style="25" customWidth="1"/>
    <col min="15879" max="15879" width="31" style="25" customWidth="1"/>
    <col min="15880" max="16128" width="9" style="25"/>
    <col min="16129" max="16129" width="2.28515625" style="25" customWidth="1"/>
    <col min="16130" max="16130" width="19.5703125" style="25" customWidth="1"/>
    <col min="16131" max="16131" width="9.28515625" style="25" customWidth="1"/>
    <col min="16132" max="16132" width="14.42578125" style="25" customWidth="1"/>
    <col min="16133" max="16133" width="8" style="25" customWidth="1"/>
    <col min="16134" max="16134" width="31.140625" style="25" customWidth="1"/>
    <col min="16135" max="16135" width="31" style="25" customWidth="1"/>
    <col min="16136" max="16384" width="9" style="25"/>
  </cols>
  <sheetData>
    <row r="2" spans="1:7" s="24" customFormat="1" ht="60" customHeight="1">
      <c r="A2" s="22"/>
      <c r="B2" s="23"/>
      <c r="C2" s="88" t="s">
        <v>43</v>
      </c>
      <c r="D2" s="89"/>
      <c r="E2" s="89"/>
      <c r="F2" s="89"/>
      <c r="G2" s="89"/>
    </row>
    <row r="3" spans="1:7">
      <c r="B3" s="26"/>
      <c r="C3" s="27"/>
      <c r="F3" s="28"/>
    </row>
    <row r="4" spans="1:7">
      <c r="B4" s="29" t="s">
        <v>25</v>
      </c>
      <c r="C4" s="90"/>
      <c r="D4" s="90"/>
      <c r="E4" s="90"/>
      <c r="F4" s="29" t="s">
        <v>26</v>
      </c>
      <c r="G4" s="30" t="s">
        <v>44</v>
      </c>
    </row>
    <row r="5" spans="1:7">
      <c r="B5" s="91" t="s">
        <v>27</v>
      </c>
      <c r="C5" s="92"/>
      <c r="D5" s="92"/>
      <c r="E5" s="92"/>
      <c r="F5" s="29" t="s">
        <v>28</v>
      </c>
      <c r="G5" s="66">
        <v>43052</v>
      </c>
    </row>
    <row r="6" spans="1:7">
      <c r="B6" s="91"/>
      <c r="C6" s="92"/>
      <c r="D6" s="92"/>
      <c r="E6" s="92"/>
      <c r="F6" s="29" t="s">
        <v>29</v>
      </c>
      <c r="G6" s="55">
        <v>1</v>
      </c>
    </row>
    <row r="7" spans="1:7">
      <c r="B7" s="31"/>
      <c r="C7" s="32"/>
      <c r="D7" s="33"/>
      <c r="E7" s="33"/>
      <c r="F7" s="34"/>
      <c r="G7" s="35"/>
    </row>
    <row r="8" spans="1:7">
      <c r="B8" s="36"/>
      <c r="C8" s="37"/>
      <c r="D8" s="37"/>
      <c r="E8" s="37"/>
      <c r="F8" s="37"/>
    </row>
    <row r="9" spans="1:7">
      <c r="B9" s="38" t="s">
        <v>30</v>
      </c>
    </row>
    <row r="10" spans="1:7" s="39" customFormat="1">
      <c r="B10" s="46" t="s">
        <v>31</v>
      </c>
      <c r="C10" s="47" t="s">
        <v>29</v>
      </c>
      <c r="D10" s="47" t="s">
        <v>32</v>
      </c>
      <c r="E10" s="47" t="s">
        <v>33</v>
      </c>
      <c r="F10" s="47" t="s">
        <v>34</v>
      </c>
      <c r="G10" s="48" t="s">
        <v>35</v>
      </c>
    </row>
    <row r="11" spans="1:7" s="40" customFormat="1" ht="25.5">
      <c r="B11" s="43">
        <v>43062</v>
      </c>
      <c r="C11" s="49" t="s">
        <v>45</v>
      </c>
      <c r="D11" s="45" t="s">
        <v>36</v>
      </c>
      <c r="E11" s="45" t="s">
        <v>37</v>
      </c>
      <c r="F11" s="42"/>
      <c r="G11" s="44"/>
    </row>
    <row r="12" spans="1:7" s="40" customFormat="1">
      <c r="B12" s="50"/>
      <c r="C12" s="49"/>
      <c r="D12" s="45"/>
      <c r="E12" s="45"/>
      <c r="F12" s="45"/>
      <c r="G12" s="44"/>
    </row>
    <row r="13" spans="1:7" s="40" customFormat="1">
      <c r="B13" s="50"/>
      <c r="C13" s="49"/>
      <c r="D13" s="45"/>
      <c r="E13" s="45"/>
      <c r="F13" s="45"/>
      <c r="G13" s="44"/>
    </row>
    <row r="14" spans="1:7" s="40" customFormat="1">
      <c r="B14" s="50"/>
      <c r="C14" s="49"/>
      <c r="D14" s="45"/>
      <c r="E14" s="45"/>
      <c r="F14" s="45"/>
      <c r="G14" s="44"/>
    </row>
    <row r="15" spans="1:7" s="40" customFormat="1">
      <c r="B15" s="50"/>
      <c r="C15" s="49"/>
      <c r="D15" s="45"/>
      <c r="E15" s="45"/>
      <c r="F15" s="45"/>
      <c r="G15" s="44"/>
    </row>
    <row r="16" spans="1:7" s="40" customFormat="1">
      <c r="B16" s="50"/>
      <c r="C16" s="49"/>
      <c r="D16" s="45"/>
      <c r="E16" s="45"/>
      <c r="F16" s="45"/>
      <c r="G16" s="44"/>
    </row>
    <row r="17" spans="2:7" s="40" customFormat="1">
      <c r="B17" s="51"/>
      <c r="C17" s="52"/>
      <c r="D17" s="53"/>
      <c r="E17" s="53"/>
      <c r="F17" s="53"/>
      <c r="G17" s="54"/>
    </row>
  </sheetData>
  <mergeCells count="4">
    <mergeCell ref="C2:G2"/>
    <mergeCell ref="C4:E4"/>
    <mergeCell ref="B5:B6"/>
    <mergeCell ref="C5:E6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R36"/>
  <sheetViews>
    <sheetView zoomScaleNormal="100" zoomScaleSheetLayoutView="100" workbookViewId="0">
      <selection activeCell="U5" sqref="U5"/>
    </sheetView>
  </sheetViews>
  <sheetFormatPr defaultColWidth="9.140625" defaultRowHeight="15"/>
  <cols>
    <col min="1" max="1" width="3.7109375" style="9" customWidth="1"/>
    <col min="2" max="2" width="12.5703125" style="3" customWidth="1"/>
    <col min="3" max="3" width="22.42578125" style="3" customWidth="1"/>
    <col min="4" max="4" width="7.42578125" style="3" customWidth="1"/>
    <col min="5" max="16" width="5.28515625" style="3" customWidth="1"/>
    <col min="17" max="17" width="4.85546875" style="3" bestFit="1" customWidth="1"/>
    <col min="18" max="22" width="4.140625" style="3" customWidth="1"/>
    <col min="23" max="16384" width="9.140625" style="3"/>
  </cols>
  <sheetData>
    <row r="1" spans="1:18" ht="18.75">
      <c r="B1" s="5" t="s">
        <v>42</v>
      </c>
    </row>
    <row r="2" spans="1:18" ht="18.75">
      <c r="B2" s="5"/>
    </row>
    <row r="3" spans="1:18" ht="18.75">
      <c r="B3" s="5"/>
    </row>
    <row r="4" spans="1:18" ht="18.75">
      <c r="B4" s="5"/>
    </row>
    <row r="5" spans="1:18" ht="18.75">
      <c r="B5" s="5"/>
    </row>
    <row r="6" spans="1:18" ht="18.75">
      <c r="B6" s="5"/>
    </row>
    <row r="7" spans="1:18" ht="18.75">
      <c r="B7" s="5"/>
    </row>
    <row r="8" spans="1:18" s="11" customFormat="1">
      <c r="A8" s="10"/>
      <c r="B8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ht="18.75">
      <c r="B9" s="5"/>
    </row>
    <row r="10" spans="1:18" ht="18.75">
      <c r="B10" s="5"/>
    </row>
    <row r="11" spans="1:18" ht="18.75">
      <c r="B11" s="5"/>
    </row>
    <row r="12" spans="1:18" ht="18.75">
      <c r="B12" s="5"/>
    </row>
    <row r="13" spans="1:18" ht="18.75">
      <c r="B13" s="5"/>
    </row>
    <row r="14" spans="1:18" ht="18.75">
      <c r="B14" s="5"/>
    </row>
    <row r="15" spans="1:18" ht="18.75">
      <c r="B15" s="5"/>
    </row>
    <row r="16" spans="1:18" ht="18.75">
      <c r="B16" s="5"/>
    </row>
    <row r="17" spans="2:18" ht="18.75">
      <c r="B17" s="5"/>
    </row>
    <row r="18" spans="2:18" ht="18.75">
      <c r="B18" s="5"/>
    </row>
    <row r="19" spans="2:18" ht="18.75">
      <c r="B19" s="5"/>
    </row>
    <row r="20" spans="2:18" ht="18.75">
      <c r="B20" s="5" t="s">
        <v>101</v>
      </c>
    </row>
    <row r="22" spans="2:18"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5" spans="2:18">
      <c r="B25" s="20"/>
    </row>
    <row r="26" spans="2:18">
      <c r="B26" s="21"/>
    </row>
    <row r="27" spans="2:18">
      <c r="B27" s="21"/>
    </row>
    <row r="28" spans="2:18">
      <c r="B28" s="18"/>
    </row>
    <row r="29" spans="2:18">
      <c r="B29" s="17"/>
    </row>
    <row r="30" spans="2:18">
      <c r="B30" s="16"/>
    </row>
    <row r="33" spans="2:2">
      <c r="B33" s="65"/>
    </row>
    <row r="34" spans="2:2">
      <c r="B34" s="18"/>
    </row>
    <row r="35" spans="2:2">
      <c r="B35" s="18"/>
    </row>
    <row r="36" spans="2:2">
      <c r="B36" s="19"/>
    </row>
  </sheetData>
  <printOptions horizontalCentered="1"/>
  <pageMargins left="0.5" right="0.5" top="0.75" bottom="0.75" header="0.31496062992126" footer="0.31496062992126"/>
  <pageSetup paperSize="9" fitToHeight="2" orientation="landscape" r:id="rId1"/>
  <headerFooter>
    <oddFooter>&amp;R&amp;P/&amp;N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21505" r:id="rId4">
          <objectPr defaultSize="0" autoPict="0" r:id="rId5">
            <anchor moveWithCells="1">
              <from>
                <xdr:col>1</xdr:col>
                <xdr:colOff>0</xdr:colOff>
                <xdr:row>1</xdr:row>
                <xdr:rowOff>123825</xdr:rowOff>
              </from>
              <to>
                <xdr:col>15</xdr:col>
                <xdr:colOff>0</xdr:colOff>
                <xdr:row>18</xdr:row>
                <xdr:rowOff>57150</xdr:rowOff>
              </to>
            </anchor>
          </objectPr>
        </oleObject>
      </mc:Choice>
      <mc:Fallback>
        <oleObject progId="Visio.Drawing.15" shapeId="2150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11"/>
  <sheetViews>
    <sheetView workbookViewId="0">
      <selection activeCell="AT11" sqref="AT11"/>
    </sheetView>
  </sheetViews>
  <sheetFormatPr defaultRowHeight="15"/>
  <sheetData>
    <row r="1" spans="1:256">
      <c r="A1" t="e">
        <f>IF(#REF!,"AAAAAFt6TwA=",0)</f>
        <v>#REF!</v>
      </c>
      <c r="B1" t="e">
        <f>AND(#REF!,"AAAAAFt6TwE=")</f>
        <v>#REF!</v>
      </c>
      <c r="C1" t="e">
        <f>AND(#REF!,"AAAAAFt6TwI=")</f>
        <v>#REF!</v>
      </c>
      <c r="D1" t="e">
        <f>AND(#REF!,"AAAAAFt6TwM=")</f>
        <v>#REF!</v>
      </c>
      <c r="E1" t="e">
        <f>AND(#REF!,"AAAAAFt6TwQ=")</f>
        <v>#REF!</v>
      </c>
      <c r="F1" t="e">
        <f>AND(#REF!,"AAAAAFt6TwU=")</f>
        <v>#REF!</v>
      </c>
      <c r="G1" t="e">
        <f>AND(#REF!,"AAAAAFt6TwY=")</f>
        <v>#REF!</v>
      </c>
      <c r="H1" t="e">
        <f>AND(#REF!,"AAAAAFt6Twc=")</f>
        <v>#REF!</v>
      </c>
      <c r="I1" t="e">
        <f>AND(#REF!,"AAAAAFt6Twg=")</f>
        <v>#REF!</v>
      </c>
      <c r="J1" t="e">
        <f>IF(#REF!,"AAAAAFt6Twk=",0)</f>
        <v>#REF!</v>
      </c>
      <c r="K1" t="e">
        <f>AND(#REF!,"AAAAAFt6Two=")</f>
        <v>#REF!</v>
      </c>
      <c r="L1" t="e">
        <f>AND(#REF!,"AAAAAFt6Tws=")</f>
        <v>#REF!</v>
      </c>
      <c r="M1" t="e">
        <f>AND(#REF!,"AAAAAFt6Tww=")</f>
        <v>#REF!</v>
      </c>
      <c r="N1" t="e">
        <f>AND(#REF!,"AAAAAFt6Tw0=")</f>
        <v>#REF!</v>
      </c>
      <c r="O1" t="e">
        <f>AND(#REF!,"AAAAAFt6Tw4=")</f>
        <v>#REF!</v>
      </c>
      <c r="P1" t="e">
        <f>AND(#REF!,"AAAAAFt6Tw8=")</f>
        <v>#REF!</v>
      </c>
      <c r="Q1" t="e">
        <f>AND(#REF!,"AAAAAFt6TxA=")</f>
        <v>#REF!</v>
      </c>
      <c r="R1" t="e">
        <f>AND(#REF!,"AAAAAFt6TxE=")</f>
        <v>#REF!</v>
      </c>
      <c r="S1" t="e">
        <f>IF(#REF!,"AAAAAFt6TxI=",0)</f>
        <v>#REF!</v>
      </c>
      <c r="T1" t="e">
        <f>AND(#REF!,"AAAAAFt6TxM=")</f>
        <v>#REF!</v>
      </c>
      <c r="U1" t="e">
        <f>AND(#REF!,"AAAAAFt6TxQ=")</f>
        <v>#REF!</v>
      </c>
      <c r="V1" t="e">
        <f>AND(#REF!,"AAAAAFt6TxU=")</f>
        <v>#REF!</v>
      </c>
      <c r="W1" t="e">
        <f>AND(#REF!,"AAAAAFt6TxY=")</f>
        <v>#REF!</v>
      </c>
      <c r="X1" t="e">
        <f>AND(#REF!,"AAAAAFt6Txc=")</f>
        <v>#REF!</v>
      </c>
      <c r="Y1" t="e">
        <f>AND(#REF!,"AAAAAFt6Txg=")</f>
        <v>#REF!</v>
      </c>
      <c r="Z1" t="e">
        <f>AND(#REF!,"AAAAAFt6Txk=")</f>
        <v>#REF!</v>
      </c>
      <c r="AA1" t="e">
        <f>AND(#REF!,"AAAAAFt6Txo=")</f>
        <v>#REF!</v>
      </c>
      <c r="AB1" t="e">
        <f>IF(#REF!,"AAAAAFt6Txs=",0)</f>
        <v>#REF!</v>
      </c>
      <c r="AC1" t="e">
        <f>AND(#REF!,"AAAAAFt6Txw=")</f>
        <v>#REF!</v>
      </c>
      <c r="AD1" t="e">
        <f>AND(#REF!,"AAAAAFt6Tx0=")</f>
        <v>#REF!</v>
      </c>
      <c r="AE1" t="e">
        <f>AND(#REF!,"AAAAAFt6Tx4=")</f>
        <v>#REF!</v>
      </c>
      <c r="AF1" t="e">
        <f>AND(#REF!,"AAAAAFt6Tx8=")</f>
        <v>#REF!</v>
      </c>
      <c r="AG1" t="e">
        <f>AND(#REF!,"AAAAAFt6TyA=")</f>
        <v>#REF!</v>
      </c>
      <c r="AH1" t="e">
        <f>AND(#REF!,"AAAAAFt6TyE=")</f>
        <v>#REF!</v>
      </c>
      <c r="AI1" t="e">
        <f>AND(#REF!,"AAAAAFt6TyI=")</f>
        <v>#REF!</v>
      </c>
      <c r="AJ1" t="e">
        <f>AND(#REF!,"AAAAAFt6TyM=")</f>
        <v>#REF!</v>
      </c>
      <c r="AK1" t="e">
        <f>IF(#REF!,"AAAAAFt6TyQ=",0)</f>
        <v>#REF!</v>
      </c>
      <c r="AL1" t="e">
        <f>AND(#REF!,"AAAAAFt6TyU=")</f>
        <v>#REF!</v>
      </c>
      <c r="AM1" t="e">
        <f>AND(#REF!,"AAAAAFt6TyY=")</f>
        <v>#REF!</v>
      </c>
      <c r="AN1" t="e">
        <f>AND(#REF!,"AAAAAFt6Tyc=")</f>
        <v>#REF!</v>
      </c>
      <c r="AO1" t="e">
        <f>AND(#REF!,"AAAAAFt6Tyg=")</f>
        <v>#REF!</v>
      </c>
      <c r="AP1" t="e">
        <f>AND(#REF!,"AAAAAFt6Tyk=")</f>
        <v>#REF!</v>
      </c>
      <c r="AQ1" t="e">
        <f>AND(#REF!,"AAAAAFt6Tyo=")</f>
        <v>#REF!</v>
      </c>
      <c r="AR1" t="e">
        <f>AND(#REF!,"AAAAAFt6Tys=")</f>
        <v>#REF!</v>
      </c>
      <c r="AS1" t="e">
        <f>AND(#REF!,"AAAAAFt6Tyw=")</f>
        <v>#REF!</v>
      </c>
      <c r="AT1" t="e">
        <f>IF(#REF!,"AAAAAFt6Ty0=",0)</f>
        <v>#REF!</v>
      </c>
      <c r="AU1" t="e">
        <f>AND(#REF!,"AAAAAFt6Ty4=")</f>
        <v>#REF!</v>
      </c>
      <c r="AV1" t="e">
        <f>AND(#REF!,"AAAAAFt6Ty8=")</f>
        <v>#REF!</v>
      </c>
      <c r="AW1" t="e">
        <f>AND(#REF!,"AAAAAFt6TzA=")</f>
        <v>#REF!</v>
      </c>
      <c r="AX1" t="e">
        <f>AND(#REF!,"AAAAAFt6TzE=")</f>
        <v>#REF!</v>
      </c>
      <c r="AY1" t="e">
        <f>AND(#REF!,"AAAAAFt6TzI=")</f>
        <v>#REF!</v>
      </c>
      <c r="AZ1" t="e">
        <f>AND(#REF!,"AAAAAFt6TzM=")</f>
        <v>#REF!</v>
      </c>
      <c r="BA1" t="e">
        <f>AND(#REF!,"AAAAAFt6TzQ=")</f>
        <v>#REF!</v>
      </c>
      <c r="BB1" t="e">
        <f>AND(#REF!,"AAAAAFt6TzU=")</f>
        <v>#REF!</v>
      </c>
      <c r="BC1" t="e">
        <f>IF(#REF!,"AAAAAFt6TzY=",0)</f>
        <v>#REF!</v>
      </c>
      <c r="BD1" t="e">
        <f>AND(#REF!,"AAAAAFt6Tzc=")</f>
        <v>#REF!</v>
      </c>
      <c r="BE1" t="e">
        <f>AND(#REF!,"AAAAAFt6Tzg=")</f>
        <v>#REF!</v>
      </c>
      <c r="BF1" t="e">
        <f>AND(#REF!,"AAAAAFt6Tzk=")</f>
        <v>#REF!</v>
      </c>
      <c r="BG1" t="e">
        <f>AND(#REF!,"AAAAAFt6Tzo=")</f>
        <v>#REF!</v>
      </c>
      <c r="BH1" t="e">
        <f>AND(#REF!,"AAAAAFt6Tzs=")</f>
        <v>#REF!</v>
      </c>
      <c r="BI1" t="e">
        <f>AND(#REF!,"AAAAAFt6Tzw=")</f>
        <v>#REF!</v>
      </c>
      <c r="BJ1" t="e">
        <f>AND(#REF!,"AAAAAFt6Tz0=")</f>
        <v>#REF!</v>
      </c>
      <c r="BK1" t="e">
        <f>AND(#REF!,"AAAAAFt6Tz4=")</f>
        <v>#REF!</v>
      </c>
      <c r="BL1" t="e">
        <f>IF(#REF!,"AAAAAFt6Tz8=",0)</f>
        <v>#REF!</v>
      </c>
      <c r="BM1" t="e">
        <f>AND(#REF!,"AAAAAFt6T0A=")</f>
        <v>#REF!</v>
      </c>
      <c r="BN1" t="e">
        <f>AND(#REF!,"AAAAAFt6T0E=")</f>
        <v>#REF!</v>
      </c>
      <c r="BO1" t="e">
        <f>AND(#REF!,"AAAAAFt6T0I=")</f>
        <v>#REF!</v>
      </c>
      <c r="BP1" t="e">
        <f>AND(#REF!,"AAAAAFt6T0M=")</f>
        <v>#REF!</v>
      </c>
      <c r="BQ1" t="e">
        <f>AND(#REF!,"AAAAAFt6T0Q=")</f>
        <v>#REF!</v>
      </c>
      <c r="BR1" t="e">
        <f>AND(#REF!,"AAAAAFt6T0U=")</f>
        <v>#REF!</v>
      </c>
      <c r="BS1" t="e">
        <f>AND(#REF!,"AAAAAFt6T0Y=")</f>
        <v>#REF!</v>
      </c>
      <c r="BT1" t="e">
        <f>AND(#REF!,"AAAAAFt6T0c=")</f>
        <v>#REF!</v>
      </c>
      <c r="BU1" t="e">
        <f>IF(#REF!,"AAAAAFt6T0g=",0)</f>
        <v>#REF!</v>
      </c>
      <c r="BV1" t="e">
        <f>AND(#REF!,"AAAAAFt6T0k=")</f>
        <v>#REF!</v>
      </c>
      <c r="BW1" t="e">
        <f>AND(#REF!,"AAAAAFt6T0o=")</f>
        <v>#REF!</v>
      </c>
      <c r="BX1" t="e">
        <f>AND(#REF!,"AAAAAFt6T0s=")</f>
        <v>#REF!</v>
      </c>
      <c r="BY1" t="e">
        <f>AND(#REF!,"AAAAAFt6T0w=")</f>
        <v>#REF!</v>
      </c>
      <c r="BZ1" t="e">
        <f>AND(#REF!,"AAAAAFt6T00=")</f>
        <v>#REF!</v>
      </c>
      <c r="CA1" t="e">
        <f>AND(#REF!,"AAAAAFt6T04=")</f>
        <v>#REF!</v>
      </c>
      <c r="CB1" t="e">
        <f>AND(#REF!,"AAAAAFt6T08=")</f>
        <v>#REF!</v>
      </c>
      <c r="CC1" t="e">
        <f>AND(#REF!,"AAAAAFt6T1A=")</f>
        <v>#REF!</v>
      </c>
      <c r="CD1" t="e">
        <f>IF(#REF!,"AAAAAFt6T1E=",0)</f>
        <v>#REF!</v>
      </c>
      <c r="CE1" t="e">
        <f>AND(#REF!,"AAAAAFt6T1I=")</f>
        <v>#REF!</v>
      </c>
      <c r="CF1" t="e">
        <f>AND(#REF!,"AAAAAFt6T1M=")</f>
        <v>#REF!</v>
      </c>
      <c r="CG1" t="e">
        <f>AND(#REF!,"AAAAAFt6T1Q=")</f>
        <v>#REF!</v>
      </c>
      <c r="CH1" t="e">
        <f>AND(#REF!,"AAAAAFt6T1U=")</f>
        <v>#REF!</v>
      </c>
      <c r="CI1" t="e">
        <f>AND(#REF!,"AAAAAFt6T1Y=")</f>
        <v>#REF!</v>
      </c>
      <c r="CJ1" t="e">
        <f>AND(#REF!,"AAAAAFt6T1c=")</f>
        <v>#REF!</v>
      </c>
      <c r="CK1" t="e">
        <f>AND(#REF!,"AAAAAFt6T1g=")</f>
        <v>#REF!</v>
      </c>
      <c r="CL1" t="e">
        <f>AND(#REF!,"AAAAAFt6T1k=")</f>
        <v>#REF!</v>
      </c>
      <c r="CM1" t="e">
        <f>IF(#REF!,"AAAAAFt6T1o=",0)</f>
        <v>#REF!</v>
      </c>
      <c r="CN1" t="e">
        <f>AND(#REF!,"AAAAAFt6T1s=")</f>
        <v>#REF!</v>
      </c>
      <c r="CO1" t="e">
        <f>AND(#REF!,"AAAAAFt6T1w=")</f>
        <v>#REF!</v>
      </c>
      <c r="CP1" t="e">
        <f>AND(#REF!,"AAAAAFt6T10=")</f>
        <v>#REF!</v>
      </c>
      <c r="CQ1" t="e">
        <f>AND(#REF!,"AAAAAFt6T14=")</f>
        <v>#REF!</v>
      </c>
      <c r="CR1" t="e">
        <f>AND(#REF!,"AAAAAFt6T18=")</f>
        <v>#REF!</v>
      </c>
      <c r="CS1" t="e">
        <f>AND(#REF!,"AAAAAFt6T2A=")</f>
        <v>#REF!</v>
      </c>
      <c r="CT1" t="e">
        <f>AND(#REF!,"AAAAAFt6T2E=")</f>
        <v>#REF!</v>
      </c>
      <c r="CU1" t="e">
        <f>AND(#REF!,"AAAAAFt6T2I=")</f>
        <v>#REF!</v>
      </c>
      <c r="CV1" t="e">
        <f>IF(#REF!,"AAAAAFt6T2M=",0)</f>
        <v>#REF!</v>
      </c>
      <c r="CW1" t="e">
        <f>AND(#REF!,"AAAAAFt6T2Q=")</f>
        <v>#REF!</v>
      </c>
      <c r="CX1" t="e">
        <f>AND(#REF!,"AAAAAFt6T2U=")</f>
        <v>#REF!</v>
      </c>
      <c r="CY1" t="e">
        <f>AND(#REF!,"AAAAAFt6T2Y=")</f>
        <v>#REF!</v>
      </c>
      <c r="CZ1" t="e">
        <f>AND(#REF!,"AAAAAFt6T2c=")</f>
        <v>#REF!</v>
      </c>
      <c r="DA1" t="e">
        <f>AND(#REF!,"AAAAAFt6T2g=")</f>
        <v>#REF!</v>
      </c>
      <c r="DB1" t="e">
        <f>AND(#REF!,"AAAAAFt6T2k=")</f>
        <v>#REF!</v>
      </c>
      <c r="DC1" t="e">
        <f>AND(#REF!,"AAAAAFt6T2o=")</f>
        <v>#REF!</v>
      </c>
      <c r="DD1" t="e">
        <f>AND(#REF!,"AAAAAFt6T2s=")</f>
        <v>#REF!</v>
      </c>
      <c r="DE1" t="e">
        <f>IF(#REF!,"AAAAAFt6T2w=",0)</f>
        <v>#REF!</v>
      </c>
      <c r="DF1" t="e">
        <f>AND(#REF!,"AAAAAFt6T20=")</f>
        <v>#REF!</v>
      </c>
      <c r="DG1" t="e">
        <f>AND(#REF!,"AAAAAFt6T24=")</f>
        <v>#REF!</v>
      </c>
      <c r="DH1" t="e">
        <f>AND(#REF!,"AAAAAFt6T28=")</f>
        <v>#REF!</v>
      </c>
      <c r="DI1" t="e">
        <f>AND(#REF!,"AAAAAFt6T3A=")</f>
        <v>#REF!</v>
      </c>
      <c r="DJ1" t="e">
        <f>AND(#REF!,"AAAAAFt6T3E=")</f>
        <v>#REF!</v>
      </c>
      <c r="DK1" t="e">
        <f>AND(#REF!,"AAAAAFt6T3I=")</f>
        <v>#REF!</v>
      </c>
      <c r="DL1" t="e">
        <f>AND(#REF!,"AAAAAFt6T3M=")</f>
        <v>#REF!</v>
      </c>
      <c r="DM1" t="e">
        <f>AND(#REF!,"AAAAAFt6T3Q=")</f>
        <v>#REF!</v>
      </c>
      <c r="DN1" t="e">
        <f>IF(#REF!,"AAAAAFt6T3U=",0)</f>
        <v>#REF!</v>
      </c>
      <c r="DO1" t="e">
        <f>AND(#REF!,"AAAAAFt6T3Y=")</f>
        <v>#REF!</v>
      </c>
      <c r="DP1" t="e">
        <f>AND(#REF!,"AAAAAFt6T3c=")</f>
        <v>#REF!</v>
      </c>
      <c r="DQ1" t="e">
        <f>AND(#REF!,"AAAAAFt6T3g=")</f>
        <v>#REF!</v>
      </c>
      <c r="DR1" t="e">
        <f>AND(#REF!,"AAAAAFt6T3k=")</f>
        <v>#REF!</v>
      </c>
      <c r="DS1" t="e">
        <f>AND(#REF!,"AAAAAFt6T3o=")</f>
        <v>#REF!</v>
      </c>
      <c r="DT1" t="e">
        <f>AND(#REF!,"AAAAAFt6T3s=")</f>
        <v>#REF!</v>
      </c>
      <c r="DU1" t="e">
        <f>AND(#REF!,"AAAAAFt6T3w=")</f>
        <v>#REF!</v>
      </c>
      <c r="DV1" t="e">
        <f>AND(#REF!,"AAAAAFt6T30=")</f>
        <v>#REF!</v>
      </c>
      <c r="DW1" t="e">
        <f>IF(#REF!,"AAAAAFt6T34=",0)</f>
        <v>#REF!</v>
      </c>
      <c r="DX1" t="e">
        <f>AND(#REF!,"AAAAAFt6T38=")</f>
        <v>#REF!</v>
      </c>
      <c r="DY1" t="e">
        <f>AND(#REF!,"AAAAAFt6T4A=")</f>
        <v>#REF!</v>
      </c>
      <c r="DZ1" t="e">
        <f>AND(#REF!,"AAAAAFt6T4E=")</f>
        <v>#REF!</v>
      </c>
      <c r="EA1" t="e">
        <f>AND(#REF!,"AAAAAFt6T4I=")</f>
        <v>#REF!</v>
      </c>
      <c r="EB1" t="e">
        <f>AND(#REF!,"AAAAAFt6T4M=")</f>
        <v>#REF!</v>
      </c>
      <c r="EC1" t="e">
        <f>AND(#REF!,"AAAAAFt6T4Q=")</f>
        <v>#REF!</v>
      </c>
      <c r="ED1" t="e">
        <f>AND(#REF!,"AAAAAFt6T4U=")</f>
        <v>#REF!</v>
      </c>
      <c r="EE1" t="e">
        <f>AND(#REF!,"AAAAAFt6T4Y=")</f>
        <v>#REF!</v>
      </c>
      <c r="EF1" t="e">
        <f>IF(#REF!,"AAAAAFt6T4c=",0)</f>
        <v>#REF!</v>
      </c>
      <c r="EG1" t="e">
        <f>AND(#REF!,"AAAAAFt6T4g=")</f>
        <v>#REF!</v>
      </c>
      <c r="EH1" t="e">
        <f>AND(#REF!,"AAAAAFt6T4k=")</f>
        <v>#REF!</v>
      </c>
      <c r="EI1" t="e">
        <f>IF(#REF!,"AAAAAFt6T4o=",0)</f>
        <v>#REF!</v>
      </c>
      <c r="EJ1" t="e">
        <f>AND(#REF!,"AAAAAFt6T4s=")</f>
        <v>#REF!</v>
      </c>
      <c r="EK1" t="e">
        <f>AND(#REF!,"AAAAAFt6T4w=")</f>
        <v>#REF!</v>
      </c>
      <c r="EL1" t="e">
        <f>IF(#REF!,"AAAAAFt6T40=",0)</f>
        <v>#REF!</v>
      </c>
      <c r="EM1" t="e">
        <f>AND(#REF!,"AAAAAFt6T44=")</f>
        <v>#REF!</v>
      </c>
      <c r="EN1" t="e">
        <f>AND(#REF!,"AAAAAFt6T48=")</f>
        <v>#REF!</v>
      </c>
      <c r="EO1" t="e">
        <f>IF(#REF!,"AAAAAFt6T5A=",0)</f>
        <v>#REF!</v>
      </c>
      <c r="EP1" t="e">
        <f>AND(#REF!,"AAAAAFt6T5E=")</f>
        <v>#REF!</v>
      </c>
      <c r="EQ1" t="e">
        <f>AND(#REF!,"AAAAAFt6T5I=")</f>
        <v>#REF!</v>
      </c>
      <c r="ER1" t="e">
        <f>IF(#REF!,"AAAAAFt6T5M=",0)</f>
        <v>#REF!</v>
      </c>
      <c r="ES1" t="e">
        <f>AND(#REF!,"AAAAAFt6T5Q=")</f>
        <v>#REF!</v>
      </c>
      <c r="ET1" t="e">
        <f>AND(#REF!,"AAAAAFt6T5U=")</f>
        <v>#REF!</v>
      </c>
      <c r="EU1" t="e">
        <f>IF(#REF!,"AAAAAFt6T5Y=",0)</f>
        <v>#REF!</v>
      </c>
      <c r="EV1" t="e">
        <f>AND(#REF!,"AAAAAFt6T5c=")</f>
        <v>#REF!</v>
      </c>
      <c r="EW1" t="e">
        <f>AND(#REF!,"AAAAAFt6T5g=")</f>
        <v>#REF!</v>
      </c>
      <c r="EX1" t="e">
        <f>IF(#REF!,"AAAAAFt6T5k=",0)</f>
        <v>#REF!</v>
      </c>
      <c r="EY1" t="e">
        <f>AND(#REF!,"AAAAAFt6T5o=")</f>
        <v>#REF!</v>
      </c>
      <c r="EZ1" t="e">
        <f>AND(#REF!,"AAAAAFt6T5s=")</f>
        <v>#REF!</v>
      </c>
      <c r="FA1" t="e">
        <f>IF(#REF!,"AAAAAFt6T5w=",0)</f>
        <v>#REF!</v>
      </c>
      <c r="FB1" t="e">
        <f>AND(#REF!,"AAAAAFt6T50=")</f>
        <v>#REF!</v>
      </c>
      <c r="FC1" t="e">
        <f>AND(#REF!,"AAAAAFt6T54=")</f>
        <v>#REF!</v>
      </c>
      <c r="FD1" t="e">
        <f>IF(#REF!,"AAAAAFt6T58=",0)</f>
        <v>#REF!</v>
      </c>
      <c r="FE1" t="e">
        <f>AND(#REF!,"AAAAAFt6T6A=")</f>
        <v>#REF!</v>
      </c>
      <c r="FF1" t="e">
        <f>AND(#REF!,"AAAAAFt6T6E=")</f>
        <v>#REF!</v>
      </c>
      <c r="FG1" t="e">
        <f>IF(#REF!,"AAAAAFt6T6I=",0)</f>
        <v>#REF!</v>
      </c>
      <c r="FH1" t="e">
        <f>AND(#REF!,"AAAAAFt6T6M=")</f>
        <v>#REF!</v>
      </c>
      <c r="FI1" t="e">
        <f>AND(#REF!,"AAAAAFt6T6Q=")</f>
        <v>#REF!</v>
      </c>
      <c r="FJ1" t="e">
        <f>IF(#REF!,"AAAAAFt6T6U=",0)</f>
        <v>#REF!</v>
      </c>
      <c r="FK1" t="e">
        <f>AND(#REF!,"AAAAAFt6T6Y=")</f>
        <v>#REF!</v>
      </c>
      <c r="FL1" t="e">
        <f>AND(#REF!,"AAAAAFt6T6c=")</f>
        <v>#REF!</v>
      </c>
      <c r="FM1" t="e">
        <f>IF(#REF!,"AAAAAFt6T6g=",0)</f>
        <v>#REF!</v>
      </c>
      <c r="FN1" t="e">
        <f>AND(#REF!,"AAAAAFt6T6k=")</f>
        <v>#REF!</v>
      </c>
      <c r="FO1" t="e">
        <f>AND(#REF!,"AAAAAFt6T6o=")</f>
        <v>#REF!</v>
      </c>
      <c r="FP1" t="e">
        <f>IF(#REF!,"AAAAAFt6T6s=",0)</f>
        <v>#REF!</v>
      </c>
      <c r="FQ1" t="e">
        <f>AND(#REF!,"AAAAAFt6T6w=")</f>
        <v>#REF!</v>
      </c>
      <c r="FR1" t="e">
        <f>AND(#REF!,"AAAAAFt6T60=")</f>
        <v>#REF!</v>
      </c>
      <c r="FS1" t="e">
        <f>IF(#REF!,"AAAAAFt6T64=",0)</f>
        <v>#REF!</v>
      </c>
      <c r="FT1" t="e">
        <f>IF(#REF!,"AAAAAFt6T68=",0)</f>
        <v>#REF!</v>
      </c>
      <c r="FU1" t="e">
        <f>IF(#REF!,"AAAAAFt6T7A=",0)</f>
        <v>#REF!</v>
      </c>
      <c r="FV1" t="e">
        <f>IF(#REF!,"AAAAAFt6T7E=",0)</f>
        <v>#REF!</v>
      </c>
      <c r="FW1" t="e">
        <f>IF(#REF!,"AAAAAFt6T7I=",0)</f>
        <v>#REF!</v>
      </c>
      <c r="FX1" t="e">
        <f>IF(#REF!,"AAAAAFt6T7M=",0)</f>
        <v>#REF!</v>
      </c>
      <c r="FY1" t="e">
        <f>IF(#REF!,"AAAAAFt6T7Q=",0)</f>
        <v>#REF!</v>
      </c>
      <c r="FZ1" t="e">
        <f>IF(#REF!,"AAAAAFt6T7U=",0)</f>
        <v>#REF!</v>
      </c>
      <c r="GA1" t="e">
        <f>IF(#REF!,"AAAAAFt6T7Y=",0)</f>
        <v>#REF!</v>
      </c>
      <c r="GB1" t="e">
        <f>AND(#REF!,"AAAAAFt6T7c=")</f>
        <v>#REF!</v>
      </c>
      <c r="GC1" t="e">
        <f>AND(#REF!,"AAAAAFt6T7g=")</f>
        <v>#REF!</v>
      </c>
      <c r="GD1" t="e">
        <f>AND(#REF!,"AAAAAFt6T7k=")</f>
        <v>#REF!</v>
      </c>
      <c r="GE1" t="e">
        <f>AND(#REF!,"AAAAAFt6T7o=")</f>
        <v>#REF!</v>
      </c>
      <c r="GF1" t="e">
        <f>AND(#REF!,"AAAAAFt6T7s=")</f>
        <v>#REF!</v>
      </c>
      <c r="GG1" t="e">
        <f>AND(#REF!,"AAAAAFt6T7w=")</f>
        <v>#REF!</v>
      </c>
      <c r="GH1" t="e">
        <f>AND(#REF!,"AAAAAFt6T70=")</f>
        <v>#REF!</v>
      </c>
      <c r="GI1" t="e">
        <f>AND(#REF!,"AAAAAFt6T74=")</f>
        <v>#REF!</v>
      </c>
      <c r="GJ1" t="e">
        <f>AND(#REF!,"AAAAAFt6T78=")</f>
        <v>#REF!</v>
      </c>
      <c r="GK1" t="e">
        <f>AND(#REF!,"AAAAAFt6T8A=")</f>
        <v>#REF!</v>
      </c>
      <c r="GL1" t="e">
        <f>AND(#REF!,"AAAAAFt6T8E=")</f>
        <v>#REF!</v>
      </c>
      <c r="GM1" t="e">
        <f>AND(#REF!,"AAAAAFt6T8I=")</f>
        <v>#REF!</v>
      </c>
      <c r="GN1" t="e">
        <f>AND(#REF!,"AAAAAFt6T8M=")</f>
        <v>#REF!</v>
      </c>
      <c r="GO1" t="e">
        <f>AND(#REF!,"AAAAAFt6T8Q=")</f>
        <v>#REF!</v>
      </c>
      <c r="GP1" t="e">
        <f>AND(#REF!,"AAAAAFt6T8U=")</f>
        <v>#REF!</v>
      </c>
      <c r="GQ1" t="e">
        <f>AND(#REF!,"AAAAAFt6T8Y=")</f>
        <v>#REF!</v>
      </c>
      <c r="GR1" t="e">
        <f>AND(#REF!,"AAAAAFt6T8c=")</f>
        <v>#REF!</v>
      </c>
      <c r="GS1" t="e">
        <f>AND(#REF!,"AAAAAFt6T8g=")</f>
        <v>#REF!</v>
      </c>
      <c r="GT1" t="e">
        <f>IF(#REF!,"AAAAAFt6T8k=",0)</f>
        <v>#REF!</v>
      </c>
      <c r="GU1" t="e">
        <f>AND(#REF!,"AAAAAFt6T8o=")</f>
        <v>#REF!</v>
      </c>
      <c r="GV1" t="e">
        <f>AND(#REF!,"AAAAAFt6T8s=")</f>
        <v>#REF!</v>
      </c>
      <c r="GW1" t="e">
        <f>AND(#REF!,"AAAAAFt6T8w=")</f>
        <v>#REF!</v>
      </c>
      <c r="GX1" t="e">
        <f>AND(#REF!,"AAAAAFt6T80=")</f>
        <v>#REF!</v>
      </c>
      <c r="GY1" t="e">
        <f>AND(#REF!,"AAAAAFt6T84=")</f>
        <v>#REF!</v>
      </c>
      <c r="GZ1" t="e">
        <f>AND(#REF!,"AAAAAFt6T88=")</f>
        <v>#REF!</v>
      </c>
      <c r="HA1" t="e">
        <f>AND(#REF!,"AAAAAFt6T9A=")</f>
        <v>#REF!</v>
      </c>
      <c r="HB1" t="e">
        <f>AND(#REF!,"AAAAAFt6T9E=")</f>
        <v>#REF!</v>
      </c>
      <c r="HC1" t="e">
        <f>AND(#REF!,"AAAAAFt6T9I=")</f>
        <v>#REF!</v>
      </c>
      <c r="HD1" t="e">
        <f>AND(#REF!,"AAAAAFt6T9M=")</f>
        <v>#REF!</v>
      </c>
      <c r="HE1" t="e">
        <f>AND(#REF!,"AAAAAFt6T9Q=")</f>
        <v>#REF!</v>
      </c>
      <c r="HF1" t="e">
        <f>AND(#REF!,"AAAAAFt6T9U=")</f>
        <v>#REF!</v>
      </c>
      <c r="HG1" t="e">
        <f>AND(#REF!,"AAAAAFt6T9Y=")</f>
        <v>#REF!</v>
      </c>
      <c r="HH1" t="e">
        <f>AND(#REF!,"AAAAAFt6T9c=")</f>
        <v>#REF!</v>
      </c>
      <c r="HI1" t="e">
        <f>AND(#REF!,"AAAAAFt6T9g=")</f>
        <v>#REF!</v>
      </c>
      <c r="HJ1" t="e">
        <f>AND(#REF!,"AAAAAFt6T9k=")</f>
        <v>#REF!</v>
      </c>
      <c r="HK1" t="e">
        <f>AND(#REF!,"AAAAAFt6T9o=")</f>
        <v>#REF!</v>
      </c>
      <c r="HL1" t="e">
        <f>AND(#REF!,"AAAAAFt6T9s=")</f>
        <v>#REF!</v>
      </c>
      <c r="HM1" t="e">
        <f>IF(#REF!,"AAAAAFt6T9w=",0)</f>
        <v>#REF!</v>
      </c>
      <c r="HN1" t="e">
        <f>AND(#REF!,"AAAAAFt6T90=")</f>
        <v>#REF!</v>
      </c>
      <c r="HO1" t="e">
        <f>AND(#REF!,"AAAAAFt6T94=")</f>
        <v>#REF!</v>
      </c>
      <c r="HP1" t="e">
        <f>AND(#REF!,"AAAAAFt6T98=")</f>
        <v>#REF!</v>
      </c>
      <c r="HQ1" t="e">
        <f>AND(#REF!,"AAAAAFt6T+A=")</f>
        <v>#REF!</v>
      </c>
      <c r="HR1" t="e">
        <f>AND(#REF!,"AAAAAFt6T+E=")</f>
        <v>#REF!</v>
      </c>
      <c r="HS1" t="e">
        <f>AND(#REF!,"AAAAAFt6T+I=")</f>
        <v>#REF!</v>
      </c>
      <c r="HT1" t="e">
        <f>AND(#REF!,"AAAAAFt6T+M=")</f>
        <v>#REF!</v>
      </c>
      <c r="HU1" t="e">
        <f>AND(#REF!,"AAAAAFt6T+Q=")</f>
        <v>#REF!</v>
      </c>
      <c r="HV1" t="e">
        <f>AND(#REF!,"AAAAAFt6T+U=")</f>
        <v>#REF!</v>
      </c>
      <c r="HW1" t="e">
        <f>AND(#REF!,"AAAAAFt6T+Y=")</f>
        <v>#REF!</v>
      </c>
      <c r="HX1" t="e">
        <f>AND(#REF!,"AAAAAFt6T+c=")</f>
        <v>#REF!</v>
      </c>
      <c r="HY1" t="e">
        <f>AND(#REF!,"AAAAAFt6T+g=")</f>
        <v>#REF!</v>
      </c>
      <c r="HZ1" t="e">
        <f>AND(#REF!,"AAAAAFt6T+k=")</f>
        <v>#REF!</v>
      </c>
      <c r="IA1" t="e">
        <f>AND(#REF!,"AAAAAFt6T+o=")</f>
        <v>#REF!</v>
      </c>
      <c r="IB1" t="e">
        <f>AND(#REF!,"AAAAAFt6T+s=")</f>
        <v>#REF!</v>
      </c>
      <c r="IC1" t="e">
        <f>AND(#REF!,"AAAAAFt6T+w=")</f>
        <v>#REF!</v>
      </c>
      <c r="ID1" t="e">
        <f>AND(#REF!,"AAAAAFt6T+0=")</f>
        <v>#REF!</v>
      </c>
      <c r="IE1" t="e">
        <f>AND(#REF!,"AAAAAFt6T+4=")</f>
        <v>#REF!</v>
      </c>
      <c r="IF1" t="e">
        <f>IF(#REF!,"AAAAAFt6T+8=",0)</f>
        <v>#REF!</v>
      </c>
      <c r="IG1" t="e">
        <f>AND(#REF!,"AAAAAFt6T/A=")</f>
        <v>#REF!</v>
      </c>
      <c r="IH1" t="e">
        <f>AND(#REF!,"AAAAAFt6T/E=")</f>
        <v>#REF!</v>
      </c>
      <c r="II1" t="e">
        <f>AND(#REF!,"AAAAAFt6T/I=")</f>
        <v>#REF!</v>
      </c>
      <c r="IJ1" t="e">
        <f>AND(#REF!,"AAAAAFt6T/M=")</f>
        <v>#REF!</v>
      </c>
      <c r="IK1" t="e">
        <f>AND(#REF!,"AAAAAFt6T/Q=")</f>
        <v>#REF!</v>
      </c>
      <c r="IL1" t="e">
        <f>AND(#REF!,"AAAAAFt6T/U=")</f>
        <v>#REF!</v>
      </c>
      <c r="IM1" t="e">
        <f>AND(#REF!,"AAAAAFt6T/Y=")</f>
        <v>#REF!</v>
      </c>
      <c r="IN1" t="e">
        <f>AND(#REF!,"AAAAAFt6T/c=")</f>
        <v>#REF!</v>
      </c>
      <c r="IO1" t="e">
        <f>AND(#REF!,"AAAAAFt6T/g=")</f>
        <v>#REF!</v>
      </c>
      <c r="IP1" t="e">
        <f>AND(#REF!,"AAAAAFt6T/k=")</f>
        <v>#REF!</v>
      </c>
      <c r="IQ1" t="e">
        <f>AND(#REF!,"AAAAAFt6T/o=")</f>
        <v>#REF!</v>
      </c>
      <c r="IR1" t="e">
        <f>AND(#REF!,"AAAAAFt6T/s=")</f>
        <v>#REF!</v>
      </c>
      <c r="IS1" t="e">
        <f>AND(#REF!,"AAAAAFt6T/w=")</f>
        <v>#REF!</v>
      </c>
      <c r="IT1" t="e">
        <f>AND(#REF!,"AAAAAFt6T/0=")</f>
        <v>#REF!</v>
      </c>
      <c r="IU1" t="e">
        <f>AND(#REF!,"AAAAAFt6T/4=")</f>
        <v>#REF!</v>
      </c>
      <c r="IV1" t="e">
        <f>AND(#REF!,"AAAAAFt6T/8=")</f>
        <v>#REF!</v>
      </c>
    </row>
    <row r="2" spans="1:256">
      <c r="A2" t="e">
        <f>AND(#REF!,"AAAAAF4f6QA=")</f>
        <v>#REF!</v>
      </c>
      <c r="B2" t="e">
        <f>AND(#REF!,"AAAAAF4f6QE=")</f>
        <v>#REF!</v>
      </c>
      <c r="C2" t="e">
        <f>IF(#REF!,"AAAAAF4f6QI=",0)</f>
        <v>#REF!</v>
      </c>
      <c r="D2" t="e">
        <f>AND(#REF!,"AAAAAF4f6QM=")</f>
        <v>#REF!</v>
      </c>
      <c r="E2" t="e">
        <f>AND(#REF!,"AAAAAF4f6QQ=")</f>
        <v>#REF!</v>
      </c>
      <c r="F2" t="e">
        <f>AND(#REF!,"AAAAAF4f6QU=")</f>
        <v>#REF!</v>
      </c>
      <c r="G2" t="e">
        <f>AND(#REF!,"AAAAAF4f6QY=")</f>
        <v>#REF!</v>
      </c>
      <c r="H2" t="e">
        <f>AND(#REF!,"AAAAAF4f6Qc=")</f>
        <v>#REF!</v>
      </c>
      <c r="I2" t="e">
        <f>AND(#REF!,"AAAAAF4f6Qg=")</f>
        <v>#REF!</v>
      </c>
      <c r="J2" t="e">
        <f>AND(#REF!,"AAAAAF4f6Qk=")</f>
        <v>#REF!</v>
      </c>
      <c r="K2" t="e">
        <f>AND(#REF!,"AAAAAF4f6Qo=")</f>
        <v>#REF!</v>
      </c>
      <c r="L2" t="e">
        <f>AND(#REF!,"AAAAAF4f6Qs=")</f>
        <v>#REF!</v>
      </c>
      <c r="M2" t="e">
        <f>AND(#REF!,"AAAAAF4f6Qw=")</f>
        <v>#REF!</v>
      </c>
      <c r="N2" t="e">
        <f>AND(#REF!,"AAAAAF4f6Q0=")</f>
        <v>#REF!</v>
      </c>
      <c r="O2" t="e">
        <f>AND(#REF!,"AAAAAF4f6Q4=")</f>
        <v>#REF!</v>
      </c>
      <c r="P2" t="e">
        <f>AND(#REF!,"AAAAAF4f6Q8=")</f>
        <v>#REF!</v>
      </c>
      <c r="Q2" t="e">
        <f>AND(#REF!,"AAAAAF4f6RA=")</f>
        <v>#REF!</v>
      </c>
      <c r="R2" t="e">
        <f>AND(#REF!,"AAAAAF4f6RE=")</f>
        <v>#REF!</v>
      </c>
      <c r="S2" t="e">
        <f>AND(#REF!,"AAAAAF4f6RI=")</f>
        <v>#REF!</v>
      </c>
      <c r="T2" t="e">
        <f>AND(#REF!,"AAAAAF4f6RM=")</f>
        <v>#REF!</v>
      </c>
      <c r="U2" t="e">
        <f>AND(#REF!,"AAAAAF4f6RQ=")</f>
        <v>#REF!</v>
      </c>
      <c r="V2" t="e">
        <f>IF(#REF!,"AAAAAF4f6RU=",0)</f>
        <v>#REF!</v>
      </c>
      <c r="W2" t="e">
        <f>AND(#REF!,"AAAAAF4f6RY=")</f>
        <v>#REF!</v>
      </c>
      <c r="X2" t="e">
        <f>AND(#REF!,"AAAAAF4f6Rc=")</f>
        <v>#REF!</v>
      </c>
      <c r="Y2" t="e">
        <f>AND(#REF!,"AAAAAF4f6Rg=")</f>
        <v>#REF!</v>
      </c>
      <c r="Z2" t="e">
        <f>AND(#REF!,"AAAAAF4f6Rk=")</f>
        <v>#REF!</v>
      </c>
      <c r="AA2" t="e">
        <f>AND(#REF!,"AAAAAF4f6Ro=")</f>
        <v>#REF!</v>
      </c>
      <c r="AB2" t="e">
        <f>AND(#REF!,"AAAAAF4f6Rs=")</f>
        <v>#REF!</v>
      </c>
      <c r="AC2" t="e">
        <f>AND(#REF!,"AAAAAF4f6Rw=")</f>
        <v>#REF!</v>
      </c>
      <c r="AD2" t="e">
        <f>AND(#REF!,"AAAAAF4f6R0=")</f>
        <v>#REF!</v>
      </c>
      <c r="AE2" t="e">
        <f>AND(#REF!,"AAAAAF4f6R4=")</f>
        <v>#REF!</v>
      </c>
      <c r="AF2" t="e">
        <f>AND(#REF!,"AAAAAF4f6R8=")</f>
        <v>#REF!</v>
      </c>
      <c r="AG2" t="e">
        <f>AND(#REF!,"AAAAAF4f6SA=")</f>
        <v>#REF!</v>
      </c>
      <c r="AH2" t="e">
        <f>AND(#REF!,"AAAAAF4f6SE=")</f>
        <v>#REF!</v>
      </c>
      <c r="AI2" t="e">
        <f>AND(#REF!,"AAAAAF4f6SI=")</f>
        <v>#REF!</v>
      </c>
      <c r="AJ2" t="e">
        <f>AND(#REF!,"AAAAAF4f6SM=")</f>
        <v>#REF!</v>
      </c>
      <c r="AK2" t="e">
        <f>AND(#REF!,"AAAAAF4f6SQ=")</f>
        <v>#REF!</v>
      </c>
      <c r="AL2" t="e">
        <f>AND(#REF!,"AAAAAF4f6SU=")</f>
        <v>#REF!</v>
      </c>
      <c r="AM2" t="e">
        <f>AND(#REF!,"AAAAAF4f6SY=")</f>
        <v>#REF!</v>
      </c>
      <c r="AN2" t="e">
        <f>AND(#REF!,"AAAAAF4f6Sc=")</f>
        <v>#REF!</v>
      </c>
      <c r="AO2" t="e">
        <f>IF(#REF!,"AAAAAF4f6Sg=",0)</f>
        <v>#REF!</v>
      </c>
      <c r="AP2" t="e">
        <f>AND(#REF!,"AAAAAF4f6Sk=")</f>
        <v>#REF!</v>
      </c>
      <c r="AQ2" t="e">
        <f>AND(#REF!,"AAAAAF4f6So=")</f>
        <v>#REF!</v>
      </c>
      <c r="AR2" t="e">
        <f>AND(#REF!,"AAAAAF4f6Ss=")</f>
        <v>#REF!</v>
      </c>
      <c r="AS2" t="e">
        <f>AND(#REF!,"AAAAAF4f6Sw=")</f>
        <v>#REF!</v>
      </c>
      <c r="AT2" t="e">
        <f>AND(#REF!,"AAAAAF4f6S0=")</f>
        <v>#REF!</v>
      </c>
      <c r="AU2" t="e">
        <f>AND(#REF!,"AAAAAF4f6S4=")</f>
        <v>#REF!</v>
      </c>
      <c r="AV2" t="e">
        <f>AND(#REF!,"AAAAAF4f6S8=")</f>
        <v>#REF!</v>
      </c>
      <c r="AW2" t="e">
        <f>AND(#REF!,"AAAAAF4f6TA=")</f>
        <v>#REF!</v>
      </c>
      <c r="AX2" t="e">
        <f>AND(#REF!,"AAAAAF4f6TE=")</f>
        <v>#REF!</v>
      </c>
      <c r="AY2" t="e">
        <f>AND(#REF!,"AAAAAF4f6TI=")</f>
        <v>#REF!</v>
      </c>
      <c r="AZ2" t="e">
        <f>AND(#REF!,"AAAAAF4f6TM=")</f>
        <v>#REF!</v>
      </c>
      <c r="BA2" t="e">
        <f>AND(#REF!,"AAAAAF4f6TQ=")</f>
        <v>#REF!</v>
      </c>
      <c r="BB2" t="e">
        <f>AND(#REF!,"AAAAAF4f6TU=")</f>
        <v>#REF!</v>
      </c>
      <c r="BC2" t="e">
        <f>AND(#REF!,"AAAAAF4f6TY=")</f>
        <v>#REF!</v>
      </c>
      <c r="BD2" t="e">
        <f>AND(#REF!,"AAAAAF4f6Tc=")</f>
        <v>#REF!</v>
      </c>
      <c r="BE2" t="e">
        <f>AND(#REF!,"AAAAAF4f6Tg=")</f>
        <v>#REF!</v>
      </c>
      <c r="BF2" t="e">
        <f>AND(#REF!,"AAAAAF4f6Tk=")</f>
        <v>#REF!</v>
      </c>
      <c r="BG2" t="e">
        <f>AND(#REF!,"AAAAAF4f6To=")</f>
        <v>#REF!</v>
      </c>
      <c r="BH2" t="e">
        <f>IF(#REF!,"AAAAAF4f6Ts=",0)</f>
        <v>#REF!</v>
      </c>
      <c r="BI2" t="e">
        <f>AND(#REF!,"AAAAAF4f6Tw=")</f>
        <v>#REF!</v>
      </c>
      <c r="BJ2" t="e">
        <f>AND(#REF!,"AAAAAF4f6T0=")</f>
        <v>#REF!</v>
      </c>
      <c r="BK2" t="e">
        <f>AND(#REF!,"AAAAAF4f6T4=")</f>
        <v>#REF!</v>
      </c>
      <c r="BL2" t="e">
        <f>AND(#REF!,"AAAAAF4f6T8=")</f>
        <v>#REF!</v>
      </c>
      <c r="BM2" t="e">
        <f>AND(#REF!,"AAAAAF4f6UA=")</f>
        <v>#REF!</v>
      </c>
      <c r="BN2" t="e">
        <f>AND(#REF!,"AAAAAF4f6UE=")</f>
        <v>#REF!</v>
      </c>
      <c r="BO2" t="e">
        <f>AND(#REF!,"AAAAAF4f6UI=")</f>
        <v>#REF!</v>
      </c>
      <c r="BP2" t="e">
        <f>AND(#REF!,"AAAAAF4f6UM=")</f>
        <v>#REF!</v>
      </c>
      <c r="BQ2" t="e">
        <f>AND(#REF!,"AAAAAF4f6UQ=")</f>
        <v>#REF!</v>
      </c>
      <c r="BR2" t="e">
        <f>AND(#REF!,"AAAAAF4f6UU=")</f>
        <v>#REF!</v>
      </c>
      <c r="BS2" t="e">
        <f>AND(#REF!,"AAAAAF4f6UY=")</f>
        <v>#REF!</v>
      </c>
      <c r="BT2" t="e">
        <f>AND(#REF!,"AAAAAF4f6Uc=")</f>
        <v>#REF!</v>
      </c>
      <c r="BU2" t="e">
        <f>AND(#REF!,"AAAAAF4f6Ug=")</f>
        <v>#REF!</v>
      </c>
      <c r="BV2" t="e">
        <f>AND(#REF!,"AAAAAF4f6Uk=")</f>
        <v>#REF!</v>
      </c>
      <c r="BW2" t="e">
        <f>AND(#REF!,"AAAAAF4f6Uo=")</f>
        <v>#REF!</v>
      </c>
      <c r="BX2" t="e">
        <f>AND(#REF!,"AAAAAF4f6Us=")</f>
        <v>#REF!</v>
      </c>
      <c r="BY2" t="e">
        <f>AND(#REF!,"AAAAAF4f6Uw=")</f>
        <v>#REF!</v>
      </c>
      <c r="BZ2" t="e">
        <f>AND(#REF!,"AAAAAF4f6U0=")</f>
        <v>#REF!</v>
      </c>
      <c r="CA2" t="e">
        <f>IF(#REF!,"AAAAAF4f6U4=",0)</f>
        <v>#REF!</v>
      </c>
      <c r="CB2" t="e">
        <f>AND(#REF!,"AAAAAF4f6U8=")</f>
        <v>#REF!</v>
      </c>
      <c r="CC2" t="e">
        <f>AND(#REF!,"AAAAAF4f6VA=")</f>
        <v>#REF!</v>
      </c>
      <c r="CD2" t="e">
        <f>AND(#REF!,"AAAAAF4f6VE=")</f>
        <v>#REF!</v>
      </c>
      <c r="CE2" t="e">
        <f>AND(#REF!,"AAAAAF4f6VI=")</f>
        <v>#REF!</v>
      </c>
      <c r="CF2" t="e">
        <f>AND(#REF!,"AAAAAF4f6VM=")</f>
        <v>#REF!</v>
      </c>
      <c r="CG2" t="e">
        <f>AND(#REF!,"AAAAAF4f6VQ=")</f>
        <v>#REF!</v>
      </c>
      <c r="CH2" t="e">
        <f>AND(#REF!,"AAAAAF4f6VU=")</f>
        <v>#REF!</v>
      </c>
      <c r="CI2" t="e">
        <f>AND(#REF!,"AAAAAF4f6VY=")</f>
        <v>#REF!</v>
      </c>
      <c r="CJ2" t="e">
        <f>AND(#REF!,"AAAAAF4f6Vc=")</f>
        <v>#REF!</v>
      </c>
      <c r="CK2" t="e">
        <f>AND(#REF!,"AAAAAF4f6Vg=")</f>
        <v>#REF!</v>
      </c>
      <c r="CL2" t="e">
        <f>AND(#REF!,"AAAAAF4f6Vk=")</f>
        <v>#REF!</v>
      </c>
      <c r="CM2" t="e">
        <f>AND(#REF!,"AAAAAF4f6Vo=")</f>
        <v>#REF!</v>
      </c>
      <c r="CN2" t="e">
        <f>AND(#REF!,"AAAAAF4f6Vs=")</f>
        <v>#REF!</v>
      </c>
      <c r="CO2" t="e">
        <f>AND(#REF!,"AAAAAF4f6Vw=")</f>
        <v>#REF!</v>
      </c>
      <c r="CP2" t="e">
        <f>AND(#REF!,"AAAAAF4f6V0=")</f>
        <v>#REF!</v>
      </c>
      <c r="CQ2" t="e">
        <f>AND(#REF!,"AAAAAF4f6V4=")</f>
        <v>#REF!</v>
      </c>
      <c r="CR2" t="e">
        <f>AND(#REF!,"AAAAAF4f6V8=")</f>
        <v>#REF!</v>
      </c>
      <c r="CS2" t="e">
        <f>AND(#REF!,"AAAAAF4f6WA=")</f>
        <v>#REF!</v>
      </c>
      <c r="CT2" t="e">
        <f>IF(#REF!,"AAAAAF4f6WE=",0)</f>
        <v>#REF!</v>
      </c>
      <c r="CU2" t="e">
        <f>AND(#REF!,"AAAAAF4f6WI=")</f>
        <v>#REF!</v>
      </c>
      <c r="CV2" t="e">
        <f>AND(#REF!,"AAAAAF4f6WM=")</f>
        <v>#REF!</v>
      </c>
      <c r="CW2" t="e">
        <f>AND(#REF!,"AAAAAF4f6WQ=")</f>
        <v>#REF!</v>
      </c>
      <c r="CX2" t="e">
        <f>AND(#REF!,"AAAAAF4f6WU=")</f>
        <v>#REF!</v>
      </c>
      <c r="CY2" t="e">
        <f>AND(#REF!,"AAAAAF4f6WY=")</f>
        <v>#REF!</v>
      </c>
      <c r="CZ2" t="e">
        <f>AND(#REF!,"AAAAAF4f6Wc=")</f>
        <v>#REF!</v>
      </c>
      <c r="DA2" t="e">
        <f>AND(#REF!,"AAAAAF4f6Wg=")</f>
        <v>#REF!</v>
      </c>
      <c r="DB2" t="e">
        <f>AND(#REF!,"AAAAAF4f6Wk=")</f>
        <v>#REF!</v>
      </c>
      <c r="DC2" t="e">
        <f>AND(#REF!,"AAAAAF4f6Wo=")</f>
        <v>#REF!</v>
      </c>
      <c r="DD2" t="e">
        <f>AND(#REF!,"AAAAAF4f6Ws=")</f>
        <v>#REF!</v>
      </c>
      <c r="DE2" t="e">
        <f>AND(#REF!,"AAAAAF4f6Ww=")</f>
        <v>#REF!</v>
      </c>
      <c r="DF2" t="e">
        <f>AND(#REF!,"AAAAAF4f6W0=")</f>
        <v>#REF!</v>
      </c>
      <c r="DG2" t="e">
        <f>AND(#REF!,"AAAAAF4f6W4=")</f>
        <v>#REF!</v>
      </c>
      <c r="DH2" t="e">
        <f>AND(#REF!,"AAAAAF4f6W8=")</f>
        <v>#REF!</v>
      </c>
      <c r="DI2" t="e">
        <f>AND(#REF!,"AAAAAF4f6XA=")</f>
        <v>#REF!</v>
      </c>
      <c r="DJ2" t="e">
        <f>AND(#REF!,"AAAAAF4f6XE=")</f>
        <v>#REF!</v>
      </c>
      <c r="DK2" t="e">
        <f>AND(#REF!,"AAAAAF4f6XI=")</f>
        <v>#REF!</v>
      </c>
      <c r="DL2" t="e">
        <f>AND(#REF!,"AAAAAF4f6XM=")</f>
        <v>#REF!</v>
      </c>
      <c r="DM2" t="e">
        <f>IF(#REF!,"AAAAAF4f6XQ=",0)</f>
        <v>#REF!</v>
      </c>
      <c r="DN2" t="e">
        <f>AND(#REF!,"AAAAAF4f6XU=")</f>
        <v>#REF!</v>
      </c>
      <c r="DO2" t="e">
        <f>AND(#REF!,"AAAAAF4f6XY=")</f>
        <v>#REF!</v>
      </c>
      <c r="DP2" t="e">
        <f>AND(#REF!,"AAAAAF4f6Xc=")</f>
        <v>#REF!</v>
      </c>
      <c r="DQ2" t="e">
        <f>AND(#REF!,"AAAAAF4f6Xg=")</f>
        <v>#REF!</v>
      </c>
      <c r="DR2" t="e">
        <f>AND(#REF!,"AAAAAF4f6Xk=")</f>
        <v>#REF!</v>
      </c>
      <c r="DS2" t="e">
        <f>AND(#REF!,"AAAAAF4f6Xo=")</f>
        <v>#REF!</v>
      </c>
      <c r="DT2" t="e">
        <f>AND(#REF!,"AAAAAF4f6Xs=")</f>
        <v>#REF!</v>
      </c>
      <c r="DU2" t="e">
        <f>AND(#REF!,"AAAAAF4f6Xw=")</f>
        <v>#REF!</v>
      </c>
      <c r="DV2" t="e">
        <f>AND(#REF!,"AAAAAF4f6X0=")</f>
        <v>#REF!</v>
      </c>
      <c r="DW2" t="e">
        <f>AND(#REF!,"AAAAAF4f6X4=")</f>
        <v>#REF!</v>
      </c>
      <c r="DX2" t="e">
        <f>AND(#REF!,"AAAAAF4f6X8=")</f>
        <v>#REF!</v>
      </c>
      <c r="DY2" t="e">
        <f>AND(#REF!,"AAAAAF4f6YA=")</f>
        <v>#REF!</v>
      </c>
      <c r="DZ2" t="e">
        <f>AND(#REF!,"AAAAAF4f6YE=")</f>
        <v>#REF!</v>
      </c>
      <c r="EA2" t="e">
        <f>AND(#REF!,"AAAAAF4f6YI=")</f>
        <v>#REF!</v>
      </c>
      <c r="EB2" t="e">
        <f>AND(#REF!,"AAAAAF4f6YM=")</f>
        <v>#REF!</v>
      </c>
      <c r="EC2" t="e">
        <f>AND(#REF!,"AAAAAF4f6YQ=")</f>
        <v>#REF!</v>
      </c>
      <c r="ED2" t="e">
        <f>AND(#REF!,"AAAAAF4f6YU=")</f>
        <v>#REF!</v>
      </c>
      <c r="EE2" t="e">
        <f>AND(#REF!,"AAAAAF4f6YY=")</f>
        <v>#REF!</v>
      </c>
      <c r="EF2" t="e">
        <f>IF(#REF!,"AAAAAF4f6Yc=",0)</f>
        <v>#REF!</v>
      </c>
      <c r="EG2" t="e">
        <f>AND(#REF!,"AAAAAF4f6Yg=")</f>
        <v>#REF!</v>
      </c>
      <c r="EH2" t="e">
        <f>AND(#REF!,"AAAAAF4f6Yk=")</f>
        <v>#REF!</v>
      </c>
      <c r="EI2" t="e">
        <f>AND(#REF!,"AAAAAF4f6Yo=")</f>
        <v>#REF!</v>
      </c>
      <c r="EJ2" t="e">
        <f>AND(#REF!,"AAAAAF4f6Ys=")</f>
        <v>#REF!</v>
      </c>
      <c r="EK2" t="e">
        <f>AND(#REF!,"AAAAAF4f6Yw=")</f>
        <v>#REF!</v>
      </c>
      <c r="EL2" t="e">
        <f>AND(#REF!,"AAAAAF4f6Y0=")</f>
        <v>#REF!</v>
      </c>
      <c r="EM2" t="e">
        <f>AND(#REF!,"AAAAAF4f6Y4=")</f>
        <v>#REF!</v>
      </c>
      <c r="EN2" t="e">
        <f>AND(#REF!,"AAAAAF4f6Y8=")</f>
        <v>#REF!</v>
      </c>
      <c r="EO2" t="e">
        <f>AND(#REF!,"AAAAAF4f6ZA=")</f>
        <v>#REF!</v>
      </c>
      <c r="EP2" t="e">
        <f>AND(#REF!,"AAAAAF4f6ZE=")</f>
        <v>#REF!</v>
      </c>
      <c r="EQ2" t="e">
        <f>AND(#REF!,"AAAAAF4f6ZI=")</f>
        <v>#REF!</v>
      </c>
      <c r="ER2" t="e">
        <f>AND(#REF!,"AAAAAF4f6ZM=")</f>
        <v>#REF!</v>
      </c>
      <c r="ES2" t="e">
        <f>AND(#REF!,"AAAAAF4f6ZQ=")</f>
        <v>#REF!</v>
      </c>
      <c r="ET2" t="e">
        <f>AND(#REF!,"AAAAAF4f6ZU=")</f>
        <v>#REF!</v>
      </c>
      <c r="EU2" t="e">
        <f>AND(#REF!,"AAAAAF4f6ZY=")</f>
        <v>#REF!</v>
      </c>
      <c r="EV2" t="e">
        <f>AND(#REF!,"AAAAAF4f6Zc=")</f>
        <v>#REF!</v>
      </c>
      <c r="EW2" t="e">
        <f>AND(#REF!,"AAAAAF4f6Zg=")</f>
        <v>#REF!</v>
      </c>
      <c r="EX2" t="e">
        <f>AND(#REF!,"AAAAAF4f6Zk=")</f>
        <v>#REF!</v>
      </c>
      <c r="EY2" t="e">
        <f>IF(#REF!,"AAAAAF4f6Zo=",0)</f>
        <v>#REF!</v>
      </c>
      <c r="EZ2" t="e">
        <f>AND(#REF!,"AAAAAF4f6Zs=")</f>
        <v>#REF!</v>
      </c>
      <c r="FA2" t="e">
        <f>AND(#REF!,"AAAAAF4f6Zw=")</f>
        <v>#REF!</v>
      </c>
      <c r="FB2" t="e">
        <f>AND(#REF!,"AAAAAF4f6Z0=")</f>
        <v>#REF!</v>
      </c>
      <c r="FC2" t="e">
        <f>AND(#REF!,"AAAAAF4f6Z4=")</f>
        <v>#REF!</v>
      </c>
      <c r="FD2" t="e">
        <f>AND(#REF!,"AAAAAF4f6Z8=")</f>
        <v>#REF!</v>
      </c>
      <c r="FE2" t="e">
        <f>AND(#REF!,"AAAAAF4f6aA=")</f>
        <v>#REF!</v>
      </c>
      <c r="FF2" t="e">
        <f>AND(#REF!,"AAAAAF4f6aE=")</f>
        <v>#REF!</v>
      </c>
      <c r="FG2" t="e">
        <f>AND(#REF!,"AAAAAF4f6aI=")</f>
        <v>#REF!</v>
      </c>
      <c r="FH2" t="e">
        <f>AND(#REF!,"AAAAAF4f6aM=")</f>
        <v>#REF!</v>
      </c>
      <c r="FI2" t="e">
        <f>AND(#REF!,"AAAAAF4f6aQ=")</f>
        <v>#REF!</v>
      </c>
      <c r="FJ2" t="e">
        <f>AND(#REF!,"AAAAAF4f6aU=")</f>
        <v>#REF!</v>
      </c>
      <c r="FK2" t="e">
        <f>AND(#REF!,"AAAAAF4f6aY=")</f>
        <v>#REF!</v>
      </c>
      <c r="FL2" t="e">
        <f>AND(#REF!,"AAAAAF4f6ac=")</f>
        <v>#REF!</v>
      </c>
      <c r="FM2" t="e">
        <f>AND(#REF!,"AAAAAF4f6ag=")</f>
        <v>#REF!</v>
      </c>
      <c r="FN2" t="e">
        <f>AND(#REF!,"AAAAAF4f6ak=")</f>
        <v>#REF!</v>
      </c>
      <c r="FO2" t="e">
        <f>AND(#REF!,"AAAAAF4f6ao=")</f>
        <v>#REF!</v>
      </c>
      <c r="FP2" t="e">
        <f>AND(#REF!,"AAAAAF4f6as=")</f>
        <v>#REF!</v>
      </c>
      <c r="FQ2" t="e">
        <f>AND(#REF!,"AAAAAF4f6aw=")</f>
        <v>#REF!</v>
      </c>
      <c r="FR2" t="e">
        <f>IF(#REF!,"AAAAAF4f6a0=",0)</f>
        <v>#REF!</v>
      </c>
      <c r="FS2" t="e">
        <f>AND(#REF!,"AAAAAF4f6a4=")</f>
        <v>#REF!</v>
      </c>
      <c r="FT2" t="e">
        <f>AND(#REF!,"AAAAAF4f6a8=")</f>
        <v>#REF!</v>
      </c>
      <c r="FU2" t="e">
        <f>AND(#REF!,"AAAAAF4f6bA=")</f>
        <v>#REF!</v>
      </c>
      <c r="FV2" t="e">
        <f>AND(#REF!,"AAAAAF4f6bE=")</f>
        <v>#REF!</v>
      </c>
      <c r="FW2" t="e">
        <f>AND(#REF!,"AAAAAF4f6bI=")</f>
        <v>#REF!</v>
      </c>
      <c r="FX2" t="e">
        <f>AND(#REF!,"AAAAAF4f6bM=")</f>
        <v>#REF!</v>
      </c>
      <c r="FY2" t="e">
        <f>AND(#REF!,"AAAAAF4f6bQ=")</f>
        <v>#REF!</v>
      </c>
      <c r="FZ2" t="e">
        <f>AND(#REF!,"AAAAAF4f6bU=")</f>
        <v>#REF!</v>
      </c>
      <c r="GA2" t="e">
        <f>AND(#REF!,"AAAAAF4f6bY=")</f>
        <v>#REF!</v>
      </c>
      <c r="GB2" t="e">
        <f>AND(#REF!,"AAAAAF4f6bc=")</f>
        <v>#REF!</v>
      </c>
      <c r="GC2" t="e">
        <f>AND(#REF!,"AAAAAF4f6bg=")</f>
        <v>#REF!</v>
      </c>
      <c r="GD2" t="e">
        <f>AND(#REF!,"AAAAAF4f6bk=")</f>
        <v>#REF!</v>
      </c>
      <c r="GE2" t="e">
        <f>AND(#REF!,"AAAAAF4f6bo=")</f>
        <v>#REF!</v>
      </c>
      <c r="GF2" t="e">
        <f>AND(#REF!,"AAAAAF4f6bs=")</f>
        <v>#REF!</v>
      </c>
      <c r="GG2" t="e">
        <f>AND(#REF!,"AAAAAF4f6bw=")</f>
        <v>#REF!</v>
      </c>
      <c r="GH2" t="e">
        <f>AND(#REF!,"AAAAAF4f6b0=")</f>
        <v>#REF!</v>
      </c>
      <c r="GI2" t="e">
        <f>AND(#REF!,"AAAAAF4f6b4=")</f>
        <v>#REF!</v>
      </c>
      <c r="GJ2" t="e">
        <f>AND(#REF!,"AAAAAF4f6b8=")</f>
        <v>#REF!</v>
      </c>
      <c r="GK2" t="e">
        <f>IF(#REF!,"AAAAAF4f6cA=",0)</f>
        <v>#REF!</v>
      </c>
      <c r="GL2" t="e">
        <f>AND(#REF!,"AAAAAF4f6cE=")</f>
        <v>#REF!</v>
      </c>
      <c r="GM2" t="e">
        <f>AND(#REF!,"AAAAAF4f6cI=")</f>
        <v>#REF!</v>
      </c>
      <c r="GN2" t="e">
        <f>AND(#REF!,"AAAAAF4f6cM=")</f>
        <v>#REF!</v>
      </c>
      <c r="GO2" t="e">
        <f>AND(#REF!,"AAAAAF4f6cQ=")</f>
        <v>#REF!</v>
      </c>
      <c r="GP2" t="e">
        <f>AND(#REF!,"AAAAAF4f6cU=")</f>
        <v>#REF!</v>
      </c>
      <c r="GQ2" t="e">
        <f>AND(#REF!,"AAAAAF4f6cY=")</f>
        <v>#REF!</v>
      </c>
      <c r="GR2" t="e">
        <f>AND(#REF!,"AAAAAF4f6cc=")</f>
        <v>#REF!</v>
      </c>
      <c r="GS2" t="e">
        <f>AND(#REF!,"AAAAAF4f6cg=")</f>
        <v>#REF!</v>
      </c>
      <c r="GT2" t="e">
        <f>AND(#REF!,"AAAAAF4f6ck=")</f>
        <v>#REF!</v>
      </c>
      <c r="GU2" t="e">
        <f>AND(#REF!,"AAAAAF4f6co=")</f>
        <v>#REF!</v>
      </c>
      <c r="GV2" t="e">
        <f>AND(#REF!,"AAAAAF4f6cs=")</f>
        <v>#REF!</v>
      </c>
      <c r="GW2" t="e">
        <f>AND(#REF!,"AAAAAF4f6cw=")</f>
        <v>#REF!</v>
      </c>
      <c r="GX2" t="e">
        <f>AND(#REF!,"AAAAAF4f6c0=")</f>
        <v>#REF!</v>
      </c>
      <c r="GY2" t="e">
        <f>AND(#REF!,"AAAAAF4f6c4=")</f>
        <v>#REF!</v>
      </c>
      <c r="GZ2" t="e">
        <f>AND(#REF!,"AAAAAF4f6c8=")</f>
        <v>#REF!</v>
      </c>
      <c r="HA2" t="e">
        <f>AND(#REF!,"AAAAAF4f6dA=")</f>
        <v>#REF!</v>
      </c>
      <c r="HB2" t="e">
        <f>AND(#REF!,"AAAAAF4f6dE=")</f>
        <v>#REF!</v>
      </c>
      <c r="HC2" t="e">
        <f>AND(#REF!,"AAAAAF4f6dI=")</f>
        <v>#REF!</v>
      </c>
      <c r="HD2" t="e">
        <f>IF(#REF!,"AAAAAF4f6dM=",0)</f>
        <v>#REF!</v>
      </c>
      <c r="HE2" t="e">
        <f>AND(#REF!,"AAAAAF4f6dQ=")</f>
        <v>#REF!</v>
      </c>
      <c r="HF2" t="e">
        <f>AND(#REF!,"AAAAAF4f6dU=")</f>
        <v>#REF!</v>
      </c>
      <c r="HG2" t="e">
        <f>AND(#REF!,"AAAAAF4f6dY=")</f>
        <v>#REF!</v>
      </c>
      <c r="HH2" t="e">
        <f>AND(#REF!,"AAAAAF4f6dc=")</f>
        <v>#REF!</v>
      </c>
      <c r="HI2" t="e">
        <f>AND(#REF!,"AAAAAF4f6dg=")</f>
        <v>#REF!</v>
      </c>
      <c r="HJ2" t="e">
        <f>AND(#REF!,"AAAAAF4f6dk=")</f>
        <v>#REF!</v>
      </c>
      <c r="HK2" t="e">
        <f>AND(#REF!,"AAAAAF4f6do=")</f>
        <v>#REF!</v>
      </c>
      <c r="HL2" t="e">
        <f>AND(#REF!,"AAAAAF4f6ds=")</f>
        <v>#REF!</v>
      </c>
      <c r="HM2" t="e">
        <f>AND(#REF!,"AAAAAF4f6dw=")</f>
        <v>#REF!</v>
      </c>
      <c r="HN2" t="e">
        <f>AND(#REF!,"AAAAAF4f6d0=")</f>
        <v>#REF!</v>
      </c>
      <c r="HO2" t="e">
        <f>AND(#REF!,"AAAAAF4f6d4=")</f>
        <v>#REF!</v>
      </c>
      <c r="HP2" t="e">
        <f>AND(#REF!,"AAAAAF4f6d8=")</f>
        <v>#REF!</v>
      </c>
      <c r="HQ2" t="e">
        <f>AND(#REF!,"AAAAAF4f6eA=")</f>
        <v>#REF!</v>
      </c>
      <c r="HR2" t="e">
        <f>AND(#REF!,"AAAAAF4f6eE=")</f>
        <v>#REF!</v>
      </c>
      <c r="HS2" t="e">
        <f>AND(#REF!,"AAAAAF4f6eI=")</f>
        <v>#REF!</v>
      </c>
      <c r="HT2" t="e">
        <f>AND(#REF!,"AAAAAF4f6eM=")</f>
        <v>#REF!</v>
      </c>
      <c r="HU2" t="e">
        <f>AND(#REF!,"AAAAAF4f6eQ=")</f>
        <v>#REF!</v>
      </c>
      <c r="HV2" t="e">
        <f>AND(#REF!,"AAAAAF4f6eU=")</f>
        <v>#REF!</v>
      </c>
      <c r="HW2" t="e">
        <f>IF(#REF!,"AAAAAF4f6eY=",0)</f>
        <v>#REF!</v>
      </c>
      <c r="HX2" t="e">
        <f>AND(#REF!,"AAAAAF4f6ec=")</f>
        <v>#REF!</v>
      </c>
      <c r="HY2" t="e">
        <f>AND(#REF!,"AAAAAF4f6eg=")</f>
        <v>#REF!</v>
      </c>
      <c r="HZ2" t="e">
        <f>AND(#REF!,"AAAAAF4f6ek=")</f>
        <v>#REF!</v>
      </c>
      <c r="IA2" t="e">
        <f>AND(#REF!,"AAAAAF4f6eo=")</f>
        <v>#REF!</v>
      </c>
      <c r="IB2" t="e">
        <f>AND(#REF!,"AAAAAF4f6es=")</f>
        <v>#REF!</v>
      </c>
      <c r="IC2" t="e">
        <f>AND(#REF!,"AAAAAF4f6ew=")</f>
        <v>#REF!</v>
      </c>
      <c r="ID2" t="e">
        <f>AND(#REF!,"AAAAAF4f6e0=")</f>
        <v>#REF!</v>
      </c>
      <c r="IE2" t="e">
        <f>AND(#REF!,"AAAAAF4f6e4=")</f>
        <v>#REF!</v>
      </c>
      <c r="IF2" t="e">
        <f>AND(#REF!,"AAAAAF4f6e8=")</f>
        <v>#REF!</v>
      </c>
      <c r="IG2" t="e">
        <f>AND(#REF!,"AAAAAF4f6fA=")</f>
        <v>#REF!</v>
      </c>
      <c r="IH2" t="e">
        <f>AND(#REF!,"AAAAAF4f6fE=")</f>
        <v>#REF!</v>
      </c>
      <c r="II2" t="e">
        <f>AND(#REF!,"AAAAAF4f6fI=")</f>
        <v>#REF!</v>
      </c>
      <c r="IJ2" t="e">
        <f>AND(#REF!,"AAAAAF4f6fM=")</f>
        <v>#REF!</v>
      </c>
      <c r="IK2" t="e">
        <f>AND(#REF!,"AAAAAF4f6fQ=")</f>
        <v>#REF!</v>
      </c>
      <c r="IL2" t="e">
        <f>AND(#REF!,"AAAAAF4f6fU=")</f>
        <v>#REF!</v>
      </c>
      <c r="IM2" t="e">
        <f>AND(#REF!,"AAAAAF4f6fY=")</f>
        <v>#REF!</v>
      </c>
      <c r="IN2" t="e">
        <f>AND(#REF!,"AAAAAF4f6fc=")</f>
        <v>#REF!</v>
      </c>
      <c r="IO2" t="e">
        <f>AND(#REF!,"AAAAAF4f6fg=")</f>
        <v>#REF!</v>
      </c>
      <c r="IP2" t="e">
        <f>IF(#REF!,"AAAAAF4f6fk=",0)</f>
        <v>#REF!</v>
      </c>
      <c r="IQ2" t="e">
        <f>AND(#REF!,"AAAAAF4f6fo=")</f>
        <v>#REF!</v>
      </c>
      <c r="IR2" t="e">
        <f>AND(#REF!,"AAAAAF4f6fs=")</f>
        <v>#REF!</v>
      </c>
      <c r="IS2" t="e">
        <f>AND(#REF!,"AAAAAF4f6fw=")</f>
        <v>#REF!</v>
      </c>
      <c r="IT2" t="e">
        <f>AND(#REF!,"AAAAAF4f6f0=")</f>
        <v>#REF!</v>
      </c>
      <c r="IU2" t="e">
        <f>AND(#REF!,"AAAAAF4f6f4=")</f>
        <v>#REF!</v>
      </c>
      <c r="IV2" t="e">
        <f>AND(#REF!,"AAAAAF4f6f8=")</f>
        <v>#REF!</v>
      </c>
    </row>
    <row r="3" spans="1:256">
      <c r="A3" t="e">
        <f>AND(#REF!,"AAAAAH+/WgA=")</f>
        <v>#REF!</v>
      </c>
      <c r="B3" t="e">
        <f>AND(#REF!,"AAAAAH+/WgE=")</f>
        <v>#REF!</v>
      </c>
      <c r="C3" t="e">
        <f>AND(#REF!,"AAAAAH+/WgI=")</f>
        <v>#REF!</v>
      </c>
      <c r="D3" t="e">
        <f>AND(#REF!,"AAAAAH+/WgM=")</f>
        <v>#REF!</v>
      </c>
      <c r="E3" t="e">
        <f>AND(#REF!,"AAAAAH+/WgQ=")</f>
        <v>#REF!</v>
      </c>
      <c r="F3" t="e">
        <f>AND(#REF!,"AAAAAH+/WgU=")</f>
        <v>#REF!</v>
      </c>
      <c r="G3" t="e">
        <f>AND(#REF!,"AAAAAH+/WgY=")</f>
        <v>#REF!</v>
      </c>
      <c r="H3" t="e">
        <f>AND(#REF!,"AAAAAH+/Wgc=")</f>
        <v>#REF!</v>
      </c>
      <c r="I3" t="e">
        <f>AND(#REF!,"AAAAAH+/Wgg=")</f>
        <v>#REF!</v>
      </c>
      <c r="J3" t="e">
        <f>AND(#REF!,"AAAAAH+/Wgk=")</f>
        <v>#REF!</v>
      </c>
      <c r="K3" t="e">
        <f>AND(#REF!,"AAAAAH+/Wgo=")</f>
        <v>#REF!</v>
      </c>
      <c r="L3" t="e">
        <f>AND(#REF!,"AAAAAH+/Wgs=")</f>
        <v>#REF!</v>
      </c>
      <c r="M3" t="e">
        <f>IF(#REF!,"AAAAAH+/Wgw=",0)</f>
        <v>#REF!</v>
      </c>
      <c r="N3" t="e">
        <f>AND(#REF!,"AAAAAH+/Wg0=")</f>
        <v>#REF!</v>
      </c>
      <c r="O3" t="e">
        <f>AND(#REF!,"AAAAAH+/Wg4=")</f>
        <v>#REF!</v>
      </c>
      <c r="P3" t="e">
        <f>AND(#REF!,"AAAAAH+/Wg8=")</f>
        <v>#REF!</v>
      </c>
      <c r="Q3" t="e">
        <f>AND(#REF!,"AAAAAH+/WhA=")</f>
        <v>#REF!</v>
      </c>
      <c r="R3" t="e">
        <f>AND(#REF!,"AAAAAH+/WhE=")</f>
        <v>#REF!</v>
      </c>
      <c r="S3" t="e">
        <f>AND(#REF!,"AAAAAH+/WhI=")</f>
        <v>#REF!</v>
      </c>
      <c r="T3" t="e">
        <f>AND(#REF!,"AAAAAH+/WhM=")</f>
        <v>#REF!</v>
      </c>
      <c r="U3" t="e">
        <f>AND(#REF!,"AAAAAH+/WhQ=")</f>
        <v>#REF!</v>
      </c>
      <c r="V3" t="e">
        <f>AND(#REF!,"AAAAAH+/WhU=")</f>
        <v>#REF!</v>
      </c>
      <c r="W3" t="e">
        <f>AND(#REF!,"AAAAAH+/WhY=")</f>
        <v>#REF!</v>
      </c>
      <c r="X3" t="e">
        <f>AND(#REF!,"AAAAAH+/Whc=")</f>
        <v>#REF!</v>
      </c>
      <c r="Y3" t="e">
        <f>AND(#REF!,"AAAAAH+/Whg=")</f>
        <v>#REF!</v>
      </c>
      <c r="Z3" t="e">
        <f>AND(#REF!,"AAAAAH+/Whk=")</f>
        <v>#REF!</v>
      </c>
      <c r="AA3" t="e">
        <f>AND(#REF!,"AAAAAH+/Who=")</f>
        <v>#REF!</v>
      </c>
      <c r="AB3" t="e">
        <f>AND(#REF!,"AAAAAH+/Whs=")</f>
        <v>#REF!</v>
      </c>
      <c r="AC3" t="e">
        <f>AND(#REF!,"AAAAAH+/Whw=")</f>
        <v>#REF!</v>
      </c>
      <c r="AD3" t="e">
        <f>AND(#REF!,"AAAAAH+/Wh0=")</f>
        <v>#REF!</v>
      </c>
      <c r="AE3" t="e">
        <f>AND(#REF!,"AAAAAH+/Wh4=")</f>
        <v>#REF!</v>
      </c>
      <c r="AF3" t="e">
        <f>IF(#REF!,"AAAAAH+/Wh8=",0)</f>
        <v>#REF!</v>
      </c>
      <c r="AG3" t="e">
        <f>AND(#REF!,"AAAAAH+/WiA=")</f>
        <v>#REF!</v>
      </c>
      <c r="AH3" t="e">
        <f>AND(#REF!,"AAAAAH+/WiE=")</f>
        <v>#REF!</v>
      </c>
      <c r="AI3" t="e">
        <f>AND(#REF!,"AAAAAH+/WiI=")</f>
        <v>#REF!</v>
      </c>
      <c r="AJ3" t="e">
        <f>AND(#REF!,"AAAAAH+/WiM=")</f>
        <v>#REF!</v>
      </c>
      <c r="AK3" t="e">
        <f>AND(#REF!,"AAAAAH+/WiQ=")</f>
        <v>#REF!</v>
      </c>
      <c r="AL3" t="e">
        <f>AND(#REF!,"AAAAAH+/WiU=")</f>
        <v>#REF!</v>
      </c>
      <c r="AM3" t="e">
        <f>AND(#REF!,"AAAAAH+/WiY=")</f>
        <v>#REF!</v>
      </c>
      <c r="AN3" t="e">
        <f>AND(#REF!,"AAAAAH+/Wic=")</f>
        <v>#REF!</v>
      </c>
      <c r="AO3" t="e">
        <f>AND(#REF!,"AAAAAH+/Wig=")</f>
        <v>#REF!</v>
      </c>
      <c r="AP3" t="e">
        <f>AND(#REF!,"AAAAAH+/Wik=")</f>
        <v>#REF!</v>
      </c>
      <c r="AQ3" t="e">
        <f>AND(#REF!,"AAAAAH+/Wio=")</f>
        <v>#REF!</v>
      </c>
      <c r="AR3" t="e">
        <f>AND(#REF!,"AAAAAH+/Wis=")</f>
        <v>#REF!</v>
      </c>
      <c r="AS3" t="e">
        <f>AND(#REF!,"AAAAAH+/Wiw=")</f>
        <v>#REF!</v>
      </c>
      <c r="AT3" t="e">
        <f>AND(#REF!,"AAAAAH+/Wi0=")</f>
        <v>#REF!</v>
      </c>
      <c r="AU3" t="e">
        <f>AND(#REF!,"AAAAAH+/Wi4=")</f>
        <v>#REF!</v>
      </c>
      <c r="AV3" t="e">
        <f>AND(#REF!,"AAAAAH+/Wi8=")</f>
        <v>#REF!</v>
      </c>
      <c r="AW3" t="e">
        <f>AND(#REF!,"AAAAAH+/WjA=")</f>
        <v>#REF!</v>
      </c>
      <c r="AX3" t="e">
        <f>AND(#REF!,"AAAAAH+/WjE=")</f>
        <v>#REF!</v>
      </c>
      <c r="AY3" t="e">
        <f>IF(#REF!,"AAAAAH+/WjI=",0)</f>
        <v>#REF!</v>
      </c>
      <c r="AZ3" t="e">
        <f>AND(#REF!,"AAAAAH+/WjM=")</f>
        <v>#REF!</v>
      </c>
      <c r="BA3" t="e">
        <f>AND(#REF!,"AAAAAH+/WjQ=")</f>
        <v>#REF!</v>
      </c>
      <c r="BB3" t="e">
        <f>AND(#REF!,"AAAAAH+/WjU=")</f>
        <v>#REF!</v>
      </c>
      <c r="BC3" t="e">
        <f>AND(#REF!,"AAAAAH+/WjY=")</f>
        <v>#REF!</v>
      </c>
      <c r="BD3" t="e">
        <f>AND(#REF!,"AAAAAH+/Wjc=")</f>
        <v>#REF!</v>
      </c>
      <c r="BE3" t="e">
        <f>AND(#REF!,"AAAAAH+/Wjg=")</f>
        <v>#REF!</v>
      </c>
      <c r="BF3" t="e">
        <f>AND(#REF!,"AAAAAH+/Wjk=")</f>
        <v>#REF!</v>
      </c>
      <c r="BG3" t="e">
        <f>AND(#REF!,"AAAAAH+/Wjo=")</f>
        <v>#REF!</v>
      </c>
      <c r="BH3" t="e">
        <f>AND(#REF!,"AAAAAH+/Wjs=")</f>
        <v>#REF!</v>
      </c>
      <c r="BI3" t="e">
        <f>AND(#REF!,"AAAAAH+/Wjw=")</f>
        <v>#REF!</v>
      </c>
      <c r="BJ3" t="e">
        <f>AND(#REF!,"AAAAAH+/Wj0=")</f>
        <v>#REF!</v>
      </c>
      <c r="BK3" t="e">
        <f>AND(#REF!,"AAAAAH+/Wj4=")</f>
        <v>#REF!</v>
      </c>
      <c r="BL3" t="e">
        <f>AND(#REF!,"AAAAAH+/Wj8=")</f>
        <v>#REF!</v>
      </c>
      <c r="BM3" t="e">
        <f>AND(#REF!,"AAAAAH+/WkA=")</f>
        <v>#REF!</v>
      </c>
      <c r="BN3" t="e">
        <f>AND(#REF!,"AAAAAH+/WkE=")</f>
        <v>#REF!</v>
      </c>
      <c r="BO3" t="e">
        <f>AND(#REF!,"AAAAAH+/WkI=")</f>
        <v>#REF!</v>
      </c>
      <c r="BP3" t="e">
        <f>AND(#REF!,"AAAAAH+/WkM=")</f>
        <v>#REF!</v>
      </c>
      <c r="BQ3" t="e">
        <f>AND(#REF!,"AAAAAH+/WkQ=")</f>
        <v>#REF!</v>
      </c>
      <c r="BR3" t="e">
        <f>IF(#REF!,"AAAAAH+/WkU=",0)</f>
        <v>#REF!</v>
      </c>
      <c r="BS3" t="e">
        <f>AND(#REF!,"AAAAAH+/WkY=")</f>
        <v>#REF!</v>
      </c>
      <c r="BT3" t="e">
        <f>AND(#REF!,"AAAAAH+/Wkc=")</f>
        <v>#REF!</v>
      </c>
      <c r="BU3" t="e">
        <f>AND(#REF!,"AAAAAH+/Wkg=")</f>
        <v>#REF!</v>
      </c>
      <c r="BV3" t="e">
        <f>AND(#REF!,"AAAAAH+/Wkk=")</f>
        <v>#REF!</v>
      </c>
      <c r="BW3" t="e">
        <f>AND(#REF!,"AAAAAH+/Wko=")</f>
        <v>#REF!</v>
      </c>
      <c r="BX3" t="e">
        <f>AND(#REF!,"AAAAAH+/Wks=")</f>
        <v>#REF!</v>
      </c>
      <c r="BY3" t="e">
        <f>AND(#REF!,"AAAAAH+/Wkw=")</f>
        <v>#REF!</v>
      </c>
      <c r="BZ3" t="e">
        <f>AND(#REF!,"AAAAAH+/Wk0=")</f>
        <v>#REF!</v>
      </c>
      <c r="CA3" t="e">
        <f>AND(#REF!,"AAAAAH+/Wk4=")</f>
        <v>#REF!</v>
      </c>
      <c r="CB3" t="e">
        <f>AND(#REF!,"AAAAAH+/Wk8=")</f>
        <v>#REF!</v>
      </c>
      <c r="CC3" t="e">
        <f>AND(#REF!,"AAAAAH+/WlA=")</f>
        <v>#REF!</v>
      </c>
      <c r="CD3" t="e">
        <f>AND(#REF!,"AAAAAH+/WlE=")</f>
        <v>#REF!</v>
      </c>
      <c r="CE3" t="e">
        <f>AND(#REF!,"AAAAAH+/WlI=")</f>
        <v>#REF!</v>
      </c>
      <c r="CF3" t="e">
        <f>AND(#REF!,"AAAAAH+/WlM=")</f>
        <v>#REF!</v>
      </c>
      <c r="CG3" t="e">
        <f>AND(#REF!,"AAAAAH+/WlQ=")</f>
        <v>#REF!</v>
      </c>
      <c r="CH3" t="e">
        <f>AND(#REF!,"AAAAAH+/WlU=")</f>
        <v>#REF!</v>
      </c>
      <c r="CI3" t="e">
        <f>AND(#REF!,"AAAAAH+/WlY=")</f>
        <v>#REF!</v>
      </c>
      <c r="CJ3" t="e">
        <f>AND(#REF!,"AAAAAH+/Wlc=")</f>
        <v>#REF!</v>
      </c>
      <c r="CK3" t="e">
        <f>IF(#REF!,"AAAAAH+/Wlg=",0)</f>
        <v>#REF!</v>
      </c>
      <c r="CL3" t="e">
        <f>AND(#REF!,"AAAAAH+/Wlk=")</f>
        <v>#REF!</v>
      </c>
      <c r="CM3" t="e">
        <f>AND(#REF!,"AAAAAH+/Wlo=")</f>
        <v>#REF!</v>
      </c>
      <c r="CN3" t="e">
        <f>AND(#REF!,"AAAAAH+/Wls=")</f>
        <v>#REF!</v>
      </c>
      <c r="CO3" t="e">
        <f>AND(#REF!,"AAAAAH+/Wlw=")</f>
        <v>#REF!</v>
      </c>
      <c r="CP3" t="e">
        <f>AND(#REF!,"AAAAAH+/Wl0=")</f>
        <v>#REF!</v>
      </c>
      <c r="CQ3" t="e">
        <f>AND(#REF!,"AAAAAH+/Wl4=")</f>
        <v>#REF!</v>
      </c>
      <c r="CR3" t="e">
        <f>AND(#REF!,"AAAAAH+/Wl8=")</f>
        <v>#REF!</v>
      </c>
      <c r="CS3" t="e">
        <f>AND(#REF!,"AAAAAH+/WmA=")</f>
        <v>#REF!</v>
      </c>
      <c r="CT3" t="e">
        <f>AND(#REF!,"AAAAAH+/WmE=")</f>
        <v>#REF!</v>
      </c>
      <c r="CU3" t="e">
        <f>AND(#REF!,"AAAAAH+/WmI=")</f>
        <v>#REF!</v>
      </c>
      <c r="CV3" t="e">
        <f>AND(#REF!,"AAAAAH+/WmM=")</f>
        <v>#REF!</v>
      </c>
      <c r="CW3" t="e">
        <f>AND(#REF!,"AAAAAH+/WmQ=")</f>
        <v>#REF!</v>
      </c>
      <c r="CX3" t="e">
        <f>AND(#REF!,"AAAAAH+/WmU=")</f>
        <v>#REF!</v>
      </c>
      <c r="CY3" t="e">
        <f>AND(#REF!,"AAAAAH+/WmY=")</f>
        <v>#REF!</v>
      </c>
      <c r="CZ3" t="e">
        <f>AND(#REF!,"AAAAAH+/Wmc=")</f>
        <v>#REF!</v>
      </c>
      <c r="DA3" t="e">
        <f>AND(#REF!,"AAAAAH+/Wmg=")</f>
        <v>#REF!</v>
      </c>
      <c r="DB3" t="e">
        <f>AND(#REF!,"AAAAAH+/Wmk=")</f>
        <v>#REF!</v>
      </c>
      <c r="DC3" t="e">
        <f>AND(#REF!,"AAAAAH+/Wmo=")</f>
        <v>#REF!</v>
      </c>
      <c r="DD3" t="e">
        <f>IF(#REF!,"AAAAAH+/Wms=",0)</f>
        <v>#REF!</v>
      </c>
      <c r="DE3" t="e">
        <f>AND(#REF!,"AAAAAH+/Wmw=")</f>
        <v>#REF!</v>
      </c>
      <c r="DF3" t="e">
        <f>AND(#REF!,"AAAAAH+/Wm0=")</f>
        <v>#REF!</v>
      </c>
      <c r="DG3" t="e">
        <f>AND(#REF!,"AAAAAH+/Wm4=")</f>
        <v>#REF!</v>
      </c>
      <c r="DH3" t="e">
        <f>AND(#REF!,"AAAAAH+/Wm8=")</f>
        <v>#REF!</v>
      </c>
      <c r="DI3" t="e">
        <f>AND(#REF!,"AAAAAH+/WnA=")</f>
        <v>#REF!</v>
      </c>
      <c r="DJ3" t="e">
        <f>AND(#REF!,"AAAAAH+/WnE=")</f>
        <v>#REF!</v>
      </c>
      <c r="DK3" t="e">
        <f>AND(#REF!,"AAAAAH+/WnI=")</f>
        <v>#REF!</v>
      </c>
      <c r="DL3" t="e">
        <f>AND(#REF!,"AAAAAH+/WnM=")</f>
        <v>#REF!</v>
      </c>
      <c r="DM3" t="e">
        <f>AND(#REF!,"AAAAAH+/WnQ=")</f>
        <v>#REF!</v>
      </c>
      <c r="DN3" t="e">
        <f>AND(#REF!,"AAAAAH+/WnU=")</f>
        <v>#REF!</v>
      </c>
      <c r="DO3" t="e">
        <f>AND(#REF!,"AAAAAH+/WnY=")</f>
        <v>#REF!</v>
      </c>
      <c r="DP3" t="e">
        <f>AND(#REF!,"AAAAAH+/Wnc=")</f>
        <v>#REF!</v>
      </c>
      <c r="DQ3" t="e">
        <f>AND(#REF!,"AAAAAH+/Wng=")</f>
        <v>#REF!</v>
      </c>
      <c r="DR3" t="e">
        <f>AND(#REF!,"AAAAAH+/Wnk=")</f>
        <v>#REF!</v>
      </c>
      <c r="DS3" t="e">
        <f>AND(#REF!,"AAAAAH+/Wno=")</f>
        <v>#REF!</v>
      </c>
      <c r="DT3" t="e">
        <f>AND(#REF!,"AAAAAH+/Wns=")</f>
        <v>#REF!</v>
      </c>
      <c r="DU3" t="e">
        <f>AND(#REF!,"AAAAAH+/Wnw=")</f>
        <v>#REF!</v>
      </c>
      <c r="DV3" t="e">
        <f>AND(#REF!,"AAAAAH+/Wn0=")</f>
        <v>#REF!</v>
      </c>
      <c r="DW3" t="e">
        <f>IF(#REF!,"AAAAAH+/Wn4=",0)</f>
        <v>#REF!</v>
      </c>
      <c r="DX3" t="e">
        <f>AND(#REF!,"AAAAAH+/Wn8=")</f>
        <v>#REF!</v>
      </c>
      <c r="DY3" t="e">
        <f>AND(#REF!,"AAAAAH+/WoA=")</f>
        <v>#REF!</v>
      </c>
      <c r="DZ3" t="e">
        <f>AND(#REF!,"AAAAAH+/WoE=")</f>
        <v>#REF!</v>
      </c>
      <c r="EA3" t="e">
        <f>AND(#REF!,"AAAAAH+/WoI=")</f>
        <v>#REF!</v>
      </c>
      <c r="EB3" t="e">
        <f>AND(#REF!,"AAAAAH+/WoM=")</f>
        <v>#REF!</v>
      </c>
      <c r="EC3" t="e">
        <f>AND(#REF!,"AAAAAH+/WoQ=")</f>
        <v>#REF!</v>
      </c>
      <c r="ED3" t="e">
        <f>AND(#REF!,"AAAAAH+/WoU=")</f>
        <v>#REF!</v>
      </c>
      <c r="EE3" t="e">
        <f>AND(#REF!,"AAAAAH+/WoY=")</f>
        <v>#REF!</v>
      </c>
      <c r="EF3" t="e">
        <f>AND(#REF!,"AAAAAH+/Woc=")</f>
        <v>#REF!</v>
      </c>
      <c r="EG3" t="e">
        <f>AND(#REF!,"AAAAAH+/Wog=")</f>
        <v>#REF!</v>
      </c>
      <c r="EH3" t="e">
        <f>AND(#REF!,"AAAAAH+/Wok=")</f>
        <v>#REF!</v>
      </c>
      <c r="EI3" t="e">
        <f>AND(#REF!,"AAAAAH+/Woo=")</f>
        <v>#REF!</v>
      </c>
      <c r="EJ3" t="e">
        <f>AND(#REF!,"AAAAAH+/Wos=")</f>
        <v>#REF!</v>
      </c>
      <c r="EK3" t="e">
        <f>AND(#REF!,"AAAAAH+/Wow=")</f>
        <v>#REF!</v>
      </c>
      <c r="EL3" t="e">
        <f>AND(#REF!,"AAAAAH+/Wo0=")</f>
        <v>#REF!</v>
      </c>
      <c r="EM3" t="e">
        <f>AND(#REF!,"AAAAAH+/Wo4=")</f>
        <v>#REF!</v>
      </c>
      <c r="EN3" t="e">
        <f>AND(#REF!,"AAAAAH+/Wo8=")</f>
        <v>#REF!</v>
      </c>
      <c r="EO3" t="e">
        <f>AND(#REF!,"AAAAAH+/WpA=")</f>
        <v>#REF!</v>
      </c>
      <c r="EP3" t="e">
        <f>IF(#REF!,"AAAAAH+/WpE=",0)</f>
        <v>#REF!</v>
      </c>
      <c r="EQ3" t="e">
        <f>AND(#REF!,"AAAAAH+/WpI=")</f>
        <v>#REF!</v>
      </c>
      <c r="ER3" t="e">
        <f>AND(#REF!,"AAAAAH+/WpM=")</f>
        <v>#REF!</v>
      </c>
      <c r="ES3" t="e">
        <f>AND(#REF!,"AAAAAH+/WpQ=")</f>
        <v>#REF!</v>
      </c>
      <c r="ET3" t="e">
        <f>AND(#REF!,"AAAAAH+/WpU=")</f>
        <v>#REF!</v>
      </c>
      <c r="EU3" t="e">
        <f>AND(#REF!,"AAAAAH+/WpY=")</f>
        <v>#REF!</v>
      </c>
      <c r="EV3" t="e">
        <f>AND(#REF!,"AAAAAH+/Wpc=")</f>
        <v>#REF!</v>
      </c>
      <c r="EW3" t="e">
        <f>AND(#REF!,"AAAAAH+/Wpg=")</f>
        <v>#REF!</v>
      </c>
      <c r="EX3" t="e">
        <f>AND(#REF!,"AAAAAH+/Wpk=")</f>
        <v>#REF!</v>
      </c>
      <c r="EY3" t="e">
        <f>AND(#REF!,"AAAAAH+/Wpo=")</f>
        <v>#REF!</v>
      </c>
      <c r="EZ3" t="e">
        <f>AND(#REF!,"AAAAAH+/Wps=")</f>
        <v>#REF!</v>
      </c>
      <c r="FA3" t="e">
        <f>AND(#REF!,"AAAAAH+/Wpw=")</f>
        <v>#REF!</v>
      </c>
      <c r="FB3" t="e">
        <f>AND(#REF!,"AAAAAH+/Wp0=")</f>
        <v>#REF!</v>
      </c>
      <c r="FC3" t="e">
        <f>AND(#REF!,"AAAAAH+/Wp4=")</f>
        <v>#REF!</v>
      </c>
      <c r="FD3" t="e">
        <f>AND(#REF!,"AAAAAH+/Wp8=")</f>
        <v>#REF!</v>
      </c>
      <c r="FE3" t="e">
        <f>AND(#REF!,"AAAAAH+/WqA=")</f>
        <v>#REF!</v>
      </c>
      <c r="FF3" t="e">
        <f>AND(#REF!,"AAAAAH+/WqE=")</f>
        <v>#REF!</v>
      </c>
      <c r="FG3" t="e">
        <f>AND(#REF!,"AAAAAH+/WqI=")</f>
        <v>#REF!</v>
      </c>
      <c r="FH3" t="e">
        <f>AND(#REF!,"AAAAAH+/WqM=")</f>
        <v>#REF!</v>
      </c>
      <c r="FI3" t="e">
        <f>IF(#REF!,"AAAAAH+/WqQ=",0)</f>
        <v>#REF!</v>
      </c>
      <c r="FJ3" t="e">
        <f>AND(#REF!,"AAAAAH+/WqU=")</f>
        <v>#REF!</v>
      </c>
      <c r="FK3" t="e">
        <f>AND(#REF!,"AAAAAH+/WqY=")</f>
        <v>#REF!</v>
      </c>
      <c r="FL3" t="e">
        <f>AND(#REF!,"AAAAAH+/Wqc=")</f>
        <v>#REF!</v>
      </c>
      <c r="FM3" t="e">
        <f>AND(#REF!,"AAAAAH+/Wqg=")</f>
        <v>#REF!</v>
      </c>
      <c r="FN3" t="e">
        <f>AND(#REF!,"AAAAAH+/Wqk=")</f>
        <v>#REF!</v>
      </c>
      <c r="FO3" t="e">
        <f>AND(#REF!,"AAAAAH+/Wqo=")</f>
        <v>#REF!</v>
      </c>
      <c r="FP3" t="e">
        <f>AND(#REF!,"AAAAAH+/Wqs=")</f>
        <v>#REF!</v>
      </c>
      <c r="FQ3" t="e">
        <f>AND(#REF!,"AAAAAH+/Wqw=")</f>
        <v>#REF!</v>
      </c>
      <c r="FR3" t="e">
        <f>AND(#REF!,"AAAAAH+/Wq0=")</f>
        <v>#REF!</v>
      </c>
      <c r="FS3" t="e">
        <f>AND(#REF!,"AAAAAH+/Wq4=")</f>
        <v>#REF!</v>
      </c>
      <c r="FT3" t="e">
        <f>AND(#REF!,"AAAAAH+/Wq8=")</f>
        <v>#REF!</v>
      </c>
      <c r="FU3" t="e">
        <f>AND(#REF!,"AAAAAH+/WrA=")</f>
        <v>#REF!</v>
      </c>
      <c r="FV3" t="e">
        <f>AND(#REF!,"AAAAAH+/WrE=")</f>
        <v>#REF!</v>
      </c>
      <c r="FW3" t="e">
        <f>AND(#REF!,"AAAAAH+/WrI=")</f>
        <v>#REF!</v>
      </c>
      <c r="FX3" t="e">
        <f>AND(#REF!,"AAAAAH+/WrM=")</f>
        <v>#REF!</v>
      </c>
      <c r="FY3" t="e">
        <f>AND(#REF!,"AAAAAH+/WrQ=")</f>
        <v>#REF!</v>
      </c>
      <c r="FZ3" t="e">
        <f>AND(#REF!,"AAAAAH+/WrU=")</f>
        <v>#REF!</v>
      </c>
      <c r="GA3" t="e">
        <f>AND(#REF!,"AAAAAH+/WrY=")</f>
        <v>#REF!</v>
      </c>
      <c r="GB3" t="e">
        <f>IF(#REF!,"AAAAAH+/Wrc=",0)</f>
        <v>#REF!</v>
      </c>
      <c r="GC3" t="e">
        <f>AND(#REF!,"AAAAAH+/Wrg=")</f>
        <v>#REF!</v>
      </c>
      <c r="GD3" t="e">
        <f>AND(#REF!,"AAAAAH+/Wrk=")</f>
        <v>#REF!</v>
      </c>
      <c r="GE3" t="e">
        <f>AND(#REF!,"AAAAAH+/Wro=")</f>
        <v>#REF!</v>
      </c>
      <c r="GF3" t="e">
        <f>AND(#REF!,"AAAAAH+/Wrs=")</f>
        <v>#REF!</v>
      </c>
      <c r="GG3" t="e">
        <f>AND(#REF!,"AAAAAH+/Wrw=")</f>
        <v>#REF!</v>
      </c>
      <c r="GH3" t="e">
        <f>AND(#REF!,"AAAAAH+/Wr0=")</f>
        <v>#REF!</v>
      </c>
      <c r="GI3" t="e">
        <f>AND(#REF!,"AAAAAH+/Wr4=")</f>
        <v>#REF!</v>
      </c>
      <c r="GJ3" t="e">
        <f>AND(#REF!,"AAAAAH+/Wr8=")</f>
        <v>#REF!</v>
      </c>
      <c r="GK3" t="e">
        <f>AND(#REF!,"AAAAAH+/WsA=")</f>
        <v>#REF!</v>
      </c>
      <c r="GL3" t="e">
        <f>AND(#REF!,"AAAAAH+/WsE=")</f>
        <v>#REF!</v>
      </c>
      <c r="GM3" t="e">
        <f>AND(#REF!,"AAAAAH+/WsI=")</f>
        <v>#REF!</v>
      </c>
      <c r="GN3" t="e">
        <f>AND(#REF!,"AAAAAH+/WsM=")</f>
        <v>#REF!</v>
      </c>
      <c r="GO3" t="e">
        <f>AND(#REF!,"AAAAAH+/WsQ=")</f>
        <v>#REF!</v>
      </c>
      <c r="GP3" t="e">
        <f>AND(#REF!,"AAAAAH+/WsU=")</f>
        <v>#REF!</v>
      </c>
      <c r="GQ3" t="e">
        <f>AND(#REF!,"AAAAAH+/WsY=")</f>
        <v>#REF!</v>
      </c>
      <c r="GR3" t="e">
        <f>AND(#REF!,"AAAAAH+/Wsc=")</f>
        <v>#REF!</v>
      </c>
      <c r="GS3" t="e">
        <f>AND(#REF!,"AAAAAH+/Wsg=")</f>
        <v>#REF!</v>
      </c>
      <c r="GT3" t="e">
        <f>AND(#REF!,"AAAAAH+/Wsk=")</f>
        <v>#REF!</v>
      </c>
      <c r="GU3" t="e">
        <f>IF(#REF!,"AAAAAH+/Wso=",0)</f>
        <v>#REF!</v>
      </c>
      <c r="GV3" t="e">
        <f>AND(#REF!,"AAAAAH+/Wss=")</f>
        <v>#REF!</v>
      </c>
      <c r="GW3" t="e">
        <f>AND(#REF!,"AAAAAH+/Wsw=")</f>
        <v>#REF!</v>
      </c>
      <c r="GX3" t="e">
        <f>AND(#REF!,"AAAAAH+/Ws0=")</f>
        <v>#REF!</v>
      </c>
      <c r="GY3" t="e">
        <f>AND(#REF!,"AAAAAH+/Ws4=")</f>
        <v>#REF!</v>
      </c>
      <c r="GZ3" t="e">
        <f>AND(#REF!,"AAAAAH+/Ws8=")</f>
        <v>#REF!</v>
      </c>
      <c r="HA3" t="e">
        <f>AND(#REF!,"AAAAAH+/WtA=")</f>
        <v>#REF!</v>
      </c>
      <c r="HB3" t="e">
        <f>AND(#REF!,"AAAAAH+/WtE=")</f>
        <v>#REF!</v>
      </c>
      <c r="HC3" t="e">
        <f>AND(#REF!,"AAAAAH+/WtI=")</f>
        <v>#REF!</v>
      </c>
      <c r="HD3" t="e">
        <f>AND(#REF!,"AAAAAH+/WtM=")</f>
        <v>#REF!</v>
      </c>
      <c r="HE3" t="e">
        <f>AND(#REF!,"AAAAAH+/WtQ=")</f>
        <v>#REF!</v>
      </c>
      <c r="HF3" t="e">
        <f>AND(#REF!,"AAAAAH+/WtU=")</f>
        <v>#REF!</v>
      </c>
      <c r="HG3" t="e">
        <f>AND(#REF!,"AAAAAH+/WtY=")</f>
        <v>#REF!</v>
      </c>
      <c r="HH3" t="e">
        <f>AND(#REF!,"AAAAAH+/Wtc=")</f>
        <v>#REF!</v>
      </c>
      <c r="HI3" t="e">
        <f>AND(#REF!,"AAAAAH+/Wtg=")</f>
        <v>#REF!</v>
      </c>
      <c r="HJ3" t="e">
        <f>AND(#REF!,"AAAAAH+/Wtk=")</f>
        <v>#REF!</v>
      </c>
      <c r="HK3" t="e">
        <f>AND(#REF!,"AAAAAH+/Wto=")</f>
        <v>#REF!</v>
      </c>
      <c r="HL3" t="e">
        <f>AND(#REF!,"AAAAAH+/Wts=")</f>
        <v>#REF!</v>
      </c>
      <c r="HM3" t="e">
        <f>AND(#REF!,"AAAAAH+/Wtw=")</f>
        <v>#REF!</v>
      </c>
      <c r="HN3" t="e">
        <f>IF(#REF!,"AAAAAH+/Wt0=",0)</f>
        <v>#REF!</v>
      </c>
      <c r="HO3" t="e">
        <f>AND(#REF!,"AAAAAH+/Wt4=")</f>
        <v>#REF!</v>
      </c>
      <c r="HP3" t="e">
        <f>AND(#REF!,"AAAAAH+/Wt8=")</f>
        <v>#REF!</v>
      </c>
      <c r="HQ3" t="e">
        <f>AND(#REF!,"AAAAAH+/WuA=")</f>
        <v>#REF!</v>
      </c>
      <c r="HR3" t="e">
        <f>AND(#REF!,"AAAAAH+/WuE=")</f>
        <v>#REF!</v>
      </c>
      <c r="HS3" t="e">
        <f>AND(#REF!,"AAAAAH+/WuI=")</f>
        <v>#REF!</v>
      </c>
      <c r="HT3" t="e">
        <f>AND(#REF!,"AAAAAH+/WuM=")</f>
        <v>#REF!</v>
      </c>
      <c r="HU3" t="e">
        <f>AND(#REF!,"AAAAAH+/WuQ=")</f>
        <v>#REF!</v>
      </c>
      <c r="HV3" t="e">
        <f>AND(#REF!,"AAAAAH+/WuU=")</f>
        <v>#REF!</v>
      </c>
      <c r="HW3" t="e">
        <f>AND(#REF!,"AAAAAH+/WuY=")</f>
        <v>#REF!</v>
      </c>
      <c r="HX3" t="e">
        <f>AND(#REF!,"AAAAAH+/Wuc=")</f>
        <v>#REF!</v>
      </c>
      <c r="HY3" t="e">
        <f>AND(#REF!,"AAAAAH+/Wug=")</f>
        <v>#REF!</v>
      </c>
      <c r="HZ3" t="e">
        <f>AND(#REF!,"AAAAAH+/Wuk=")</f>
        <v>#REF!</v>
      </c>
      <c r="IA3" t="e">
        <f>AND(#REF!,"AAAAAH+/Wuo=")</f>
        <v>#REF!</v>
      </c>
      <c r="IB3" t="e">
        <f>AND(#REF!,"AAAAAH+/Wus=")</f>
        <v>#REF!</v>
      </c>
      <c r="IC3" t="e">
        <f>AND(#REF!,"AAAAAH+/Wuw=")</f>
        <v>#REF!</v>
      </c>
      <c r="ID3" t="e">
        <f>AND(#REF!,"AAAAAH+/Wu0=")</f>
        <v>#REF!</v>
      </c>
      <c r="IE3" t="e">
        <f>AND(#REF!,"AAAAAH+/Wu4=")</f>
        <v>#REF!</v>
      </c>
      <c r="IF3" t="e">
        <f>AND(#REF!,"AAAAAH+/Wu8=")</f>
        <v>#REF!</v>
      </c>
      <c r="IG3" t="e">
        <f>IF(#REF!,"AAAAAH+/WvA=",0)</f>
        <v>#REF!</v>
      </c>
      <c r="IH3" t="e">
        <f>AND(#REF!,"AAAAAH+/WvE=")</f>
        <v>#REF!</v>
      </c>
      <c r="II3" t="e">
        <f>AND(#REF!,"AAAAAH+/WvI=")</f>
        <v>#REF!</v>
      </c>
      <c r="IJ3" t="e">
        <f>AND(#REF!,"AAAAAH+/WvM=")</f>
        <v>#REF!</v>
      </c>
      <c r="IK3" t="e">
        <f>AND(#REF!,"AAAAAH+/WvQ=")</f>
        <v>#REF!</v>
      </c>
      <c r="IL3" t="e">
        <f>AND(#REF!,"AAAAAH+/WvU=")</f>
        <v>#REF!</v>
      </c>
      <c r="IM3" t="e">
        <f>AND(#REF!,"AAAAAH+/WvY=")</f>
        <v>#REF!</v>
      </c>
      <c r="IN3" t="e">
        <f>AND(#REF!,"AAAAAH+/Wvc=")</f>
        <v>#REF!</v>
      </c>
      <c r="IO3" t="e">
        <f>AND(#REF!,"AAAAAH+/Wvg=")</f>
        <v>#REF!</v>
      </c>
      <c r="IP3" t="e">
        <f>AND(#REF!,"AAAAAH+/Wvk=")</f>
        <v>#REF!</v>
      </c>
      <c r="IQ3" t="e">
        <f>AND(#REF!,"AAAAAH+/Wvo=")</f>
        <v>#REF!</v>
      </c>
      <c r="IR3" t="e">
        <f>AND(#REF!,"AAAAAH+/Wvs=")</f>
        <v>#REF!</v>
      </c>
      <c r="IS3" t="e">
        <f>AND(#REF!,"AAAAAH+/Wvw=")</f>
        <v>#REF!</v>
      </c>
      <c r="IT3" t="e">
        <f>AND(#REF!,"AAAAAH+/Wv0=")</f>
        <v>#REF!</v>
      </c>
      <c r="IU3" t="e">
        <f>AND(#REF!,"AAAAAH+/Wv4=")</f>
        <v>#REF!</v>
      </c>
      <c r="IV3" t="e">
        <f>AND(#REF!,"AAAAAH+/Wv8=")</f>
        <v>#REF!</v>
      </c>
    </row>
    <row r="4" spans="1:256">
      <c r="A4" t="e">
        <f>AND(#REF!,"AAAAAH7n/gA=")</f>
        <v>#REF!</v>
      </c>
      <c r="B4" t="e">
        <f>AND(#REF!,"AAAAAH7n/gE=")</f>
        <v>#REF!</v>
      </c>
      <c r="C4" t="e">
        <f>AND(#REF!,"AAAAAH7n/gI=")</f>
        <v>#REF!</v>
      </c>
      <c r="D4" t="e">
        <f>IF(#REF!,"AAAAAH7n/gM=",0)</f>
        <v>#REF!</v>
      </c>
      <c r="E4" t="e">
        <f>AND(#REF!,"AAAAAH7n/gQ=")</f>
        <v>#REF!</v>
      </c>
      <c r="F4" t="e">
        <f>AND(#REF!,"AAAAAH7n/gU=")</f>
        <v>#REF!</v>
      </c>
      <c r="G4" t="e">
        <f>AND(#REF!,"AAAAAH7n/gY=")</f>
        <v>#REF!</v>
      </c>
      <c r="H4" t="e">
        <f>AND(#REF!,"AAAAAH7n/gc=")</f>
        <v>#REF!</v>
      </c>
      <c r="I4" t="e">
        <f>AND(#REF!,"AAAAAH7n/gg=")</f>
        <v>#REF!</v>
      </c>
      <c r="J4" t="e">
        <f>AND(#REF!,"AAAAAH7n/gk=")</f>
        <v>#REF!</v>
      </c>
      <c r="K4" t="e">
        <f>AND(#REF!,"AAAAAH7n/go=")</f>
        <v>#REF!</v>
      </c>
      <c r="L4" t="e">
        <f>AND(#REF!,"AAAAAH7n/gs=")</f>
        <v>#REF!</v>
      </c>
      <c r="M4" t="e">
        <f>AND(#REF!,"AAAAAH7n/gw=")</f>
        <v>#REF!</v>
      </c>
      <c r="N4" t="e">
        <f>AND(#REF!,"AAAAAH7n/g0=")</f>
        <v>#REF!</v>
      </c>
      <c r="O4" t="e">
        <f>AND(#REF!,"AAAAAH7n/g4=")</f>
        <v>#REF!</v>
      </c>
      <c r="P4" t="e">
        <f>AND(#REF!,"AAAAAH7n/g8=")</f>
        <v>#REF!</v>
      </c>
      <c r="Q4" t="e">
        <f>AND(#REF!,"AAAAAH7n/hA=")</f>
        <v>#REF!</v>
      </c>
      <c r="R4" t="e">
        <f>AND(#REF!,"AAAAAH7n/hE=")</f>
        <v>#REF!</v>
      </c>
      <c r="S4" t="e">
        <f>AND(#REF!,"AAAAAH7n/hI=")</f>
        <v>#REF!</v>
      </c>
      <c r="T4" t="e">
        <f>AND(#REF!,"AAAAAH7n/hM=")</f>
        <v>#REF!</v>
      </c>
      <c r="U4" t="e">
        <f>AND(#REF!,"AAAAAH7n/hQ=")</f>
        <v>#REF!</v>
      </c>
      <c r="V4" t="e">
        <f>AND(#REF!,"AAAAAH7n/hU=")</f>
        <v>#REF!</v>
      </c>
      <c r="W4" t="e">
        <f>IF(#REF!,"AAAAAH7n/hY=",0)</f>
        <v>#REF!</v>
      </c>
      <c r="X4" t="e">
        <f>AND(#REF!,"AAAAAH7n/hc=")</f>
        <v>#REF!</v>
      </c>
      <c r="Y4" t="e">
        <f>AND(#REF!,"AAAAAH7n/hg=")</f>
        <v>#REF!</v>
      </c>
      <c r="Z4" t="e">
        <f>AND(#REF!,"AAAAAH7n/hk=")</f>
        <v>#REF!</v>
      </c>
      <c r="AA4" t="e">
        <f>AND(#REF!,"AAAAAH7n/ho=")</f>
        <v>#REF!</v>
      </c>
      <c r="AB4" t="e">
        <f>AND(#REF!,"AAAAAH7n/hs=")</f>
        <v>#REF!</v>
      </c>
      <c r="AC4" t="e">
        <f>AND(#REF!,"AAAAAH7n/hw=")</f>
        <v>#REF!</v>
      </c>
      <c r="AD4" t="e">
        <f>AND(#REF!,"AAAAAH7n/h0=")</f>
        <v>#REF!</v>
      </c>
      <c r="AE4" t="e">
        <f>AND(#REF!,"AAAAAH7n/h4=")</f>
        <v>#REF!</v>
      </c>
      <c r="AF4" t="e">
        <f>AND(#REF!,"AAAAAH7n/h8=")</f>
        <v>#REF!</v>
      </c>
      <c r="AG4" t="e">
        <f>AND(#REF!,"AAAAAH7n/iA=")</f>
        <v>#REF!</v>
      </c>
      <c r="AH4" t="e">
        <f>AND(#REF!,"AAAAAH7n/iE=")</f>
        <v>#REF!</v>
      </c>
      <c r="AI4" t="e">
        <f>AND(#REF!,"AAAAAH7n/iI=")</f>
        <v>#REF!</v>
      </c>
      <c r="AJ4" t="e">
        <f>AND(#REF!,"AAAAAH7n/iM=")</f>
        <v>#REF!</v>
      </c>
      <c r="AK4" t="e">
        <f>AND(#REF!,"AAAAAH7n/iQ=")</f>
        <v>#REF!</v>
      </c>
      <c r="AL4" t="e">
        <f>AND(#REF!,"AAAAAH7n/iU=")</f>
        <v>#REF!</v>
      </c>
      <c r="AM4" t="e">
        <f>AND(#REF!,"AAAAAH7n/iY=")</f>
        <v>#REF!</v>
      </c>
      <c r="AN4" t="e">
        <f>AND(#REF!,"AAAAAH7n/ic=")</f>
        <v>#REF!</v>
      </c>
      <c r="AO4" t="e">
        <f>AND(#REF!,"AAAAAH7n/ig=")</f>
        <v>#REF!</v>
      </c>
      <c r="AP4" t="e">
        <f>IF(#REF!,"AAAAAH7n/ik=",0)</f>
        <v>#REF!</v>
      </c>
      <c r="AQ4" t="e">
        <f>AND(#REF!,"AAAAAH7n/io=")</f>
        <v>#REF!</v>
      </c>
      <c r="AR4" t="e">
        <f>AND(#REF!,"AAAAAH7n/is=")</f>
        <v>#REF!</v>
      </c>
      <c r="AS4" t="e">
        <f>AND(#REF!,"AAAAAH7n/iw=")</f>
        <v>#REF!</v>
      </c>
      <c r="AT4" t="e">
        <f>AND(#REF!,"AAAAAH7n/i0=")</f>
        <v>#REF!</v>
      </c>
      <c r="AU4" t="e">
        <f>AND(#REF!,"AAAAAH7n/i4=")</f>
        <v>#REF!</v>
      </c>
      <c r="AV4" t="e">
        <f>AND(#REF!,"AAAAAH7n/i8=")</f>
        <v>#REF!</v>
      </c>
      <c r="AW4" t="e">
        <f>AND(#REF!,"AAAAAH7n/jA=")</f>
        <v>#REF!</v>
      </c>
      <c r="AX4" t="e">
        <f>AND(#REF!,"AAAAAH7n/jE=")</f>
        <v>#REF!</v>
      </c>
      <c r="AY4" t="e">
        <f>AND(#REF!,"AAAAAH7n/jI=")</f>
        <v>#REF!</v>
      </c>
      <c r="AZ4" t="e">
        <f>AND(#REF!,"AAAAAH7n/jM=")</f>
        <v>#REF!</v>
      </c>
      <c r="BA4" t="e">
        <f>AND(#REF!,"AAAAAH7n/jQ=")</f>
        <v>#REF!</v>
      </c>
      <c r="BB4" t="e">
        <f>AND(#REF!,"AAAAAH7n/jU=")</f>
        <v>#REF!</v>
      </c>
      <c r="BC4" t="e">
        <f>AND(#REF!,"AAAAAH7n/jY=")</f>
        <v>#REF!</v>
      </c>
      <c r="BD4" t="e">
        <f>AND(#REF!,"AAAAAH7n/jc=")</f>
        <v>#REF!</v>
      </c>
      <c r="BE4" t="e">
        <f>AND(#REF!,"AAAAAH7n/jg=")</f>
        <v>#REF!</v>
      </c>
      <c r="BF4" t="e">
        <f>AND(#REF!,"AAAAAH7n/jk=")</f>
        <v>#REF!</v>
      </c>
      <c r="BG4" t="e">
        <f>AND(#REF!,"AAAAAH7n/jo=")</f>
        <v>#REF!</v>
      </c>
      <c r="BH4" t="e">
        <f>AND(#REF!,"AAAAAH7n/js=")</f>
        <v>#REF!</v>
      </c>
      <c r="BI4" t="e">
        <f>IF(#REF!,"AAAAAH7n/jw=",0)</f>
        <v>#REF!</v>
      </c>
      <c r="BJ4" t="e">
        <f>AND(#REF!,"AAAAAH7n/j0=")</f>
        <v>#REF!</v>
      </c>
      <c r="BK4" t="e">
        <f>AND(#REF!,"AAAAAH7n/j4=")</f>
        <v>#REF!</v>
      </c>
      <c r="BL4" t="e">
        <f>AND(#REF!,"AAAAAH7n/j8=")</f>
        <v>#REF!</v>
      </c>
      <c r="BM4" t="e">
        <f>AND(#REF!,"AAAAAH7n/kA=")</f>
        <v>#REF!</v>
      </c>
      <c r="BN4" t="e">
        <f>AND(#REF!,"AAAAAH7n/kE=")</f>
        <v>#REF!</v>
      </c>
      <c r="BO4" t="e">
        <f>AND(#REF!,"AAAAAH7n/kI=")</f>
        <v>#REF!</v>
      </c>
      <c r="BP4" t="e">
        <f>AND(#REF!,"AAAAAH7n/kM=")</f>
        <v>#REF!</v>
      </c>
      <c r="BQ4" t="e">
        <f>AND(#REF!,"AAAAAH7n/kQ=")</f>
        <v>#REF!</v>
      </c>
      <c r="BR4" t="e">
        <f>AND(#REF!,"AAAAAH7n/kU=")</f>
        <v>#REF!</v>
      </c>
      <c r="BS4" t="e">
        <f>AND(#REF!,"AAAAAH7n/kY=")</f>
        <v>#REF!</v>
      </c>
      <c r="BT4" t="e">
        <f>AND(#REF!,"AAAAAH7n/kc=")</f>
        <v>#REF!</v>
      </c>
      <c r="BU4" t="e">
        <f>AND(#REF!,"AAAAAH7n/kg=")</f>
        <v>#REF!</v>
      </c>
      <c r="BV4" t="e">
        <f>AND(#REF!,"AAAAAH7n/kk=")</f>
        <v>#REF!</v>
      </c>
      <c r="BW4" t="e">
        <f>AND(#REF!,"AAAAAH7n/ko=")</f>
        <v>#REF!</v>
      </c>
      <c r="BX4" t="e">
        <f>AND(#REF!,"AAAAAH7n/ks=")</f>
        <v>#REF!</v>
      </c>
      <c r="BY4" t="e">
        <f>AND(#REF!,"AAAAAH7n/kw=")</f>
        <v>#REF!</v>
      </c>
      <c r="BZ4" t="e">
        <f>AND(#REF!,"AAAAAH7n/k0=")</f>
        <v>#REF!</v>
      </c>
      <c r="CA4" t="e">
        <f>AND(#REF!,"AAAAAH7n/k4=")</f>
        <v>#REF!</v>
      </c>
      <c r="CB4" t="e">
        <f>IF(#REF!,"AAAAAH7n/k8=",0)</f>
        <v>#REF!</v>
      </c>
      <c r="CC4" t="e">
        <f>AND(#REF!,"AAAAAH7n/lA=")</f>
        <v>#REF!</v>
      </c>
      <c r="CD4" t="e">
        <f>AND(#REF!,"AAAAAH7n/lE=")</f>
        <v>#REF!</v>
      </c>
      <c r="CE4" t="e">
        <f>AND(#REF!,"AAAAAH7n/lI=")</f>
        <v>#REF!</v>
      </c>
      <c r="CF4" t="e">
        <f>AND(#REF!,"AAAAAH7n/lM=")</f>
        <v>#REF!</v>
      </c>
      <c r="CG4" t="e">
        <f>AND(#REF!,"AAAAAH7n/lQ=")</f>
        <v>#REF!</v>
      </c>
      <c r="CH4" t="e">
        <f>AND(#REF!,"AAAAAH7n/lU=")</f>
        <v>#REF!</v>
      </c>
      <c r="CI4" t="e">
        <f>AND(#REF!,"AAAAAH7n/lY=")</f>
        <v>#REF!</v>
      </c>
      <c r="CJ4" t="e">
        <f>AND(#REF!,"AAAAAH7n/lc=")</f>
        <v>#REF!</v>
      </c>
      <c r="CK4" t="e">
        <f>AND(#REF!,"AAAAAH7n/lg=")</f>
        <v>#REF!</v>
      </c>
      <c r="CL4" t="e">
        <f>AND(#REF!,"AAAAAH7n/lk=")</f>
        <v>#REF!</v>
      </c>
      <c r="CM4" t="e">
        <f>AND(#REF!,"AAAAAH7n/lo=")</f>
        <v>#REF!</v>
      </c>
      <c r="CN4" t="e">
        <f>AND(#REF!,"AAAAAH7n/ls=")</f>
        <v>#REF!</v>
      </c>
      <c r="CO4" t="e">
        <f>AND(#REF!,"AAAAAH7n/lw=")</f>
        <v>#REF!</v>
      </c>
      <c r="CP4" t="e">
        <f>AND(#REF!,"AAAAAH7n/l0=")</f>
        <v>#REF!</v>
      </c>
      <c r="CQ4" t="e">
        <f>AND(#REF!,"AAAAAH7n/l4=")</f>
        <v>#REF!</v>
      </c>
      <c r="CR4" t="e">
        <f>AND(#REF!,"AAAAAH7n/l8=")</f>
        <v>#REF!</v>
      </c>
      <c r="CS4" t="e">
        <f>AND(#REF!,"AAAAAH7n/mA=")</f>
        <v>#REF!</v>
      </c>
      <c r="CT4" t="e">
        <f>AND(#REF!,"AAAAAH7n/mE=")</f>
        <v>#REF!</v>
      </c>
      <c r="CU4" t="e">
        <f>IF(#REF!,"AAAAAH7n/mI=",0)</f>
        <v>#REF!</v>
      </c>
      <c r="CV4" t="e">
        <f>AND(#REF!,"AAAAAH7n/mM=")</f>
        <v>#REF!</v>
      </c>
      <c r="CW4" t="e">
        <f>AND(#REF!,"AAAAAH7n/mQ=")</f>
        <v>#REF!</v>
      </c>
      <c r="CX4" t="e">
        <f>AND(#REF!,"AAAAAH7n/mU=")</f>
        <v>#REF!</v>
      </c>
      <c r="CY4" t="e">
        <f>AND(#REF!,"AAAAAH7n/mY=")</f>
        <v>#REF!</v>
      </c>
      <c r="CZ4" t="e">
        <f>AND(#REF!,"AAAAAH7n/mc=")</f>
        <v>#REF!</v>
      </c>
      <c r="DA4" t="e">
        <f>AND(#REF!,"AAAAAH7n/mg=")</f>
        <v>#REF!</v>
      </c>
      <c r="DB4" t="e">
        <f>AND(#REF!,"AAAAAH7n/mk=")</f>
        <v>#REF!</v>
      </c>
      <c r="DC4" t="e">
        <f>AND(#REF!,"AAAAAH7n/mo=")</f>
        <v>#REF!</v>
      </c>
      <c r="DD4" t="e">
        <f>AND(#REF!,"AAAAAH7n/ms=")</f>
        <v>#REF!</v>
      </c>
      <c r="DE4" t="e">
        <f>AND(#REF!,"AAAAAH7n/mw=")</f>
        <v>#REF!</v>
      </c>
      <c r="DF4" t="e">
        <f>AND(#REF!,"AAAAAH7n/m0=")</f>
        <v>#REF!</v>
      </c>
      <c r="DG4" t="e">
        <f>AND(#REF!,"AAAAAH7n/m4=")</f>
        <v>#REF!</v>
      </c>
      <c r="DH4" t="e">
        <f>AND(#REF!,"AAAAAH7n/m8=")</f>
        <v>#REF!</v>
      </c>
      <c r="DI4" t="e">
        <f>AND(#REF!,"AAAAAH7n/nA=")</f>
        <v>#REF!</v>
      </c>
      <c r="DJ4" t="e">
        <f>AND(#REF!,"AAAAAH7n/nE=")</f>
        <v>#REF!</v>
      </c>
      <c r="DK4" t="e">
        <f>AND(#REF!,"AAAAAH7n/nI=")</f>
        <v>#REF!</v>
      </c>
      <c r="DL4" t="e">
        <f>AND(#REF!,"AAAAAH7n/nM=")</f>
        <v>#REF!</v>
      </c>
      <c r="DM4" t="e">
        <f>AND(#REF!,"AAAAAH7n/nQ=")</f>
        <v>#REF!</v>
      </c>
      <c r="DN4" t="e">
        <f>IF(#REF!,"AAAAAH7n/nU=",0)</f>
        <v>#REF!</v>
      </c>
      <c r="DO4" t="e">
        <f>AND(#REF!,"AAAAAH7n/nY=")</f>
        <v>#REF!</v>
      </c>
      <c r="DP4" t="e">
        <f>AND(#REF!,"AAAAAH7n/nc=")</f>
        <v>#REF!</v>
      </c>
      <c r="DQ4" t="e">
        <f>AND(#REF!,"AAAAAH7n/ng=")</f>
        <v>#REF!</v>
      </c>
      <c r="DR4" t="e">
        <f>AND(#REF!,"AAAAAH7n/nk=")</f>
        <v>#REF!</v>
      </c>
      <c r="DS4" t="e">
        <f>AND(#REF!,"AAAAAH7n/no=")</f>
        <v>#REF!</v>
      </c>
      <c r="DT4" t="e">
        <f>AND(#REF!,"AAAAAH7n/ns=")</f>
        <v>#REF!</v>
      </c>
      <c r="DU4" t="e">
        <f>AND(#REF!,"AAAAAH7n/nw=")</f>
        <v>#REF!</v>
      </c>
      <c r="DV4" t="e">
        <f>AND(#REF!,"AAAAAH7n/n0=")</f>
        <v>#REF!</v>
      </c>
      <c r="DW4" t="e">
        <f>AND(#REF!,"AAAAAH7n/n4=")</f>
        <v>#REF!</v>
      </c>
      <c r="DX4" t="e">
        <f>AND(#REF!,"AAAAAH7n/n8=")</f>
        <v>#REF!</v>
      </c>
      <c r="DY4" t="e">
        <f>AND(#REF!,"AAAAAH7n/oA=")</f>
        <v>#REF!</v>
      </c>
      <c r="DZ4" t="e">
        <f>AND(#REF!,"AAAAAH7n/oE=")</f>
        <v>#REF!</v>
      </c>
      <c r="EA4" t="e">
        <f>AND(#REF!,"AAAAAH7n/oI=")</f>
        <v>#REF!</v>
      </c>
      <c r="EB4" t="e">
        <f>AND(#REF!,"AAAAAH7n/oM=")</f>
        <v>#REF!</v>
      </c>
      <c r="EC4" t="e">
        <f>AND(#REF!,"AAAAAH7n/oQ=")</f>
        <v>#REF!</v>
      </c>
      <c r="ED4" t="e">
        <f>AND(#REF!,"AAAAAH7n/oU=")</f>
        <v>#REF!</v>
      </c>
      <c r="EE4" t="e">
        <f>AND(#REF!,"AAAAAH7n/oY=")</f>
        <v>#REF!</v>
      </c>
      <c r="EF4" t="e">
        <f>AND(#REF!,"AAAAAH7n/oc=")</f>
        <v>#REF!</v>
      </c>
      <c r="EG4" t="e">
        <f>IF(#REF!,"AAAAAH7n/og=",0)</f>
        <v>#REF!</v>
      </c>
      <c r="EH4" t="e">
        <f>AND(#REF!,"AAAAAH7n/ok=")</f>
        <v>#REF!</v>
      </c>
      <c r="EI4" t="e">
        <f>AND(#REF!,"AAAAAH7n/oo=")</f>
        <v>#REF!</v>
      </c>
      <c r="EJ4" t="e">
        <f>AND(#REF!,"AAAAAH7n/os=")</f>
        <v>#REF!</v>
      </c>
      <c r="EK4" t="e">
        <f>AND(#REF!,"AAAAAH7n/ow=")</f>
        <v>#REF!</v>
      </c>
      <c r="EL4" t="e">
        <f>AND(#REF!,"AAAAAH7n/o0=")</f>
        <v>#REF!</v>
      </c>
      <c r="EM4" t="e">
        <f>AND(#REF!,"AAAAAH7n/o4=")</f>
        <v>#REF!</v>
      </c>
      <c r="EN4" t="e">
        <f>AND(#REF!,"AAAAAH7n/o8=")</f>
        <v>#REF!</v>
      </c>
      <c r="EO4" t="e">
        <f>AND(#REF!,"AAAAAH7n/pA=")</f>
        <v>#REF!</v>
      </c>
      <c r="EP4" t="e">
        <f>AND(#REF!,"AAAAAH7n/pE=")</f>
        <v>#REF!</v>
      </c>
      <c r="EQ4" t="e">
        <f>AND(#REF!,"AAAAAH7n/pI=")</f>
        <v>#REF!</v>
      </c>
      <c r="ER4" t="e">
        <f>AND(#REF!,"AAAAAH7n/pM=")</f>
        <v>#REF!</v>
      </c>
      <c r="ES4" t="e">
        <f>AND(#REF!,"AAAAAH7n/pQ=")</f>
        <v>#REF!</v>
      </c>
      <c r="ET4" t="e">
        <f>AND(#REF!,"AAAAAH7n/pU=")</f>
        <v>#REF!</v>
      </c>
      <c r="EU4" t="e">
        <f>AND(#REF!,"AAAAAH7n/pY=")</f>
        <v>#REF!</v>
      </c>
      <c r="EV4" t="e">
        <f>AND(#REF!,"AAAAAH7n/pc=")</f>
        <v>#REF!</v>
      </c>
      <c r="EW4" t="e">
        <f>AND(#REF!,"AAAAAH7n/pg=")</f>
        <v>#REF!</v>
      </c>
      <c r="EX4" t="e">
        <f>AND(#REF!,"AAAAAH7n/pk=")</f>
        <v>#REF!</v>
      </c>
      <c r="EY4" t="e">
        <f>AND(#REF!,"AAAAAH7n/po=")</f>
        <v>#REF!</v>
      </c>
      <c r="EZ4" t="e">
        <f>IF(#REF!,"AAAAAH7n/ps=",0)</f>
        <v>#REF!</v>
      </c>
      <c r="FA4" t="e">
        <f>AND(#REF!,"AAAAAH7n/pw=")</f>
        <v>#REF!</v>
      </c>
      <c r="FB4" t="e">
        <f>AND(#REF!,"AAAAAH7n/p0=")</f>
        <v>#REF!</v>
      </c>
      <c r="FC4" t="e">
        <f>AND(#REF!,"AAAAAH7n/p4=")</f>
        <v>#REF!</v>
      </c>
      <c r="FD4" t="e">
        <f>AND(#REF!,"AAAAAH7n/p8=")</f>
        <v>#REF!</v>
      </c>
      <c r="FE4" t="e">
        <f>AND(#REF!,"AAAAAH7n/qA=")</f>
        <v>#REF!</v>
      </c>
      <c r="FF4" t="e">
        <f>AND(#REF!,"AAAAAH7n/qE=")</f>
        <v>#REF!</v>
      </c>
      <c r="FG4" t="e">
        <f>AND(#REF!,"AAAAAH7n/qI=")</f>
        <v>#REF!</v>
      </c>
      <c r="FH4" t="e">
        <f>AND(#REF!,"AAAAAH7n/qM=")</f>
        <v>#REF!</v>
      </c>
      <c r="FI4" t="e">
        <f>AND(#REF!,"AAAAAH7n/qQ=")</f>
        <v>#REF!</v>
      </c>
      <c r="FJ4" t="e">
        <f>AND(#REF!,"AAAAAH7n/qU=")</f>
        <v>#REF!</v>
      </c>
      <c r="FK4" t="e">
        <f>AND(#REF!,"AAAAAH7n/qY=")</f>
        <v>#REF!</v>
      </c>
      <c r="FL4" t="e">
        <f>AND(#REF!,"AAAAAH7n/qc=")</f>
        <v>#REF!</v>
      </c>
      <c r="FM4" t="e">
        <f>AND(#REF!,"AAAAAH7n/qg=")</f>
        <v>#REF!</v>
      </c>
      <c r="FN4" t="e">
        <f>AND(#REF!,"AAAAAH7n/qk=")</f>
        <v>#REF!</v>
      </c>
      <c r="FO4" t="e">
        <f>AND(#REF!,"AAAAAH7n/qo=")</f>
        <v>#REF!</v>
      </c>
      <c r="FP4" t="e">
        <f>AND(#REF!,"AAAAAH7n/qs=")</f>
        <v>#REF!</v>
      </c>
      <c r="FQ4" t="e">
        <f>AND(#REF!,"AAAAAH7n/qw=")</f>
        <v>#REF!</v>
      </c>
      <c r="FR4" t="e">
        <f>AND(#REF!,"AAAAAH7n/q0=")</f>
        <v>#REF!</v>
      </c>
      <c r="FS4" t="e">
        <f>IF(#REF!,"AAAAAH7n/q4=",0)</f>
        <v>#REF!</v>
      </c>
      <c r="FT4" t="e">
        <f>AND(#REF!,"AAAAAH7n/q8=")</f>
        <v>#REF!</v>
      </c>
      <c r="FU4" t="e">
        <f>AND(#REF!,"AAAAAH7n/rA=")</f>
        <v>#REF!</v>
      </c>
      <c r="FV4" t="e">
        <f>AND(#REF!,"AAAAAH7n/rE=")</f>
        <v>#REF!</v>
      </c>
      <c r="FW4" t="e">
        <f>AND(#REF!,"AAAAAH7n/rI=")</f>
        <v>#REF!</v>
      </c>
      <c r="FX4" t="e">
        <f>AND(#REF!,"AAAAAH7n/rM=")</f>
        <v>#REF!</v>
      </c>
      <c r="FY4" t="e">
        <f>AND(#REF!,"AAAAAH7n/rQ=")</f>
        <v>#REF!</v>
      </c>
      <c r="FZ4" t="e">
        <f>AND(#REF!,"AAAAAH7n/rU=")</f>
        <v>#REF!</v>
      </c>
      <c r="GA4" t="e">
        <f>AND(#REF!,"AAAAAH7n/rY=")</f>
        <v>#REF!</v>
      </c>
      <c r="GB4" t="e">
        <f>AND(#REF!,"AAAAAH7n/rc=")</f>
        <v>#REF!</v>
      </c>
      <c r="GC4" t="e">
        <f>AND(#REF!,"AAAAAH7n/rg=")</f>
        <v>#REF!</v>
      </c>
      <c r="GD4" t="e">
        <f>AND(#REF!,"AAAAAH7n/rk=")</f>
        <v>#REF!</v>
      </c>
      <c r="GE4" t="e">
        <f>AND(#REF!,"AAAAAH7n/ro=")</f>
        <v>#REF!</v>
      </c>
      <c r="GF4" t="e">
        <f>AND(#REF!,"AAAAAH7n/rs=")</f>
        <v>#REF!</v>
      </c>
      <c r="GG4" t="e">
        <f>AND(#REF!,"AAAAAH7n/rw=")</f>
        <v>#REF!</v>
      </c>
      <c r="GH4" t="e">
        <f>AND(#REF!,"AAAAAH7n/r0=")</f>
        <v>#REF!</v>
      </c>
      <c r="GI4" t="e">
        <f>AND(#REF!,"AAAAAH7n/r4=")</f>
        <v>#REF!</v>
      </c>
      <c r="GJ4" t="e">
        <f>AND(#REF!,"AAAAAH7n/r8=")</f>
        <v>#REF!</v>
      </c>
      <c r="GK4" t="e">
        <f>AND(#REF!,"AAAAAH7n/sA=")</f>
        <v>#REF!</v>
      </c>
      <c r="GL4" t="e">
        <f>IF(#REF!,"AAAAAH7n/sE=",0)</f>
        <v>#REF!</v>
      </c>
      <c r="GM4" t="e">
        <f>AND(#REF!,"AAAAAH7n/sI=")</f>
        <v>#REF!</v>
      </c>
      <c r="GN4" t="e">
        <f>AND(#REF!,"AAAAAH7n/sM=")</f>
        <v>#REF!</v>
      </c>
      <c r="GO4" t="e">
        <f>AND(#REF!,"AAAAAH7n/sQ=")</f>
        <v>#REF!</v>
      </c>
      <c r="GP4" t="e">
        <f>AND(#REF!,"AAAAAH7n/sU=")</f>
        <v>#REF!</v>
      </c>
      <c r="GQ4" t="e">
        <f>AND(#REF!,"AAAAAH7n/sY=")</f>
        <v>#REF!</v>
      </c>
      <c r="GR4" t="e">
        <f>AND(#REF!,"AAAAAH7n/sc=")</f>
        <v>#REF!</v>
      </c>
      <c r="GS4" t="e">
        <f>AND(#REF!,"AAAAAH7n/sg=")</f>
        <v>#REF!</v>
      </c>
      <c r="GT4" t="e">
        <f>AND(#REF!,"AAAAAH7n/sk=")</f>
        <v>#REF!</v>
      </c>
      <c r="GU4" t="e">
        <f>AND(#REF!,"AAAAAH7n/so=")</f>
        <v>#REF!</v>
      </c>
      <c r="GV4" t="e">
        <f>AND(#REF!,"AAAAAH7n/ss=")</f>
        <v>#REF!</v>
      </c>
      <c r="GW4" t="e">
        <f>AND(#REF!,"AAAAAH7n/sw=")</f>
        <v>#REF!</v>
      </c>
      <c r="GX4" t="e">
        <f>AND(#REF!,"AAAAAH7n/s0=")</f>
        <v>#REF!</v>
      </c>
      <c r="GY4" t="e">
        <f>AND(#REF!,"AAAAAH7n/s4=")</f>
        <v>#REF!</v>
      </c>
      <c r="GZ4" t="e">
        <f>AND(#REF!,"AAAAAH7n/s8=")</f>
        <v>#REF!</v>
      </c>
      <c r="HA4" t="e">
        <f>AND(#REF!,"AAAAAH7n/tA=")</f>
        <v>#REF!</v>
      </c>
      <c r="HB4" t="e">
        <f>AND(#REF!,"AAAAAH7n/tE=")</f>
        <v>#REF!</v>
      </c>
      <c r="HC4" t="e">
        <f>AND(#REF!,"AAAAAH7n/tI=")</f>
        <v>#REF!</v>
      </c>
      <c r="HD4" t="e">
        <f>AND(#REF!,"AAAAAH7n/tM=")</f>
        <v>#REF!</v>
      </c>
      <c r="HE4" t="e">
        <f>IF(#REF!,"AAAAAH7n/tQ=",0)</f>
        <v>#REF!</v>
      </c>
      <c r="HF4" t="e">
        <f>AND(#REF!,"AAAAAH7n/tU=")</f>
        <v>#REF!</v>
      </c>
      <c r="HG4" t="e">
        <f>AND(#REF!,"AAAAAH7n/tY=")</f>
        <v>#REF!</v>
      </c>
      <c r="HH4" t="e">
        <f>AND(#REF!,"AAAAAH7n/tc=")</f>
        <v>#REF!</v>
      </c>
      <c r="HI4" t="e">
        <f>AND(#REF!,"AAAAAH7n/tg=")</f>
        <v>#REF!</v>
      </c>
      <c r="HJ4" t="e">
        <f>AND(#REF!,"AAAAAH7n/tk=")</f>
        <v>#REF!</v>
      </c>
      <c r="HK4" t="e">
        <f>AND(#REF!,"AAAAAH7n/to=")</f>
        <v>#REF!</v>
      </c>
      <c r="HL4" t="e">
        <f>AND(#REF!,"AAAAAH7n/ts=")</f>
        <v>#REF!</v>
      </c>
      <c r="HM4" t="e">
        <f>AND(#REF!,"AAAAAH7n/tw=")</f>
        <v>#REF!</v>
      </c>
      <c r="HN4" t="e">
        <f>AND(#REF!,"AAAAAH7n/t0=")</f>
        <v>#REF!</v>
      </c>
      <c r="HO4" t="e">
        <f>AND(#REF!,"AAAAAH7n/t4=")</f>
        <v>#REF!</v>
      </c>
      <c r="HP4" t="e">
        <f>AND(#REF!,"AAAAAH7n/t8=")</f>
        <v>#REF!</v>
      </c>
      <c r="HQ4" t="e">
        <f>AND(#REF!,"AAAAAH7n/uA=")</f>
        <v>#REF!</v>
      </c>
      <c r="HR4" t="e">
        <f>AND(#REF!,"AAAAAH7n/uE=")</f>
        <v>#REF!</v>
      </c>
      <c r="HS4" t="e">
        <f>AND(#REF!,"AAAAAH7n/uI=")</f>
        <v>#REF!</v>
      </c>
      <c r="HT4" t="e">
        <f>AND(#REF!,"AAAAAH7n/uM=")</f>
        <v>#REF!</v>
      </c>
      <c r="HU4" t="e">
        <f>AND(#REF!,"AAAAAH7n/uQ=")</f>
        <v>#REF!</v>
      </c>
      <c r="HV4" t="e">
        <f>AND(#REF!,"AAAAAH7n/uU=")</f>
        <v>#REF!</v>
      </c>
      <c r="HW4" t="e">
        <f>AND(#REF!,"AAAAAH7n/uY=")</f>
        <v>#REF!</v>
      </c>
      <c r="HX4" t="e">
        <f>IF(#REF!,"AAAAAH7n/uc=",0)</f>
        <v>#REF!</v>
      </c>
      <c r="HY4" t="e">
        <f>AND(#REF!,"AAAAAH7n/ug=")</f>
        <v>#REF!</v>
      </c>
      <c r="HZ4" t="e">
        <f>AND(#REF!,"AAAAAH7n/uk=")</f>
        <v>#REF!</v>
      </c>
      <c r="IA4" t="e">
        <f>AND(#REF!,"AAAAAH7n/uo=")</f>
        <v>#REF!</v>
      </c>
      <c r="IB4" t="e">
        <f>AND(#REF!,"AAAAAH7n/us=")</f>
        <v>#REF!</v>
      </c>
      <c r="IC4" t="e">
        <f>AND(#REF!,"AAAAAH7n/uw=")</f>
        <v>#REF!</v>
      </c>
      <c r="ID4" t="e">
        <f>AND(#REF!,"AAAAAH7n/u0=")</f>
        <v>#REF!</v>
      </c>
      <c r="IE4" t="e">
        <f>AND(#REF!,"AAAAAH7n/u4=")</f>
        <v>#REF!</v>
      </c>
      <c r="IF4" t="e">
        <f>AND(#REF!,"AAAAAH7n/u8=")</f>
        <v>#REF!</v>
      </c>
      <c r="IG4" t="e">
        <f>AND(#REF!,"AAAAAH7n/vA=")</f>
        <v>#REF!</v>
      </c>
      <c r="IH4" t="e">
        <f>AND(#REF!,"AAAAAH7n/vE=")</f>
        <v>#REF!</v>
      </c>
      <c r="II4" t="e">
        <f>AND(#REF!,"AAAAAH7n/vI=")</f>
        <v>#REF!</v>
      </c>
      <c r="IJ4" t="e">
        <f>AND(#REF!,"AAAAAH7n/vM=")</f>
        <v>#REF!</v>
      </c>
      <c r="IK4" t="e">
        <f>AND(#REF!,"AAAAAH7n/vQ=")</f>
        <v>#REF!</v>
      </c>
      <c r="IL4" t="e">
        <f>AND(#REF!,"AAAAAH7n/vU=")</f>
        <v>#REF!</v>
      </c>
      <c r="IM4" t="e">
        <f>AND(#REF!,"AAAAAH7n/vY=")</f>
        <v>#REF!</v>
      </c>
      <c r="IN4" t="e">
        <f>AND(#REF!,"AAAAAH7n/vc=")</f>
        <v>#REF!</v>
      </c>
      <c r="IO4" t="e">
        <f>AND(#REF!,"AAAAAH7n/vg=")</f>
        <v>#REF!</v>
      </c>
      <c r="IP4" t="e">
        <f>AND(#REF!,"AAAAAH7n/vk=")</f>
        <v>#REF!</v>
      </c>
      <c r="IQ4" t="e">
        <f>IF(#REF!,"AAAAAH7n/vo=",0)</f>
        <v>#REF!</v>
      </c>
      <c r="IR4" t="e">
        <f>AND(#REF!,"AAAAAH7n/vs=")</f>
        <v>#REF!</v>
      </c>
      <c r="IS4" t="e">
        <f>AND(#REF!,"AAAAAH7n/vw=")</f>
        <v>#REF!</v>
      </c>
      <c r="IT4" t="e">
        <f>AND(#REF!,"AAAAAH7n/v0=")</f>
        <v>#REF!</v>
      </c>
      <c r="IU4" t="e">
        <f>AND(#REF!,"AAAAAH7n/v4=")</f>
        <v>#REF!</v>
      </c>
      <c r="IV4" t="e">
        <f>AND(#REF!,"AAAAAH7n/v8=")</f>
        <v>#REF!</v>
      </c>
    </row>
    <row r="5" spans="1:256">
      <c r="A5" t="e">
        <f>AND(#REF!,"AAAAAE//cgA=")</f>
        <v>#REF!</v>
      </c>
      <c r="B5" t="e">
        <f>AND(#REF!,"AAAAAE//cgE=")</f>
        <v>#REF!</v>
      </c>
      <c r="C5" t="e">
        <f>AND(#REF!,"AAAAAE//cgI=")</f>
        <v>#REF!</v>
      </c>
      <c r="D5" t="e">
        <f>AND(#REF!,"AAAAAE//cgM=")</f>
        <v>#REF!</v>
      </c>
      <c r="E5" t="e">
        <f>AND(#REF!,"AAAAAE//cgQ=")</f>
        <v>#REF!</v>
      </c>
      <c r="F5" t="e">
        <f>AND(#REF!,"AAAAAE//cgU=")</f>
        <v>#REF!</v>
      </c>
      <c r="G5" t="e">
        <f>AND(#REF!,"AAAAAE//cgY=")</f>
        <v>#REF!</v>
      </c>
      <c r="H5" t="e">
        <f>AND(#REF!,"AAAAAE//cgc=")</f>
        <v>#REF!</v>
      </c>
      <c r="I5" t="e">
        <f>AND(#REF!,"AAAAAE//cgg=")</f>
        <v>#REF!</v>
      </c>
      <c r="J5" t="e">
        <f>AND(#REF!,"AAAAAE//cgk=")</f>
        <v>#REF!</v>
      </c>
      <c r="K5" t="e">
        <f>AND(#REF!,"AAAAAE//cgo=")</f>
        <v>#REF!</v>
      </c>
      <c r="L5" t="e">
        <f>AND(#REF!,"AAAAAE//cgs=")</f>
        <v>#REF!</v>
      </c>
      <c r="M5" t="e">
        <f>AND(#REF!,"AAAAAE//cgw=")</f>
        <v>#REF!</v>
      </c>
      <c r="N5" t="e">
        <f>IF(#REF!,"AAAAAE//cg0=",0)</f>
        <v>#REF!</v>
      </c>
      <c r="O5" t="e">
        <f>AND(#REF!,"AAAAAE//cg4=")</f>
        <v>#REF!</v>
      </c>
      <c r="P5" t="e">
        <f>AND(#REF!,"AAAAAE//cg8=")</f>
        <v>#REF!</v>
      </c>
      <c r="Q5" t="e">
        <f>AND(#REF!,"AAAAAE//chA=")</f>
        <v>#REF!</v>
      </c>
      <c r="R5" t="e">
        <f>AND(#REF!,"AAAAAE//chE=")</f>
        <v>#REF!</v>
      </c>
      <c r="S5" t="e">
        <f>AND(#REF!,"AAAAAE//chI=")</f>
        <v>#REF!</v>
      </c>
      <c r="T5" t="e">
        <f>AND(#REF!,"AAAAAE//chM=")</f>
        <v>#REF!</v>
      </c>
      <c r="U5" t="e">
        <f>AND(#REF!,"AAAAAE//chQ=")</f>
        <v>#REF!</v>
      </c>
      <c r="V5" t="e">
        <f>AND(#REF!,"AAAAAE//chU=")</f>
        <v>#REF!</v>
      </c>
      <c r="W5" t="e">
        <f>AND(#REF!,"AAAAAE//chY=")</f>
        <v>#REF!</v>
      </c>
      <c r="X5" t="e">
        <f>AND(#REF!,"AAAAAE//chc=")</f>
        <v>#REF!</v>
      </c>
      <c r="Y5" t="e">
        <f>AND(#REF!,"AAAAAE//chg=")</f>
        <v>#REF!</v>
      </c>
      <c r="Z5" t="e">
        <f>AND(#REF!,"AAAAAE//chk=")</f>
        <v>#REF!</v>
      </c>
      <c r="AA5" t="e">
        <f>AND(#REF!,"AAAAAE//cho=")</f>
        <v>#REF!</v>
      </c>
      <c r="AB5" t="e">
        <f>AND(#REF!,"AAAAAE//chs=")</f>
        <v>#REF!</v>
      </c>
      <c r="AC5" t="e">
        <f>AND(#REF!,"AAAAAE//chw=")</f>
        <v>#REF!</v>
      </c>
      <c r="AD5" t="e">
        <f>AND(#REF!,"AAAAAE//ch0=")</f>
        <v>#REF!</v>
      </c>
      <c r="AE5" t="e">
        <f>AND(#REF!,"AAAAAE//ch4=")</f>
        <v>#REF!</v>
      </c>
      <c r="AF5" t="e">
        <f>AND(#REF!,"AAAAAE//ch8=")</f>
        <v>#REF!</v>
      </c>
      <c r="AG5" t="e">
        <f>IF(#REF!,"AAAAAE//ciA=",0)</f>
        <v>#REF!</v>
      </c>
      <c r="AH5" t="e">
        <f>AND(#REF!,"AAAAAE//ciE=")</f>
        <v>#REF!</v>
      </c>
      <c r="AI5" t="e">
        <f>AND(#REF!,"AAAAAE//ciI=")</f>
        <v>#REF!</v>
      </c>
      <c r="AJ5" t="e">
        <f>AND(#REF!,"AAAAAE//ciM=")</f>
        <v>#REF!</v>
      </c>
      <c r="AK5" t="e">
        <f>AND(#REF!,"AAAAAE//ciQ=")</f>
        <v>#REF!</v>
      </c>
      <c r="AL5" t="e">
        <f>AND(#REF!,"AAAAAE//ciU=")</f>
        <v>#REF!</v>
      </c>
      <c r="AM5" t="e">
        <f>AND(#REF!,"AAAAAE//ciY=")</f>
        <v>#REF!</v>
      </c>
      <c r="AN5" t="e">
        <f>AND(#REF!,"AAAAAE//cic=")</f>
        <v>#REF!</v>
      </c>
      <c r="AO5" t="e">
        <f>AND(#REF!,"AAAAAE//cig=")</f>
        <v>#REF!</v>
      </c>
      <c r="AP5" t="e">
        <f>AND(#REF!,"AAAAAE//cik=")</f>
        <v>#REF!</v>
      </c>
      <c r="AQ5" t="e">
        <f>AND(#REF!,"AAAAAE//cio=")</f>
        <v>#REF!</v>
      </c>
      <c r="AR5" t="e">
        <f>AND(#REF!,"AAAAAE//cis=")</f>
        <v>#REF!</v>
      </c>
      <c r="AS5" t="e">
        <f>AND(#REF!,"AAAAAE//ciw=")</f>
        <v>#REF!</v>
      </c>
      <c r="AT5" t="e">
        <f>AND(#REF!,"AAAAAE//ci0=")</f>
        <v>#REF!</v>
      </c>
      <c r="AU5" t="e">
        <f>AND(#REF!,"AAAAAE//ci4=")</f>
        <v>#REF!</v>
      </c>
      <c r="AV5" t="e">
        <f>AND(#REF!,"AAAAAE//ci8=")</f>
        <v>#REF!</v>
      </c>
      <c r="AW5" t="e">
        <f>AND(#REF!,"AAAAAE//cjA=")</f>
        <v>#REF!</v>
      </c>
      <c r="AX5" t="e">
        <f>AND(#REF!,"AAAAAE//cjE=")</f>
        <v>#REF!</v>
      </c>
      <c r="AY5" t="e">
        <f>AND(#REF!,"AAAAAE//cjI=")</f>
        <v>#REF!</v>
      </c>
      <c r="AZ5" t="e">
        <f>IF(#REF!,"AAAAAE//cjM=",0)</f>
        <v>#REF!</v>
      </c>
      <c r="BA5" t="e">
        <f>AND(#REF!,"AAAAAE//cjQ=")</f>
        <v>#REF!</v>
      </c>
      <c r="BB5" t="e">
        <f>AND(#REF!,"AAAAAE//cjU=")</f>
        <v>#REF!</v>
      </c>
      <c r="BC5" t="e">
        <f>AND(#REF!,"AAAAAE//cjY=")</f>
        <v>#REF!</v>
      </c>
      <c r="BD5" t="e">
        <f>AND(#REF!,"AAAAAE//cjc=")</f>
        <v>#REF!</v>
      </c>
      <c r="BE5" t="e">
        <f>AND(#REF!,"AAAAAE//cjg=")</f>
        <v>#REF!</v>
      </c>
      <c r="BF5" t="e">
        <f>AND(#REF!,"AAAAAE//cjk=")</f>
        <v>#REF!</v>
      </c>
      <c r="BG5" t="e">
        <f>AND(#REF!,"AAAAAE//cjo=")</f>
        <v>#REF!</v>
      </c>
      <c r="BH5" t="e">
        <f>AND(#REF!,"AAAAAE//cjs=")</f>
        <v>#REF!</v>
      </c>
      <c r="BI5" t="e">
        <f>AND(#REF!,"AAAAAE//cjw=")</f>
        <v>#REF!</v>
      </c>
      <c r="BJ5" t="e">
        <f>AND(#REF!,"AAAAAE//cj0=")</f>
        <v>#REF!</v>
      </c>
      <c r="BK5" t="e">
        <f>AND(#REF!,"AAAAAE//cj4=")</f>
        <v>#REF!</v>
      </c>
      <c r="BL5" t="e">
        <f>AND(#REF!,"AAAAAE//cj8=")</f>
        <v>#REF!</v>
      </c>
      <c r="BM5" t="e">
        <f>AND(#REF!,"AAAAAE//ckA=")</f>
        <v>#REF!</v>
      </c>
      <c r="BN5" t="e">
        <f>AND(#REF!,"AAAAAE//ckE=")</f>
        <v>#REF!</v>
      </c>
      <c r="BO5" t="e">
        <f>AND(#REF!,"AAAAAE//ckI=")</f>
        <v>#REF!</v>
      </c>
      <c r="BP5" t="e">
        <f>AND(#REF!,"AAAAAE//ckM=")</f>
        <v>#REF!</v>
      </c>
      <c r="BQ5" t="e">
        <f>AND(#REF!,"AAAAAE//ckQ=")</f>
        <v>#REF!</v>
      </c>
      <c r="BR5" t="e">
        <f>AND(#REF!,"AAAAAE//ckU=")</f>
        <v>#REF!</v>
      </c>
      <c r="BS5" t="e">
        <f>IF(#REF!,"AAAAAE//ckY=",0)</f>
        <v>#REF!</v>
      </c>
      <c r="BT5" t="e">
        <f>AND(#REF!,"AAAAAE//ckc=")</f>
        <v>#REF!</v>
      </c>
      <c r="BU5" t="e">
        <f>AND(#REF!,"AAAAAE//ckg=")</f>
        <v>#REF!</v>
      </c>
      <c r="BV5" t="e">
        <f>AND(#REF!,"AAAAAE//ckk=")</f>
        <v>#REF!</v>
      </c>
      <c r="BW5" t="e">
        <f>AND(#REF!,"AAAAAE//cko=")</f>
        <v>#REF!</v>
      </c>
      <c r="BX5" t="e">
        <f>AND(#REF!,"AAAAAE//cks=")</f>
        <v>#REF!</v>
      </c>
      <c r="BY5" t="e">
        <f>AND(#REF!,"AAAAAE//ckw=")</f>
        <v>#REF!</v>
      </c>
      <c r="BZ5" t="e">
        <f>AND(#REF!,"AAAAAE//ck0=")</f>
        <v>#REF!</v>
      </c>
      <c r="CA5" t="e">
        <f>AND(#REF!,"AAAAAE//ck4=")</f>
        <v>#REF!</v>
      </c>
      <c r="CB5" t="e">
        <f>AND(#REF!,"AAAAAE//ck8=")</f>
        <v>#REF!</v>
      </c>
      <c r="CC5" t="e">
        <f>AND(#REF!,"AAAAAE//clA=")</f>
        <v>#REF!</v>
      </c>
      <c r="CD5" t="e">
        <f>AND(#REF!,"AAAAAE//clE=")</f>
        <v>#REF!</v>
      </c>
      <c r="CE5" t="e">
        <f>AND(#REF!,"AAAAAE//clI=")</f>
        <v>#REF!</v>
      </c>
      <c r="CF5" t="e">
        <f>AND(#REF!,"AAAAAE//clM=")</f>
        <v>#REF!</v>
      </c>
      <c r="CG5" t="e">
        <f>AND(#REF!,"AAAAAE//clQ=")</f>
        <v>#REF!</v>
      </c>
      <c r="CH5" t="e">
        <f>AND(#REF!,"AAAAAE//clU=")</f>
        <v>#REF!</v>
      </c>
      <c r="CI5" t="e">
        <f>AND(#REF!,"AAAAAE//clY=")</f>
        <v>#REF!</v>
      </c>
      <c r="CJ5" t="e">
        <f>AND(#REF!,"AAAAAE//clc=")</f>
        <v>#REF!</v>
      </c>
      <c r="CK5" t="e">
        <f>AND(#REF!,"AAAAAE//clg=")</f>
        <v>#REF!</v>
      </c>
      <c r="CL5" t="e">
        <f>IF(#REF!,"AAAAAE//clk=",0)</f>
        <v>#REF!</v>
      </c>
      <c r="CM5" t="e">
        <f>AND(#REF!,"AAAAAE//clo=")</f>
        <v>#REF!</v>
      </c>
      <c r="CN5" t="e">
        <f>AND(#REF!,"AAAAAE//cls=")</f>
        <v>#REF!</v>
      </c>
      <c r="CO5" t="e">
        <f>AND(#REF!,"AAAAAE//clw=")</f>
        <v>#REF!</v>
      </c>
      <c r="CP5" t="e">
        <f>AND(#REF!,"AAAAAE//cl0=")</f>
        <v>#REF!</v>
      </c>
      <c r="CQ5" t="e">
        <f>AND(#REF!,"AAAAAE//cl4=")</f>
        <v>#REF!</v>
      </c>
      <c r="CR5" t="e">
        <f>AND(#REF!,"AAAAAE//cl8=")</f>
        <v>#REF!</v>
      </c>
      <c r="CS5" t="e">
        <f>AND(#REF!,"AAAAAE//cmA=")</f>
        <v>#REF!</v>
      </c>
      <c r="CT5" t="e">
        <f>AND(#REF!,"AAAAAE//cmE=")</f>
        <v>#REF!</v>
      </c>
      <c r="CU5" t="e">
        <f>AND(#REF!,"AAAAAE//cmI=")</f>
        <v>#REF!</v>
      </c>
      <c r="CV5" t="e">
        <f>AND(#REF!,"AAAAAE//cmM=")</f>
        <v>#REF!</v>
      </c>
      <c r="CW5" t="e">
        <f>AND(#REF!,"AAAAAE//cmQ=")</f>
        <v>#REF!</v>
      </c>
      <c r="CX5" t="e">
        <f>AND(#REF!,"AAAAAE//cmU=")</f>
        <v>#REF!</v>
      </c>
      <c r="CY5" t="e">
        <f>AND(#REF!,"AAAAAE//cmY=")</f>
        <v>#REF!</v>
      </c>
      <c r="CZ5" t="e">
        <f>AND(#REF!,"AAAAAE//cmc=")</f>
        <v>#REF!</v>
      </c>
      <c r="DA5" t="e">
        <f>AND(#REF!,"AAAAAE//cmg=")</f>
        <v>#REF!</v>
      </c>
      <c r="DB5" t="e">
        <f>AND(#REF!,"AAAAAE//cmk=")</f>
        <v>#REF!</v>
      </c>
      <c r="DC5" t="e">
        <f>AND(#REF!,"AAAAAE//cmo=")</f>
        <v>#REF!</v>
      </c>
      <c r="DD5" t="e">
        <f>AND(#REF!,"AAAAAE//cms=")</f>
        <v>#REF!</v>
      </c>
      <c r="DE5" t="e">
        <f>IF(#REF!,"AAAAAE//cmw=",0)</f>
        <v>#REF!</v>
      </c>
      <c r="DF5" t="e">
        <f>AND(#REF!,"AAAAAE//cm0=")</f>
        <v>#REF!</v>
      </c>
      <c r="DG5" t="e">
        <f>AND(#REF!,"AAAAAE//cm4=")</f>
        <v>#REF!</v>
      </c>
      <c r="DH5" t="e">
        <f>AND(#REF!,"AAAAAE//cm8=")</f>
        <v>#REF!</v>
      </c>
      <c r="DI5" t="e">
        <f>AND(#REF!,"AAAAAE//cnA=")</f>
        <v>#REF!</v>
      </c>
      <c r="DJ5" t="e">
        <f>AND(#REF!,"AAAAAE//cnE=")</f>
        <v>#REF!</v>
      </c>
      <c r="DK5" t="e">
        <f>AND(#REF!,"AAAAAE//cnI=")</f>
        <v>#REF!</v>
      </c>
      <c r="DL5" t="e">
        <f>AND(#REF!,"AAAAAE//cnM=")</f>
        <v>#REF!</v>
      </c>
      <c r="DM5" t="e">
        <f>AND(#REF!,"AAAAAE//cnQ=")</f>
        <v>#REF!</v>
      </c>
      <c r="DN5" t="e">
        <f>AND(#REF!,"AAAAAE//cnU=")</f>
        <v>#REF!</v>
      </c>
      <c r="DO5" t="e">
        <f>AND(#REF!,"AAAAAE//cnY=")</f>
        <v>#REF!</v>
      </c>
      <c r="DP5" t="e">
        <f>AND(#REF!,"AAAAAE//cnc=")</f>
        <v>#REF!</v>
      </c>
      <c r="DQ5" t="e">
        <f>AND(#REF!,"AAAAAE//cng=")</f>
        <v>#REF!</v>
      </c>
      <c r="DR5" t="e">
        <f>AND(#REF!,"AAAAAE//cnk=")</f>
        <v>#REF!</v>
      </c>
      <c r="DS5" t="e">
        <f>AND(#REF!,"AAAAAE//cno=")</f>
        <v>#REF!</v>
      </c>
      <c r="DT5" t="e">
        <f>AND(#REF!,"AAAAAE//cns=")</f>
        <v>#REF!</v>
      </c>
      <c r="DU5" t="e">
        <f>AND(#REF!,"AAAAAE//cnw=")</f>
        <v>#REF!</v>
      </c>
      <c r="DV5" t="e">
        <f>AND(#REF!,"AAAAAE//cn0=")</f>
        <v>#REF!</v>
      </c>
      <c r="DW5" t="e">
        <f>AND(#REF!,"AAAAAE//cn4=")</f>
        <v>#REF!</v>
      </c>
      <c r="DX5" t="e">
        <f>IF(#REF!,"AAAAAE//cn8=",0)</f>
        <v>#REF!</v>
      </c>
      <c r="DY5" t="e">
        <f>AND(#REF!,"AAAAAE//coA=")</f>
        <v>#REF!</v>
      </c>
      <c r="DZ5" t="e">
        <f>AND(#REF!,"AAAAAE//coE=")</f>
        <v>#REF!</v>
      </c>
      <c r="EA5" t="e">
        <f>AND(#REF!,"AAAAAE//coI=")</f>
        <v>#REF!</v>
      </c>
      <c r="EB5" t="e">
        <f>AND(#REF!,"AAAAAE//coM=")</f>
        <v>#REF!</v>
      </c>
      <c r="EC5" t="e">
        <f>AND(#REF!,"AAAAAE//coQ=")</f>
        <v>#REF!</v>
      </c>
      <c r="ED5" t="e">
        <f>AND(#REF!,"AAAAAE//coU=")</f>
        <v>#REF!</v>
      </c>
      <c r="EE5" t="e">
        <f>AND(#REF!,"AAAAAE//coY=")</f>
        <v>#REF!</v>
      </c>
      <c r="EF5" t="e">
        <f>AND(#REF!,"AAAAAE//coc=")</f>
        <v>#REF!</v>
      </c>
      <c r="EG5" t="e">
        <f>AND(#REF!,"AAAAAE//cog=")</f>
        <v>#REF!</v>
      </c>
      <c r="EH5" t="e">
        <f>AND(#REF!,"AAAAAE//cok=")</f>
        <v>#REF!</v>
      </c>
      <c r="EI5" t="e">
        <f>AND(#REF!,"AAAAAE//coo=")</f>
        <v>#REF!</v>
      </c>
      <c r="EJ5" t="e">
        <f>AND(#REF!,"AAAAAE//cos=")</f>
        <v>#REF!</v>
      </c>
      <c r="EK5" t="e">
        <f>AND(#REF!,"AAAAAE//cow=")</f>
        <v>#REF!</v>
      </c>
      <c r="EL5" t="e">
        <f>AND(#REF!,"AAAAAE//co0=")</f>
        <v>#REF!</v>
      </c>
      <c r="EM5" t="e">
        <f>AND(#REF!,"AAAAAE//co4=")</f>
        <v>#REF!</v>
      </c>
      <c r="EN5" t="e">
        <f>AND(#REF!,"AAAAAE//co8=")</f>
        <v>#REF!</v>
      </c>
      <c r="EO5" t="e">
        <f>AND(#REF!,"AAAAAE//cpA=")</f>
        <v>#REF!</v>
      </c>
      <c r="EP5" t="e">
        <f>AND(#REF!,"AAAAAE//cpE=")</f>
        <v>#REF!</v>
      </c>
      <c r="EQ5" t="e">
        <f>IF(#REF!,"AAAAAE//cpI=",0)</f>
        <v>#REF!</v>
      </c>
      <c r="ER5" t="e">
        <f>AND(#REF!,"AAAAAE//cpM=")</f>
        <v>#REF!</v>
      </c>
      <c r="ES5" t="e">
        <f>AND(#REF!,"AAAAAE//cpQ=")</f>
        <v>#REF!</v>
      </c>
      <c r="ET5" t="e">
        <f>AND(#REF!,"AAAAAE//cpU=")</f>
        <v>#REF!</v>
      </c>
      <c r="EU5" t="e">
        <f>AND(#REF!,"AAAAAE//cpY=")</f>
        <v>#REF!</v>
      </c>
      <c r="EV5" t="e">
        <f>AND(#REF!,"AAAAAE//cpc=")</f>
        <v>#REF!</v>
      </c>
      <c r="EW5" t="e">
        <f>AND(#REF!,"AAAAAE//cpg=")</f>
        <v>#REF!</v>
      </c>
      <c r="EX5" t="e">
        <f>AND(#REF!,"AAAAAE//cpk=")</f>
        <v>#REF!</v>
      </c>
      <c r="EY5" t="e">
        <f>AND(#REF!,"AAAAAE//cpo=")</f>
        <v>#REF!</v>
      </c>
      <c r="EZ5" t="e">
        <f>AND(#REF!,"AAAAAE//cps=")</f>
        <v>#REF!</v>
      </c>
      <c r="FA5" t="e">
        <f>AND(#REF!,"AAAAAE//cpw=")</f>
        <v>#REF!</v>
      </c>
      <c r="FB5" t="e">
        <f>AND(#REF!,"AAAAAE//cp0=")</f>
        <v>#REF!</v>
      </c>
      <c r="FC5" t="e">
        <f>AND(#REF!,"AAAAAE//cp4=")</f>
        <v>#REF!</v>
      </c>
      <c r="FD5" t="e">
        <f>AND(#REF!,"AAAAAE//cp8=")</f>
        <v>#REF!</v>
      </c>
      <c r="FE5" t="e">
        <f>AND(#REF!,"AAAAAE//cqA=")</f>
        <v>#REF!</v>
      </c>
      <c r="FF5" t="e">
        <f>AND(#REF!,"AAAAAE//cqE=")</f>
        <v>#REF!</v>
      </c>
      <c r="FG5" t="e">
        <f>AND(#REF!,"AAAAAE//cqI=")</f>
        <v>#REF!</v>
      </c>
      <c r="FH5" t="e">
        <f>AND(#REF!,"AAAAAE//cqM=")</f>
        <v>#REF!</v>
      </c>
      <c r="FI5" t="e">
        <f>AND(#REF!,"AAAAAE//cqQ=")</f>
        <v>#REF!</v>
      </c>
      <c r="FJ5" t="e">
        <f>IF(#REF!,"AAAAAE//cqU=",0)</f>
        <v>#REF!</v>
      </c>
      <c r="FK5" t="e">
        <f>AND(#REF!,"AAAAAE//cqY=")</f>
        <v>#REF!</v>
      </c>
      <c r="FL5" t="e">
        <f>AND(#REF!,"AAAAAE//cqc=")</f>
        <v>#REF!</v>
      </c>
      <c r="FM5" t="e">
        <f>AND(#REF!,"AAAAAE//cqg=")</f>
        <v>#REF!</v>
      </c>
      <c r="FN5" t="e">
        <f>AND(#REF!,"AAAAAE//cqk=")</f>
        <v>#REF!</v>
      </c>
      <c r="FO5" t="e">
        <f>AND(#REF!,"AAAAAE//cqo=")</f>
        <v>#REF!</v>
      </c>
      <c r="FP5" t="e">
        <f>AND(#REF!,"AAAAAE//cqs=")</f>
        <v>#REF!</v>
      </c>
      <c r="FQ5" t="e">
        <f>AND(#REF!,"AAAAAE//cqw=")</f>
        <v>#REF!</v>
      </c>
      <c r="FR5" t="e">
        <f>AND(#REF!,"AAAAAE//cq0=")</f>
        <v>#REF!</v>
      </c>
      <c r="FS5" t="e">
        <f>AND(#REF!,"AAAAAE//cq4=")</f>
        <v>#REF!</v>
      </c>
      <c r="FT5" t="e">
        <f>AND(#REF!,"AAAAAE//cq8=")</f>
        <v>#REF!</v>
      </c>
      <c r="FU5" t="e">
        <f>AND(#REF!,"AAAAAE//crA=")</f>
        <v>#REF!</v>
      </c>
      <c r="FV5" t="e">
        <f>AND(#REF!,"AAAAAE//crE=")</f>
        <v>#REF!</v>
      </c>
      <c r="FW5" t="e">
        <f>AND(#REF!,"AAAAAE//crI=")</f>
        <v>#REF!</v>
      </c>
      <c r="FX5" t="e">
        <f>AND(#REF!,"AAAAAE//crM=")</f>
        <v>#REF!</v>
      </c>
      <c r="FY5" t="e">
        <f>AND(#REF!,"AAAAAE//crQ=")</f>
        <v>#REF!</v>
      </c>
      <c r="FZ5" t="e">
        <f>AND(#REF!,"AAAAAE//crU=")</f>
        <v>#REF!</v>
      </c>
      <c r="GA5" t="e">
        <f>AND(#REF!,"AAAAAE//crY=")</f>
        <v>#REF!</v>
      </c>
      <c r="GB5" t="e">
        <f>AND(#REF!,"AAAAAE//crc=")</f>
        <v>#REF!</v>
      </c>
      <c r="GC5" t="e">
        <f>IF(#REF!,"AAAAAE//crg=",0)</f>
        <v>#REF!</v>
      </c>
      <c r="GD5" t="e">
        <f>AND(#REF!,"AAAAAE//crk=")</f>
        <v>#REF!</v>
      </c>
      <c r="GE5" t="e">
        <f>AND(#REF!,"AAAAAE//cro=")</f>
        <v>#REF!</v>
      </c>
      <c r="GF5" t="e">
        <f>AND(#REF!,"AAAAAE//crs=")</f>
        <v>#REF!</v>
      </c>
      <c r="GG5" t="e">
        <f>AND(#REF!,"AAAAAE//crw=")</f>
        <v>#REF!</v>
      </c>
      <c r="GH5" t="e">
        <f>AND(#REF!,"AAAAAE//cr0=")</f>
        <v>#REF!</v>
      </c>
      <c r="GI5" t="e">
        <f>AND(#REF!,"AAAAAE//cr4=")</f>
        <v>#REF!</v>
      </c>
      <c r="GJ5" t="e">
        <f>AND(#REF!,"AAAAAE//cr8=")</f>
        <v>#REF!</v>
      </c>
      <c r="GK5" t="e">
        <f>AND(#REF!,"AAAAAE//csA=")</f>
        <v>#REF!</v>
      </c>
      <c r="GL5" t="e">
        <f>AND(#REF!,"AAAAAE//csE=")</f>
        <v>#REF!</v>
      </c>
      <c r="GM5" t="e">
        <f>AND(#REF!,"AAAAAE//csI=")</f>
        <v>#REF!</v>
      </c>
      <c r="GN5" t="e">
        <f>AND(#REF!,"AAAAAE//csM=")</f>
        <v>#REF!</v>
      </c>
      <c r="GO5" t="e">
        <f>AND(#REF!,"AAAAAE//csQ=")</f>
        <v>#REF!</v>
      </c>
      <c r="GP5" t="e">
        <f>AND(#REF!,"AAAAAE//csU=")</f>
        <v>#REF!</v>
      </c>
      <c r="GQ5" t="e">
        <f>AND(#REF!,"AAAAAE//csY=")</f>
        <v>#REF!</v>
      </c>
      <c r="GR5" t="e">
        <f>AND(#REF!,"AAAAAE//csc=")</f>
        <v>#REF!</v>
      </c>
      <c r="GS5" t="e">
        <f>AND(#REF!,"AAAAAE//csg=")</f>
        <v>#REF!</v>
      </c>
      <c r="GT5" t="e">
        <f>AND(#REF!,"AAAAAE//csk=")</f>
        <v>#REF!</v>
      </c>
      <c r="GU5" t="e">
        <f>AND(#REF!,"AAAAAE//cso=")</f>
        <v>#REF!</v>
      </c>
      <c r="GV5" t="e">
        <f>IF(#REF!,"AAAAAE//css=",0)</f>
        <v>#REF!</v>
      </c>
      <c r="GW5" t="e">
        <f>AND(#REF!,"AAAAAE//csw=")</f>
        <v>#REF!</v>
      </c>
      <c r="GX5" t="e">
        <f>AND(#REF!,"AAAAAE//cs0=")</f>
        <v>#REF!</v>
      </c>
      <c r="GY5" t="e">
        <f>AND(#REF!,"AAAAAE//cs4=")</f>
        <v>#REF!</v>
      </c>
      <c r="GZ5" t="e">
        <f>AND(#REF!,"AAAAAE//cs8=")</f>
        <v>#REF!</v>
      </c>
      <c r="HA5" t="e">
        <f>AND(#REF!,"AAAAAE//ctA=")</f>
        <v>#REF!</v>
      </c>
      <c r="HB5" t="e">
        <f>AND(#REF!,"AAAAAE//ctE=")</f>
        <v>#REF!</v>
      </c>
      <c r="HC5" t="e">
        <f>AND(#REF!,"AAAAAE//ctI=")</f>
        <v>#REF!</v>
      </c>
      <c r="HD5" t="e">
        <f>AND(#REF!,"AAAAAE//ctM=")</f>
        <v>#REF!</v>
      </c>
      <c r="HE5" t="e">
        <f>AND(#REF!,"AAAAAE//ctQ=")</f>
        <v>#REF!</v>
      </c>
      <c r="HF5" t="e">
        <f>AND(#REF!,"AAAAAE//ctU=")</f>
        <v>#REF!</v>
      </c>
      <c r="HG5" t="e">
        <f>AND(#REF!,"AAAAAE//ctY=")</f>
        <v>#REF!</v>
      </c>
      <c r="HH5" t="e">
        <f>AND(#REF!,"AAAAAE//ctc=")</f>
        <v>#REF!</v>
      </c>
      <c r="HI5" t="e">
        <f>AND(#REF!,"AAAAAE//ctg=")</f>
        <v>#REF!</v>
      </c>
      <c r="HJ5" t="e">
        <f>AND(#REF!,"AAAAAE//ctk=")</f>
        <v>#REF!</v>
      </c>
      <c r="HK5" t="e">
        <f>AND(#REF!,"AAAAAE//cto=")</f>
        <v>#REF!</v>
      </c>
      <c r="HL5" t="e">
        <f>AND(#REF!,"AAAAAE//cts=")</f>
        <v>#REF!</v>
      </c>
      <c r="HM5" t="e">
        <f>AND(#REF!,"AAAAAE//ctw=")</f>
        <v>#REF!</v>
      </c>
      <c r="HN5" t="e">
        <f>AND(#REF!,"AAAAAE//ct0=")</f>
        <v>#REF!</v>
      </c>
      <c r="HO5" t="e">
        <f>IF(#REF!,"AAAAAE//ct4=",0)</f>
        <v>#REF!</v>
      </c>
      <c r="HP5" t="e">
        <f>AND(#REF!,"AAAAAE//ct8=")</f>
        <v>#REF!</v>
      </c>
      <c r="HQ5" t="e">
        <f>AND(#REF!,"AAAAAE//cuA=")</f>
        <v>#REF!</v>
      </c>
      <c r="HR5" t="e">
        <f>AND(#REF!,"AAAAAE//cuE=")</f>
        <v>#REF!</v>
      </c>
      <c r="HS5" t="e">
        <f>AND(#REF!,"AAAAAE//cuI=")</f>
        <v>#REF!</v>
      </c>
      <c r="HT5" t="e">
        <f>AND(#REF!,"AAAAAE//cuM=")</f>
        <v>#REF!</v>
      </c>
      <c r="HU5" t="e">
        <f>AND(#REF!,"AAAAAE//cuQ=")</f>
        <v>#REF!</v>
      </c>
      <c r="HV5" t="e">
        <f>AND(#REF!,"AAAAAE//cuU=")</f>
        <v>#REF!</v>
      </c>
      <c r="HW5" t="e">
        <f>AND(#REF!,"AAAAAE//cuY=")</f>
        <v>#REF!</v>
      </c>
      <c r="HX5" t="e">
        <f>AND(#REF!,"AAAAAE//cuc=")</f>
        <v>#REF!</v>
      </c>
      <c r="HY5" t="e">
        <f>AND(#REF!,"AAAAAE//cug=")</f>
        <v>#REF!</v>
      </c>
      <c r="HZ5" t="e">
        <f>AND(#REF!,"AAAAAE//cuk=")</f>
        <v>#REF!</v>
      </c>
      <c r="IA5" t="e">
        <f>AND(#REF!,"AAAAAE//cuo=")</f>
        <v>#REF!</v>
      </c>
      <c r="IB5" t="e">
        <f>AND(#REF!,"AAAAAE//cus=")</f>
        <v>#REF!</v>
      </c>
      <c r="IC5" t="e">
        <f>AND(#REF!,"AAAAAE//cuw=")</f>
        <v>#REF!</v>
      </c>
      <c r="ID5" t="e">
        <f>AND(#REF!,"AAAAAE//cu0=")</f>
        <v>#REF!</v>
      </c>
      <c r="IE5" t="e">
        <f>AND(#REF!,"AAAAAE//cu4=")</f>
        <v>#REF!</v>
      </c>
      <c r="IF5" t="e">
        <f>AND(#REF!,"AAAAAE//cu8=")</f>
        <v>#REF!</v>
      </c>
      <c r="IG5" t="e">
        <f>AND(#REF!,"AAAAAE//cvA=")</f>
        <v>#REF!</v>
      </c>
      <c r="IH5" t="e">
        <f>IF(#REF!,"AAAAAE//cvE=",0)</f>
        <v>#REF!</v>
      </c>
      <c r="II5" t="e">
        <f>AND(#REF!,"AAAAAE//cvI=")</f>
        <v>#REF!</v>
      </c>
      <c r="IJ5" t="e">
        <f>AND(#REF!,"AAAAAE//cvM=")</f>
        <v>#REF!</v>
      </c>
      <c r="IK5" t="e">
        <f>AND(#REF!,"AAAAAE//cvQ=")</f>
        <v>#REF!</v>
      </c>
      <c r="IL5" t="e">
        <f>AND(#REF!,"AAAAAE//cvU=")</f>
        <v>#REF!</v>
      </c>
      <c r="IM5" t="e">
        <f>AND(#REF!,"AAAAAE//cvY=")</f>
        <v>#REF!</v>
      </c>
      <c r="IN5" t="e">
        <f>AND(#REF!,"AAAAAE//cvc=")</f>
        <v>#REF!</v>
      </c>
      <c r="IO5" t="e">
        <f>AND(#REF!,"AAAAAE//cvg=")</f>
        <v>#REF!</v>
      </c>
      <c r="IP5" t="e">
        <f>AND(#REF!,"AAAAAE//cvk=")</f>
        <v>#REF!</v>
      </c>
      <c r="IQ5" t="e">
        <f>AND(#REF!,"AAAAAE//cvo=")</f>
        <v>#REF!</v>
      </c>
      <c r="IR5" t="e">
        <f>AND(#REF!,"AAAAAE//cvs=")</f>
        <v>#REF!</v>
      </c>
      <c r="IS5" t="e">
        <f>AND(#REF!,"AAAAAE//cvw=")</f>
        <v>#REF!</v>
      </c>
      <c r="IT5" t="e">
        <f>AND(#REF!,"AAAAAE//cv0=")</f>
        <v>#REF!</v>
      </c>
      <c r="IU5" t="e">
        <f>AND(#REF!,"AAAAAE//cv4=")</f>
        <v>#REF!</v>
      </c>
      <c r="IV5" t="e">
        <f>AND(#REF!,"AAAAAE//cv8=")</f>
        <v>#REF!</v>
      </c>
    </row>
    <row r="6" spans="1:256">
      <c r="A6" t="e">
        <f>AND(#REF!,"AAAAAD/z/gA=")</f>
        <v>#REF!</v>
      </c>
      <c r="B6" t="e">
        <f>AND(#REF!,"AAAAAD/z/gE=")</f>
        <v>#REF!</v>
      </c>
      <c r="C6" t="e">
        <f>AND(#REF!,"AAAAAD/z/gI=")</f>
        <v>#REF!</v>
      </c>
      <c r="D6" t="e">
        <f>AND(#REF!,"AAAAAD/z/gM=")</f>
        <v>#REF!</v>
      </c>
      <c r="E6" t="e">
        <f>IF(#REF!,"AAAAAD/z/gQ=",0)</f>
        <v>#REF!</v>
      </c>
      <c r="F6" t="e">
        <f>AND(#REF!,"AAAAAD/z/gU=")</f>
        <v>#REF!</v>
      </c>
      <c r="G6" t="e">
        <f>AND(#REF!,"AAAAAD/z/gY=")</f>
        <v>#REF!</v>
      </c>
      <c r="H6" t="e">
        <f>AND(#REF!,"AAAAAD/z/gc=")</f>
        <v>#REF!</v>
      </c>
      <c r="I6" t="e">
        <f>AND(#REF!,"AAAAAD/z/gg=")</f>
        <v>#REF!</v>
      </c>
      <c r="J6" t="e">
        <f>AND(#REF!,"AAAAAD/z/gk=")</f>
        <v>#REF!</v>
      </c>
      <c r="K6" t="e">
        <f>AND(#REF!,"AAAAAD/z/go=")</f>
        <v>#REF!</v>
      </c>
      <c r="L6" t="e">
        <f>AND(#REF!,"AAAAAD/z/gs=")</f>
        <v>#REF!</v>
      </c>
      <c r="M6" t="e">
        <f>AND(#REF!,"AAAAAD/z/gw=")</f>
        <v>#REF!</v>
      </c>
      <c r="N6" t="e">
        <f>AND(#REF!,"AAAAAD/z/g0=")</f>
        <v>#REF!</v>
      </c>
      <c r="O6" t="e">
        <f>AND(#REF!,"AAAAAD/z/g4=")</f>
        <v>#REF!</v>
      </c>
      <c r="P6" t="e">
        <f>AND(#REF!,"AAAAAD/z/g8=")</f>
        <v>#REF!</v>
      </c>
      <c r="Q6" t="e">
        <f>AND(#REF!,"AAAAAD/z/hA=")</f>
        <v>#REF!</v>
      </c>
      <c r="R6" t="e">
        <f>AND(#REF!,"AAAAAD/z/hE=")</f>
        <v>#REF!</v>
      </c>
      <c r="S6" t="e">
        <f>AND(#REF!,"AAAAAD/z/hI=")</f>
        <v>#REF!</v>
      </c>
      <c r="T6" t="e">
        <f>AND(#REF!,"AAAAAD/z/hM=")</f>
        <v>#REF!</v>
      </c>
      <c r="U6" t="e">
        <f>AND(#REF!,"AAAAAD/z/hQ=")</f>
        <v>#REF!</v>
      </c>
      <c r="V6" t="e">
        <f>AND(#REF!,"AAAAAD/z/hU=")</f>
        <v>#REF!</v>
      </c>
      <c r="W6" t="e">
        <f>AND(#REF!,"AAAAAD/z/hY=")</f>
        <v>#REF!</v>
      </c>
      <c r="X6" t="e">
        <f>IF(#REF!,"AAAAAD/z/hc=",0)</f>
        <v>#REF!</v>
      </c>
      <c r="Y6" t="e">
        <f>AND(#REF!,"AAAAAD/z/hg=")</f>
        <v>#REF!</v>
      </c>
      <c r="Z6" t="e">
        <f>AND(#REF!,"AAAAAD/z/hk=")</f>
        <v>#REF!</v>
      </c>
      <c r="AA6" t="e">
        <f>AND(#REF!,"AAAAAD/z/ho=")</f>
        <v>#REF!</v>
      </c>
      <c r="AB6" t="e">
        <f>AND(#REF!,"AAAAAD/z/hs=")</f>
        <v>#REF!</v>
      </c>
      <c r="AC6" t="e">
        <f>AND(#REF!,"AAAAAD/z/hw=")</f>
        <v>#REF!</v>
      </c>
      <c r="AD6" t="e">
        <f>AND(#REF!,"AAAAAD/z/h0=")</f>
        <v>#REF!</v>
      </c>
      <c r="AE6" t="e">
        <f>AND(#REF!,"AAAAAD/z/h4=")</f>
        <v>#REF!</v>
      </c>
      <c r="AF6" t="e">
        <f>AND(#REF!,"AAAAAD/z/h8=")</f>
        <v>#REF!</v>
      </c>
      <c r="AG6" t="e">
        <f>AND(#REF!,"AAAAAD/z/iA=")</f>
        <v>#REF!</v>
      </c>
      <c r="AH6" t="e">
        <f>AND(#REF!,"AAAAAD/z/iE=")</f>
        <v>#REF!</v>
      </c>
      <c r="AI6" t="e">
        <f>AND(#REF!,"AAAAAD/z/iI=")</f>
        <v>#REF!</v>
      </c>
      <c r="AJ6" t="e">
        <f>AND(#REF!,"AAAAAD/z/iM=")</f>
        <v>#REF!</v>
      </c>
      <c r="AK6" t="e">
        <f>AND(#REF!,"AAAAAD/z/iQ=")</f>
        <v>#REF!</v>
      </c>
      <c r="AL6" t="e">
        <f>AND(#REF!,"AAAAAD/z/iU=")</f>
        <v>#REF!</v>
      </c>
      <c r="AM6" t="e">
        <f>AND(#REF!,"AAAAAD/z/iY=")</f>
        <v>#REF!</v>
      </c>
      <c r="AN6" t="e">
        <f>AND(#REF!,"AAAAAD/z/ic=")</f>
        <v>#REF!</v>
      </c>
      <c r="AO6" t="e">
        <f>AND(#REF!,"AAAAAD/z/ig=")</f>
        <v>#REF!</v>
      </c>
      <c r="AP6" t="e">
        <f>AND(#REF!,"AAAAAD/z/ik=")</f>
        <v>#REF!</v>
      </c>
      <c r="AQ6" t="e">
        <f>IF(#REF!,"AAAAAD/z/io=",0)</f>
        <v>#REF!</v>
      </c>
      <c r="AR6" t="e">
        <f>AND(#REF!,"AAAAAD/z/is=")</f>
        <v>#REF!</v>
      </c>
      <c r="AS6" t="e">
        <f>AND(#REF!,"AAAAAD/z/iw=")</f>
        <v>#REF!</v>
      </c>
      <c r="AT6" t="e">
        <f>AND(#REF!,"AAAAAD/z/i0=")</f>
        <v>#REF!</v>
      </c>
      <c r="AU6" t="e">
        <f>AND(#REF!,"AAAAAD/z/i4=")</f>
        <v>#REF!</v>
      </c>
      <c r="AV6" t="e">
        <f>AND(#REF!,"AAAAAD/z/i8=")</f>
        <v>#REF!</v>
      </c>
      <c r="AW6" t="e">
        <f>AND(#REF!,"AAAAAD/z/jA=")</f>
        <v>#REF!</v>
      </c>
      <c r="AX6" t="e">
        <f>AND(#REF!,"AAAAAD/z/jE=")</f>
        <v>#REF!</v>
      </c>
      <c r="AY6" t="e">
        <f>AND(#REF!,"AAAAAD/z/jI=")</f>
        <v>#REF!</v>
      </c>
      <c r="AZ6" t="e">
        <f>AND(#REF!,"AAAAAD/z/jM=")</f>
        <v>#REF!</v>
      </c>
      <c r="BA6" t="e">
        <f>AND(#REF!,"AAAAAD/z/jQ=")</f>
        <v>#REF!</v>
      </c>
      <c r="BB6" t="e">
        <f>AND(#REF!,"AAAAAD/z/jU=")</f>
        <v>#REF!</v>
      </c>
      <c r="BC6" t="e">
        <f>AND(#REF!,"AAAAAD/z/jY=")</f>
        <v>#REF!</v>
      </c>
      <c r="BD6" t="e">
        <f>AND(#REF!,"AAAAAD/z/jc=")</f>
        <v>#REF!</v>
      </c>
      <c r="BE6" t="e">
        <f>AND(#REF!,"AAAAAD/z/jg=")</f>
        <v>#REF!</v>
      </c>
      <c r="BF6" t="e">
        <f>AND(#REF!,"AAAAAD/z/jk=")</f>
        <v>#REF!</v>
      </c>
      <c r="BG6" t="e">
        <f>AND(#REF!,"AAAAAD/z/jo=")</f>
        <v>#REF!</v>
      </c>
      <c r="BH6" t="e">
        <f>AND(#REF!,"AAAAAD/z/js=")</f>
        <v>#REF!</v>
      </c>
      <c r="BI6" t="e">
        <f>AND(#REF!,"AAAAAD/z/jw=")</f>
        <v>#REF!</v>
      </c>
      <c r="BJ6" t="e">
        <f>IF(#REF!,"AAAAAD/z/j0=",0)</f>
        <v>#REF!</v>
      </c>
      <c r="BK6" t="e">
        <f>AND(#REF!,"AAAAAD/z/j4=")</f>
        <v>#REF!</v>
      </c>
      <c r="BL6" t="e">
        <f>AND(#REF!,"AAAAAD/z/j8=")</f>
        <v>#REF!</v>
      </c>
      <c r="BM6" t="e">
        <f>AND(#REF!,"AAAAAD/z/kA=")</f>
        <v>#REF!</v>
      </c>
      <c r="BN6" t="e">
        <f>AND(#REF!,"AAAAAD/z/kE=")</f>
        <v>#REF!</v>
      </c>
      <c r="BO6" t="e">
        <f>AND(#REF!,"AAAAAD/z/kI=")</f>
        <v>#REF!</v>
      </c>
      <c r="BP6" t="e">
        <f>AND(#REF!,"AAAAAD/z/kM=")</f>
        <v>#REF!</v>
      </c>
      <c r="BQ6" t="e">
        <f>AND(#REF!,"AAAAAD/z/kQ=")</f>
        <v>#REF!</v>
      </c>
      <c r="BR6" t="e">
        <f>AND(#REF!,"AAAAAD/z/kU=")</f>
        <v>#REF!</v>
      </c>
      <c r="BS6" t="e">
        <f>AND(#REF!,"AAAAAD/z/kY=")</f>
        <v>#REF!</v>
      </c>
      <c r="BT6" t="e">
        <f>AND(#REF!,"AAAAAD/z/kc=")</f>
        <v>#REF!</v>
      </c>
      <c r="BU6" t="e">
        <f>AND(#REF!,"AAAAAD/z/kg=")</f>
        <v>#REF!</v>
      </c>
      <c r="BV6" t="e">
        <f>AND(#REF!,"AAAAAD/z/kk=")</f>
        <v>#REF!</v>
      </c>
      <c r="BW6" t="e">
        <f>AND(#REF!,"AAAAAD/z/ko=")</f>
        <v>#REF!</v>
      </c>
      <c r="BX6" t="e">
        <f>AND(#REF!,"AAAAAD/z/ks=")</f>
        <v>#REF!</v>
      </c>
      <c r="BY6" t="e">
        <f>AND(#REF!,"AAAAAD/z/kw=")</f>
        <v>#REF!</v>
      </c>
      <c r="BZ6" t="e">
        <f>AND(#REF!,"AAAAAD/z/k0=")</f>
        <v>#REF!</v>
      </c>
      <c r="CA6" t="e">
        <f>AND(#REF!,"AAAAAD/z/k4=")</f>
        <v>#REF!</v>
      </c>
      <c r="CB6" t="e">
        <f>AND(#REF!,"AAAAAD/z/k8=")</f>
        <v>#REF!</v>
      </c>
      <c r="CC6" t="e">
        <f>IF(#REF!,"AAAAAD/z/lA=",0)</f>
        <v>#REF!</v>
      </c>
      <c r="CD6" t="e">
        <f>AND(#REF!,"AAAAAD/z/lE=")</f>
        <v>#REF!</v>
      </c>
      <c r="CE6" t="e">
        <f>AND(#REF!,"AAAAAD/z/lI=")</f>
        <v>#REF!</v>
      </c>
      <c r="CF6" t="e">
        <f>AND(#REF!,"AAAAAD/z/lM=")</f>
        <v>#REF!</v>
      </c>
      <c r="CG6" t="e">
        <f>AND(#REF!,"AAAAAD/z/lQ=")</f>
        <v>#REF!</v>
      </c>
      <c r="CH6" t="e">
        <f>AND(#REF!,"AAAAAD/z/lU=")</f>
        <v>#REF!</v>
      </c>
      <c r="CI6" t="e">
        <f>AND(#REF!,"AAAAAD/z/lY=")</f>
        <v>#REF!</v>
      </c>
      <c r="CJ6" t="e">
        <f>AND(#REF!,"AAAAAD/z/lc=")</f>
        <v>#REF!</v>
      </c>
      <c r="CK6" t="e">
        <f>AND(#REF!,"AAAAAD/z/lg=")</f>
        <v>#REF!</v>
      </c>
      <c r="CL6" t="e">
        <f>AND(#REF!,"AAAAAD/z/lk=")</f>
        <v>#REF!</v>
      </c>
      <c r="CM6" t="e">
        <f>AND(#REF!,"AAAAAD/z/lo=")</f>
        <v>#REF!</v>
      </c>
      <c r="CN6" t="e">
        <f>AND(#REF!,"AAAAAD/z/ls=")</f>
        <v>#REF!</v>
      </c>
      <c r="CO6" t="e">
        <f>AND(#REF!,"AAAAAD/z/lw=")</f>
        <v>#REF!</v>
      </c>
      <c r="CP6" t="e">
        <f>AND(#REF!,"AAAAAD/z/l0=")</f>
        <v>#REF!</v>
      </c>
      <c r="CQ6" t="e">
        <f>AND(#REF!,"AAAAAD/z/l4=")</f>
        <v>#REF!</v>
      </c>
      <c r="CR6" t="e">
        <f>AND(#REF!,"AAAAAD/z/l8=")</f>
        <v>#REF!</v>
      </c>
      <c r="CS6" t="e">
        <f>AND(#REF!,"AAAAAD/z/mA=")</f>
        <v>#REF!</v>
      </c>
      <c r="CT6" t="e">
        <f>AND(#REF!,"AAAAAD/z/mE=")</f>
        <v>#REF!</v>
      </c>
      <c r="CU6" t="e">
        <f>AND(#REF!,"AAAAAD/z/mI=")</f>
        <v>#REF!</v>
      </c>
      <c r="CV6" t="e">
        <f>IF(#REF!,"AAAAAD/z/mM=",0)</f>
        <v>#REF!</v>
      </c>
      <c r="CW6" t="e">
        <f>AND(#REF!,"AAAAAD/z/mQ=")</f>
        <v>#REF!</v>
      </c>
      <c r="CX6" t="e">
        <f>AND(#REF!,"AAAAAD/z/mU=")</f>
        <v>#REF!</v>
      </c>
      <c r="CY6" t="e">
        <f>AND(#REF!,"AAAAAD/z/mY=")</f>
        <v>#REF!</v>
      </c>
      <c r="CZ6" t="e">
        <f>AND(#REF!,"AAAAAD/z/mc=")</f>
        <v>#REF!</v>
      </c>
      <c r="DA6" t="e">
        <f>AND(#REF!,"AAAAAD/z/mg=")</f>
        <v>#REF!</v>
      </c>
      <c r="DB6" t="e">
        <f>AND(#REF!,"AAAAAD/z/mk=")</f>
        <v>#REF!</v>
      </c>
      <c r="DC6" t="e">
        <f>AND(#REF!,"AAAAAD/z/mo=")</f>
        <v>#REF!</v>
      </c>
      <c r="DD6" t="e">
        <f>AND(#REF!,"AAAAAD/z/ms=")</f>
        <v>#REF!</v>
      </c>
      <c r="DE6" t="e">
        <f>AND(#REF!,"AAAAAD/z/mw=")</f>
        <v>#REF!</v>
      </c>
      <c r="DF6" t="e">
        <f>AND(#REF!,"AAAAAD/z/m0=")</f>
        <v>#REF!</v>
      </c>
      <c r="DG6" t="e">
        <f>AND(#REF!,"AAAAAD/z/m4=")</f>
        <v>#REF!</v>
      </c>
      <c r="DH6" t="e">
        <f>AND(#REF!,"AAAAAD/z/m8=")</f>
        <v>#REF!</v>
      </c>
      <c r="DI6" t="e">
        <f>AND(#REF!,"AAAAAD/z/nA=")</f>
        <v>#REF!</v>
      </c>
      <c r="DJ6" t="e">
        <f>AND(#REF!,"AAAAAD/z/nE=")</f>
        <v>#REF!</v>
      </c>
      <c r="DK6" t="e">
        <f>AND(#REF!,"AAAAAD/z/nI=")</f>
        <v>#REF!</v>
      </c>
      <c r="DL6" t="e">
        <f>AND(#REF!,"AAAAAD/z/nM=")</f>
        <v>#REF!</v>
      </c>
      <c r="DM6" t="e">
        <f>AND(#REF!,"AAAAAD/z/nQ=")</f>
        <v>#REF!</v>
      </c>
      <c r="DN6" t="e">
        <f>AND(#REF!,"AAAAAD/z/nU=")</f>
        <v>#REF!</v>
      </c>
      <c r="DO6" t="e">
        <f>IF(#REF!,"AAAAAD/z/nY=",0)</f>
        <v>#REF!</v>
      </c>
      <c r="DP6" t="e">
        <f>AND(#REF!,"AAAAAD/z/nc=")</f>
        <v>#REF!</v>
      </c>
      <c r="DQ6" t="e">
        <f>AND(#REF!,"AAAAAD/z/ng=")</f>
        <v>#REF!</v>
      </c>
      <c r="DR6" t="e">
        <f>AND(#REF!,"AAAAAD/z/nk=")</f>
        <v>#REF!</v>
      </c>
      <c r="DS6" t="e">
        <f>AND(#REF!,"AAAAAD/z/no=")</f>
        <v>#REF!</v>
      </c>
      <c r="DT6" t="e">
        <f>AND(#REF!,"AAAAAD/z/ns=")</f>
        <v>#REF!</v>
      </c>
      <c r="DU6" t="e">
        <f>AND(#REF!,"AAAAAD/z/nw=")</f>
        <v>#REF!</v>
      </c>
      <c r="DV6" t="e">
        <f>AND(#REF!,"AAAAAD/z/n0=")</f>
        <v>#REF!</v>
      </c>
      <c r="DW6" t="e">
        <f>AND(#REF!,"AAAAAD/z/n4=")</f>
        <v>#REF!</v>
      </c>
      <c r="DX6" t="e">
        <f>AND(#REF!,"AAAAAD/z/n8=")</f>
        <v>#REF!</v>
      </c>
      <c r="DY6" t="e">
        <f>AND(#REF!,"AAAAAD/z/oA=")</f>
        <v>#REF!</v>
      </c>
      <c r="DZ6" t="e">
        <f>AND(#REF!,"AAAAAD/z/oE=")</f>
        <v>#REF!</v>
      </c>
      <c r="EA6" t="e">
        <f>AND(#REF!,"AAAAAD/z/oI=")</f>
        <v>#REF!</v>
      </c>
      <c r="EB6" t="e">
        <f>AND(#REF!,"AAAAAD/z/oM=")</f>
        <v>#REF!</v>
      </c>
      <c r="EC6" t="e">
        <f>AND(#REF!,"AAAAAD/z/oQ=")</f>
        <v>#REF!</v>
      </c>
      <c r="ED6" t="e">
        <f>AND(#REF!,"AAAAAD/z/oU=")</f>
        <v>#REF!</v>
      </c>
      <c r="EE6" t="e">
        <f>AND(#REF!,"AAAAAD/z/oY=")</f>
        <v>#REF!</v>
      </c>
      <c r="EF6" t="e">
        <f>AND(#REF!,"AAAAAD/z/oc=")</f>
        <v>#REF!</v>
      </c>
      <c r="EG6" t="e">
        <f>AND(#REF!,"AAAAAD/z/og=")</f>
        <v>#REF!</v>
      </c>
      <c r="EH6" t="e">
        <f>IF(#REF!,"AAAAAD/z/ok=",0)</f>
        <v>#REF!</v>
      </c>
      <c r="EI6" t="e">
        <f>AND(#REF!,"AAAAAD/z/oo=")</f>
        <v>#REF!</v>
      </c>
      <c r="EJ6" t="e">
        <f>AND(#REF!,"AAAAAD/z/os=")</f>
        <v>#REF!</v>
      </c>
      <c r="EK6" t="e">
        <f>AND(#REF!,"AAAAAD/z/ow=")</f>
        <v>#REF!</v>
      </c>
      <c r="EL6" t="e">
        <f>AND(#REF!,"AAAAAD/z/o0=")</f>
        <v>#REF!</v>
      </c>
      <c r="EM6" t="e">
        <f>AND(#REF!,"AAAAAD/z/o4=")</f>
        <v>#REF!</v>
      </c>
      <c r="EN6" t="e">
        <f>AND(#REF!,"AAAAAD/z/o8=")</f>
        <v>#REF!</v>
      </c>
      <c r="EO6" t="e">
        <f>AND(#REF!,"AAAAAD/z/pA=")</f>
        <v>#REF!</v>
      </c>
      <c r="EP6" t="e">
        <f>AND(#REF!,"AAAAAD/z/pE=")</f>
        <v>#REF!</v>
      </c>
      <c r="EQ6" t="e">
        <f>AND(#REF!,"AAAAAD/z/pI=")</f>
        <v>#REF!</v>
      </c>
      <c r="ER6" t="e">
        <f>AND(#REF!,"AAAAAD/z/pM=")</f>
        <v>#REF!</v>
      </c>
      <c r="ES6" t="e">
        <f>AND(#REF!,"AAAAAD/z/pQ=")</f>
        <v>#REF!</v>
      </c>
      <c r="ET6" t="e">
        <f>AND(#REF!,"AAAAAD/z/pU=")</f>
        <v>#REF!</v>
      </c>
      <c r="EU6" t="e">
        <f>AND(#REF!,"AAAAAD/z/pY=")</f>
        <v>#REF!</v>
      </c>
      <c r="EV6" t="e">
        <f>AND(#REF!,"AAAAAD/z/pc=")</f>
        <v>#REF!</v>
      </c>
      <c r="EW6" t="e">
        <f>AND(#REF!,"AAAAAD/z/pg=")</f>
        <v>#REF!</v>
      </c>
      <c r="EX6" t="e">
        <f>AND(#REF!,"AAAAAD/z/pk=")</f>
        <v>#REF!</v>
      </c>
      <c r="EY6" t="e">
        <f>AND(#REF!,"AAAAAD/z/po=")</f>
        <v>#REF!</v>
      </c>
      <c r="EZ6" t="e">
        <f>AND(#REF!,"AAAAAD/z/ps=")</f>
        <v>#REF!</v>
      </c>
      <c r="FA6" t="e">
        <f>IF(#REF!,"AAAAAD/z/pw=",0)</f>
        <v>#REF!</v>
      </c>
      <c r="FB6" t="e">
        <f>AND(#REF!,"AAAAAD/z/p0=")</f>
        <v>#REF!</v>
      </c>
      <c r="FC6" t="e">
        <f>AND(#REF!,"AAAAAD/z/p4=")</f>
        <v>#REF!</v>
      </c>
      <c r="FD6" t="e">
        <f>AND(#REF!,"AAAAAD/z/p8=")</f>
        <v>#REF!</v>
      </c>
      <c r="FE6" t="e">
        <f>AND(#REF!,"AAAAAD/z/qA=")</f>
        <v>#REF!</v>
      </c>
      <c r="FF6" t="e">
        <f>AND(#REF!,"AAAAAD/z/qE=")</f>
        <v>#REF!</v>
      </c>
      <c r="FG6" t="e">
        <f>AND(#REF!,"AAAAAD/z/qI=")</f>
        <v>#REF!</v>
      </c>
      <c r="FH6" t="e">
        <f>AND(#REF!,"AAAAAD/z/qM=")</f>
        <v>#REF!</v>
      </c>
      <c r="FI6" t="e">
        <f>AND(#REF!,"AAAAAD/z/qQ=")</f>
        <v>#REF!</v>
      </c>
      <c r="FJ6" t="e">
        <f>AND(#REF!,"AAAAAD/z/qU=")</f>
        <v>#REF!</v>
      </c>
      <c r="FK6" t="e">
        <f>AND(#REF!,"AAAAAD/z/qY=")</f>
        <v>#REF!</v>
      </c>
      <c r="FL6" t="e">
        <f>AND(#REF!,"AAAAAD/z/qc=")</f>
        <v>#REF!</v>
      </c>
      <c r="FM6" t="e">
        <f>AND(#REF!,"AAAAAD/z/qg=")</f>
        <v>#REF!</v>
      </c>
      <c r="FN6" t="e">
        <f>AND(#REF!,"AAAAAD/z/qk=")</f>
        <v>#REF!</v>
      </c>
      <c r="FO6" t="e">
        <f>AND(#REF!,"AAAAAD/z/qo=")</f>
        <v>#REF!</v>
      </c>
      <c r="FP6" t="e">
        <f>AND(#REF!,"AAAAAD/z/qs=")</f>
        <v>#REF!</v>
      </c>
      <c r="FQ6" t="e">
        <f>AND(#REF!,"AAAAAD/z/qw=")</f>
        <v>#REF!</v>
      </c>
      <c r="FR6" t="e">
        <f>AND(#REF!,"AAAAAD/z/q0=")</f>
        <v>#REF!</v>
      </c>
      <c r="FS6" t="e">
        <f>AND(#REF!,"AAAAAD/z/q4=")</f>
        <v>#REF!</v>
      </c>
      <c r="FT6" t="e">
        <f>IF(#REF!,"AAAAAD/z/q8=",0)</f>
        <v>#REF!</v>
      </c>
      <c r="FU6" t="e">
        <f>AND(#REF!,"AAAAAD/z/rA=")</f>
        <v>#REF!</v>
      </c>
      <c r="FV6" t="e">
        <f>AND(#REF!,"AAAAAD/z/rE=")</f>
        <v>#REF!</v>
      </c>
      <c r="FW6" t="e">
        <f>AND(#REF!,"AAAAAD/z/rI=")</f>
        <v>#REF!</v>
      </c>
      <c r="FX6" t="e">
        <f>AND(#REF!,"AAAAAD/z/rM=")</f>
        <v>#REF!</v>
      </c>
      <c r="FY6" t="e">
        <f>AND(#REF!,"AAAAAD/z/rQ=")</f>
        <v>#REF!</v>
      </c>
      <c r="FZ6" t="e">
        <f>AND(#REF!,"AAAAAD/z/rU=")</f>
        <v>#REF!</v>
      </c>
      <c r="GA6" t="e">
        <f>AND(#REF!,"AAAAAD/z/rY=")</f>
        <v>#REF!</v>
      </c>
      <c r="GB6" t="e">
        <f>AND(#REF!,"AAAAAD/z/rc=")</f>
        <v>#REF!</v>
      </c>
      <c r="GC6" t="e">
        <f>AND(#REF!,"AAAAAD/z/rg=")</f>
        <v>#REF!</v>
      </c>
      <c r="GD6" t="e">
        <f>AND(#REF!,"AAAAAD/z/rk=")</f>
        <v>#REF!</v>
      </c>
      <c r="GE6" t="e">
        <f>AND(#REF!,"AAAAAD/z/ro=")</f>
        <v>#REF!</v>
      </c>
      <c r="GF6" t="e">
        <f>AND(#REF!,"AAAAAD/z/rs=")</f>
        <v>#REF!</v>
      </c>
      <c r="GG6" t="e">
        <f>AND(#REF!,"AAAAAD/z/rw=")</f>
        <v>#REF!</v>
      </c>
      <c r="GH6" t="e">
        <f>AND(#REF!,"AAAAAD/z/r0=")</f>
        <v>#REF!</v>
      </c>
      <c r="GI6" t="e">
        <f>AND(#REF!,"AAAAAD/z/r4=")</f>
        <v>#REF!</v>
      </c>
      <c r="GJ6" t="e">
        <f>AND(#REF!,"AAAAAD/z/r8=")</f>
        <v>#REF!</v>
      </c>
      <c r="GK6" t="e">
        <f>AND(#REF!,"AAAAAD/z/sA=")</f>
        <v>#REF!</v>
      </c>
      <c r="GL6" t="e">
        <f>AND(#REF!,"AAAAAD/z/sE=")</f>
        <v>#REF!</v>
      </c>
      <c r="GM6" t="e">
        <f>IF(#REF!,"AAAAAD/z/sI=",0)</f>
        <v>#REF!</v>
      </c>
      <c r="GN6" t="e">
        <f>AND(#REF!,"AAAAAD/z/sM=")</f>
        <v>#REF!</v>
      </c>
      <c r="GO6" t="e">
        <f>AND(#REF!,"AAAAAD/z/sQ=")</f>
        <v>#REF!</v>
      </c>
      <c r="GP6" t="e">
        <f>AND(#REF!,"AAAAAD/z/sU=")</f>
        <v>#REF!</v>
      </c>
      <c r="GQ6" t="e">
        <f>AND(#REF!,"AAAAAD/z/sY=")</f>
        <v>#REF!</v>
      </c>
      <c r="GR6" t="e">
        <f>AND(#REF!,"AAAAAD/z/sc=")</f>
        <v>#REF!</v>
      </c>
      <c r="GS6" t="e">
        <f>AND(#REF!,"AAAAAD/z/sg=")</f>
        <v>#REF!</v>
      </c>
      <c r="GT6" t="e">
        <f>AND(#REF!,"AAAAAD/z/sk=")</f>
        <v>#REF!</v>
      </c>
      <c r="GU6" t="e">
        <f>AND(#REF!,"AAAAAD/z/so=")</f>
        <v>#REF!</v>
      </c>
      <c r="GV6" t="e">
        <f>AND(#REF!,"AAAAAD/z/ss=")</f>
        <v>#REF!</v>
      </c>
      <c r="GW6" t="e">
        <f>AND(#REF!,"AAAAAD/z/sw=")</f>
        <v>#REF!</v>
      </c>
      <c r="GX6" t="e">
        <f>AND(#REF!,"AAAAAD/z/s0=")</f>
        <v>#REF!</v>
      </c>
      <c r="GY6" t="e">
        <f>AND(#REF!,"AAAAAD/z/s4=")</f>
        <v>#REF!</v>
      </c>
      <c r="GZ6" t="e">
        <f>AND(#REF!,"AAAAAD/z/s8=")</f>
        <v>#REF!</v>
      </c>
      <c r="HA6" t="e">
        <f>AND(#REF!,"AAAAAD/z/tA=")</f>
        <v>#REF!</v>
      </c>
      <c r="HB6" t="e">
        <f>AND(#REF!,"AAAAAD/z/tE=")</f>
        <v>#REF!</v>
      </c>
      <c r="HC6" t="e">
        <f>AND(#REF!,"AAAAAD/z/tI=")</f>
        <v>#REF!</v>
      </c>
      <c r="HD6" t="e">
        <f>AND(#REF!,"AAAAAD/z/tM=")</f>
        <v>#REF!</v>
      </c>
      <c r="HE6" t="e">
        <f>AND(#REF!,"AAAAAD/z/tQ=")</f>
        <v>#REF!</v>
      </c>
      <c r="HF6" t="e">
        <f>IF(#REF!,"AAAAAD/z/tU=",0)</f>
        <v>#REF!</v>
      </c>
      <c r="HG6" t="e">
        <f>AND(#REF!,"AAAAAD/z/tY=")</f>
        <v>#REF!</v>
      </c>
      <c r="HH6" t="e">
        <f>AND(#REF!,"AAAAAD/z/tc=")</f>
        <v>#REF!</v>
      </c>
      <c r="HI6" t="e">
        <f>AND(#REF!,"AAAAAD/z/tg=")</f>
        <v>#REF!</v>
      </c>
      <c r="HJ6" t="e">
        <f>AND(#REF!,"AAAAAD/z/tk=")</f>
        <v>#REF!</v>
      </c>
      <c r="HK6" t="e">
        <f>AND(#REF!,"AAAAAD/z/to=")</f>
        <v>#REF!</v>
      </c>
      <c r="HL6" t="e">
        <f>AND(#REF!,"AAAAAD/z/ts=")</f>
        <v>#REF!</v>
      </c>
      <c r="HM6" t="e">
        <f>AND(#REF!,"AAAAAD/z/tw=")</f>
        <v>#REF!</v>
      </c>
      <c r="HN6" t="e">
        <f>AND(#REF!,"AAAAAD/z/t0=")</f>
        <v>#REF!</v>
      </c>
      <c r="HO6" t="e">
        <f>AND(#REF!,"AAAAAD/z/t4=")</f>
        <v>#REF!</v>
      </c>
      <c r="HP6" t="e">
        <f>AND(#REF!,"AAAAAD/z/t8=")</f>
        <v>#REF!</v>
      </c>
      <c r="HQ6" t="e">
        <f>AND(#REF!,"AAAAAD/z/uA=")</f>
        <v>#REF!</v>
      </c>
      <c r="HR6" t="e">
        <f>AND(#REF!,"AAAAAD/z/uE=")</f>
        <v>#REF!</v>
      </c>
      <c r="HS6" t="e">
        <f>AND(#REF!,"AAAAAD/z/uI=")</f>
        <v>#REF!</v>
      </c>
      <c r="HT6" t="e">
        <f>AND(#REF!,"AAAAAD/z/uM=")</f>
        <v>#REF!</v>
      </c>
      <c r="HU6" t="e">
        <f>AND(#REF!,"AAAAAD/z/uQ=")</f>
        <v>#REF!</v>
      </c>
      <c r="HV6" t="e">
        <f>AND(#REF!,"AAAAAD/z/uU=")</f>
        <v>#REF!</v>
      </c>
      <c r="HW6" t="e">
        <f>AND(#REF!,"AAAAAD/z/uY=")</f>
        <v>#REF!</v>
      </c>
      <c r="HX6" t="e">
        <f>AND(#REF!,"AAAAAD/z/uc=")</f>
        <v>#REF!</v>
      </c>
      <c r="HY6" t="e">
        <f>IF(#REF!,"AAAAAD/z/ug=",0)</f>
        <v>#REF!</v>
      </c>
      <c r="HZ6" t="e">
        <f>AND(#REF!,"AAAAAD/z/uk=")</f>
        <v>#REF!</v>
      </c>
      <c r="IA6" t="e">
        <f>AND(#REF!,"AAAAAD/z/uo=")</f>
        <v>#REF!</v>
      </c>
      <c r="IB6" t="e">
        <f>AND(#REF!,"AAAAAD/z/us=")</f>
        <v>#REF!</v>
      </c>
      <c r="IC6" t="e">
        <f>AND(#REF!,"AAAAAD/z/uw=")</f>
        <v>#REF!</v>
      </c>
      <c r="ID6" t="e">
        <f>AND(#REF!,"AAAAAD/z/u0=")</f>
        <v>#REF!</v>
      </c>
      <c r="IE6" t="e">
        <f>AND(#REF!,"AAAAAD/z/u4=")</f>
        <v>#REF!</v>
      </c>
      <c r="IF6" t="e">
        <f>AND(#REF!,"AAAAAD/z/u8=")</f>
        <v>#REF!</v>
      </c>
      <c r="IG6" t="e">
        <f>AND(#REF!,"AAAAAD/z/vA=")</f>
        <v>#REF!</v>
      </c>
      <c r="IH6" t="e">
        <f>AND(#REF!,"AAAAAD/z/vE=")</f>
        <v>#REF!</v>
      </c>
      <c r="II6" t="e">
        <f>AND(#REF!,"AAAAAD/z/vI=")</f>
        <v>#REF!</v>
      </c>
      <c r="IJ6" t="e">
        <f>AND(#REF!,"AAAAAD/z/vM=")</f>
        <v>#REF!</v>
      </c>
      <c r="IK6" t="e">
        <f>AND(#REF!,"AAAAAD/z/vQ=")</f>
        <v>#REF!</v>
      </c>
      <c r="IL6" t="e">
        <f>AND(#REF!,"AAAAAD/z/vU=")</f>
        <v>#REF!</v>
      </c>
      <c r="IM6" t="e">
        <f>AND(#REF!,"AAAAAD/z/vY=")</f>
        <v>#REF!</v>
      </c>
      <c r="IN6" t="e">
        <f>AND(#REF!,"AAAAAD/z/vc=")</f>
        <v>#REF!</v>
      </c>
      <c r="IO6" t="e">
        <f>AND(#REF!,"AAAAAD/z/vg=")</f>
        <v>#REF!</v>
      </c>
      <c r="IP6" t="e">
        <f>AND(#REF!,"AAAAAD/z/vk=")</f>
        <v>#REF!</v>
      </c>
      <c r="IQ6" t="e">
        <f>AND(#REF!,"AAAAAD/z/vo=")</f>
        <v>#REF!</v>
      </c>
      <c r="IR6" t="e">
        <f>IF(#REF!,"AAAAAD/z/vs=",0)</f>
        <v>#REF!</v>
      </c>
      <c r="IS6" t="e">
        <f>AND(#REF!,"AAAAAD/z/vw=")</f>
        <v>#REF!</v>
      </c>
      <c r="IT6" t="e">
        <f>AND(#REF!,"AAAAAD/z/v0=")</f>
        <v>#REF!</v>
      </c>
      <c r="IU6" t="e">
        <f>AND(#REF!,"AAAAAD/z/v4=")</f>
        <v>#REF!</v>
      </c>
      <c r="IV6" t="e">
        <f>AND(#REF!,"AAAAAD/z/v8=")</f>
        <v>#REF!</v>
      </c>
    </row>
    <row r="7" spans="1:256">
      <c r="A7" t="e">
        <f>AND(#REF!,"AAAAAHuuvwA=")</f>
        <v>#REF!</v>
      </c>
      <c r="B7" t="e">
        <f>AND(#REF!,"AAAAAHuuvwE=")</f>
        <v>#REF!</v>
      </c>
      <c r="C7" t="e">
        <f>AND(#REF!,"AAAAAHuuvwI=")</f>
        <v>#REF!</v>
      </c>
      <c r="D7" t="e">
        <f>AND(#REF!,"AAAAAHuuvwM=")</f>
        <v>#REF!</v>
      </c>
      <c r="E7" t="e">
        <f>AND(#REF!,"AAAAAHuuvwQ=")</f>
        <v>#REF!</v>
      </c>
      <c r="F7" t="e">
        <f>AND(#REF!,"AAAAAHuuvwU=")</f>
        <v>#REF!</v>
      </c>
      <c r="G7" t="e">
        <f>AND(#REF!,"AAAAAHuuvwY=")</f>
        <v>#REF!</v>
      </c>
      <c r="H7" t="e">
        <f>AND(#REF!,"AAAAAHuuvwc=")</f>
        <v>#REF!</v>
      </c>
      <c r="I7" t="e">
        <f>AND(#REF!,"AAAAAHuuvwg=")</f>
        <v>#REF!</v>
      </c>
      <c r="J7" t="e">
        <f>AND(#REF!,"AAAAAHuuvwk=")</f>
        <v>#REF!</v>
      </c>
      <c r="K7" t="e">
        <f>AND(#REF!,"AAAAAHuuvwo=")</f>
        <v>#REF!</v>
      </c>
      <c r="L7" t="e">
        <f>AND(#REF!,"AAAAAHuuvws=")</f>
        <v>#REF!</v>
      </c>
      <c r="M7" t="e">
        <f>AND(#REF!,"AAAAAHuuvww=")</f>
        <v>#REF!</v>
      </c>
      <c r="N7" t="e">
        <f>AND(#REF!,"AAAAAHuuvw0=")</f>
        <v>#REF!</v>
      </c>
      <c r="O7" t="e">
        <f>IF(#REF!,"AAAAAHuuvw4=",0)</f>
        <v>#REF!</v>
      </c>
      <c r="P7" t="e">
        <f>AND(#REF!,"AAAAAHuuvw8=")</f>
        <v>#REF!</v>
      </c>
      <c r="Q7" t="e">
        <f>AND(#REF!,"AAAAAHuuvxA=")</f>
        <v>#REF!</v>
      </c>
      <c r="R7" t="e">
        <f>AND(#REF!,"AAAAAHuuvxE=")</f>
        <v>#REF!</v>
      </c>
      <c r="S7" t="e">
        <f>AND(#REF!,"AAAAAHuuvxI=")</f>
        <v>#REF!</v>
      </c>
      <c r="T7" t="e">
        <f>AND(#REF!,"AAAAAHuuvxM=")</f>
        <v>#REF!</v>
      </c>
      <c r="U7" t="e">
        <f>AND(#REF!,"AAAAAHuuvxQ=")</f>
        <v>#REF!</v>
      </c>
      <c r="V7" t="e">
        <f>AND(#REF!,"AAAAAHuuvxU=")</f>
        <v>#REF!</v>
      </c>
      <c r="W7" t="e">
        <f>AND(#REF!,"AAAAAHuuvxY=")</f>
        <v>#REF!</v>
      </c>
      <c r="X7" t="e">
        <f>AND(#REF!,"AAAAAHuuvxc=")</f>
        <v>#REF!</v>
      </c>
      <c r="Y7" t="e">
        <f>AND(#REF!,"AAAAAHuuvxg=")</f>
        <v>#REF!</v>
      </c>
      <c r="Z7" t="e">
        <f>AND(#REF!,"AAAAAHuuvxk=")</f>
        <v>#REF!</v>
      </c>
      <c r="AA7" t="e">
        <f>AND(#REF!,"AAAAAHuuvxo=")</f>
        <v>#REF!</v>
      </c>
      <c r="AB7" t="e">
        <f>AND(#REF!,"AAAAAHuuvxs=")</f>
        <v>#REF!</v>
      </c>
      <c r="AC7" t="e">
        <f>AND(#REF!,"AAAAAHuuvxw=")</f>
        <v>#REF!</v>
      </c>
      <c r="AD7" t="e">
        <f>AND(#REF!,"AAAAAHuuvx0=")</f>
        <v>#REF!</v>
      </c>
      <c r="AE7" t="e">
        <f>AND(#REF!,"AAAAAHuuvx4=")</f>
        <v>#REF!</v>
      </c>
      <c r="AF7" t="e">
        <f>AND(#REF!,"AAAAAHuuvx8=")</f>
        <v>#REF!</v>
      </c>
      <c r="AG7" t="e">
        <f>AND(#REF!,"AAAAAHuuvyA=")</f>
        <v>#REF!</v>
      </c>
      <c r="AH7" t="e">
        <f>IF(#REF!,"AAAAAHuuvyE=",0)</f>
        <v>#REF!</v>
      </c>
      <c r="AI7" t="e">
        <f>AND(#REF!,"AAAAAHuuvyI=")</f>
        <v>#REF!</v>
      </c>
      <c r="AJ7" t="e">
        <f>AND(#REF!,"AAAAAHuuvyM=")</f>
        <v>#REF!</v>
      </c>
      <c r="AK7" t="e">
        <f>AND(#REF!,"AAAAAHuuvyQ=")</f>
        <v>#REF!</v>
      </c>
      <c r="AL7" t="e">
        <f>AND(#REF!,"AAAAAHuuvyU=")</f>
        <v>#REF!</v>
      </c>
      <c r="AM7" t="e">
        <f>AND(#REF!,"AAAAAHuuvyY=")</f>
        <v>#REF!</v>
      </c>
      <c r="AN7" t="e">
        <f>AND(#REF!,"AAAAAHuuvyc=")</f>
        <v>#REF!</v>
      </c>
      <c r="AO7" t="e">
        <f>AND(#REF!,"AAAAAHuuvyg=")</f>
        <v>#REF!</v>
      </c>
      <c r="AP7" t="e">
        <f>AND(#REF!,"AAAAAHuuvyk=")</f>
        <v>#REF!</v>
      </c>
      <c r="AQ7" t="e">
        <f>AND(#REF!,"AAAAAHuuvyo=")</f>
        <v>#REF!</v>
      </c>
      <c r="AR7" t="e">
        <f>AND(#REF!,"AAAAAHuuvys=")</f>
        <v>#REF!</v>
      </c>
      <c r="AS7" t="e">
        <f>AND(#REF!,"AAAAAHuuvyw=")</f>
        <v>#REF!</v>
      </c>
      <c r="AT7" t="e">
        <f>AND(#REF!,"AAAAAHuuvy0=")</f>
        <v>#REF!</v>
      </c>
      <c r="AU7" t="e">
        <f>AND(#REF!,"AAAAAHuuvy4=")</f>
        <v>#REF!</v>
      </c>
      <c r="AV7" t="e">
        <f>AND(#REF!,"AAAAAHuuvy8=")</f>
        <v>#REF!</v>
      </c>
      <c r="AW7" t="e">
        <f>AND(#REF!,"AAAAAHuuvzA=")</f>
        <v>#REF!</v>
      </c>
      <c r="AX7" t="e">
        <f>AND(#REF!,"AAAAAHuuvzE=")</f>
        <v>#REF!</v>
      </c>
      <c r="AY7" t="e">
        <f>AND(#REF!,"AAAAAHuuvzI=")</f>
        <v>#REF!</v>
      </c>
      <c r="AZ7" t="e">
        <f>AND(#REF!,"AAAAAHuuvzM=")</f>
        <v>#REF!</v>
      </c>
      <c r="BA7" t="e">
        <f>IF(#REF!,"AAAAAHuuvzQ=",0)</f>
        <v>#REF!</v>
      </c>
      <c r="BB7" t="e">
        <f>AND(#REF!,"AAAAAHuuvzU=")</f>
        <v>#REF!</v>
      </c>
      <c r="BC7" t="e">
        <f>AND(#REF!,"AAAAAHuuvzY=")</f>
        <v>#REF!</v>
      </c>
      <c r="BD7" t="e">
        <f>AND(#REF!,"AAAAAHuuvzc=")</f>
        <v>#REF!</v>
      </c>
      <c r="BE7" t="e">
        <f>AND(#REF!,"AAAAAHuuvzg=")</f>
        <v>#REF!</v>
      </c>
      <c r="BF7" t="e">
        <f>AND(#REF!,"AAAAAHuuvzk=")</f>
        <v>#REF!</v>
      </c>
      <c r="BG7" t="e">
        <f>AND(#REF!,"AAAAAHuuvzo=")</f>
        <v>#REF!</v>
      </c>
      <c r="BH7" t="e">
        <f>AND(#REF!,"AAAAAHuuvzs=")</f>
        <v>#REF!</v>
      </c>
      <c r="BI7" t="e">
        <f>AND(#REF!,"AAAAAHuuvzw=")</f>
        <v>#REF!</v>
      </c>
      <c r="BJ7" t="e">
        <f>AND(#REF!,"AAAAAHuuvz0=")</f>
        <v>#REF!</v>
      </c>
      <c r="BK7" t="e">
        <f>AND(#REF!,"AAAAAHuuvz4=")</f>
        <v>#REF!</v>
      </c>
      <c r="BL7" t="e">
        <f>AND(#REF!,"AAAAAHuuvz8=")</f>
        <v>#REF!</v>
      </c>
      <c r="BM7" t="e">
        <f>AND(#REF!,"AAAAAHuuv0A=")</f>
        <v>#REF!</v>
      </c>
      <c r="BN7" t="e">
        <f>AND(#REF!,"AAAAAHuuv0E=")</f>
        <v>#REF!</v>
      </c>
      <c r="BO7" t="e">
        <f>AND(#REF!,"AAAAAHuuv0I=")</f>
        <v>#REF!</v>
      </c>
      <c r="BP7" t="e">
        <f>AND(#REF!,"AAAAAHuuv0M=")</f>
        <v>#REF!</v>
      </c>
      <c r="BQ7" t="e">
        <f>AND(#REF!,"AAAAAHuuv0Q=")</f>
        <v>#REF!</v>
      </c>
      <c r="BR7" t="e">
        <f>AND(#REF!,"AAAAAHuuv0U=")</f>
        <v>#REF!</v>
      </c>
      <c r="BS7" t="e">
        <f>AND(#REF!,"AAAAAHuuv0Y=")</f>
        <v>#REF!</v>
      </c>
      <c r="BT7" t="e">
        <f>IF(#REF!,"AAAAAHuuv0c=",0)</f>
        <v>#REF!</v>
      </c>
      <c r="BU7" t="e">
        <f>AND(#REF!,"AAAAAHuuv0g=")</f>
        <v>#REF!</v>
      </c>
      <c r="BV7" t="e">
        <f>AND(#REF!,"AAAAAHuuv0k=")</f>
        <v>#REF!</v>
      </c>
      <c r="BW7" t="e">
        <f>AND(#REF!,"AAAAAHuuv0o=")</f>
        <v>#REF!</v>
      </c>
      <c r="BX7" t="e">
        <f>AND(#REF!,"AAAAAHuuv0s=")</f>
        <v>#REF!</v>
      </c>
      <c r="BY7" t="e">
        <f>AND(#REF!,"AAAAAHuuv0w=")</f>
        <v>#REF!</v>
      </c>
      <c r="BZ7" t="e">
        <f>AND(#REF!,"AAAAAHuuv00=")</f>
        <v>#REF!</v>
      </c>
      <c r="CA7" t="e">
        <f>AND(#REF!,"AAAAAHuuv04=")</f>
        <v>#REF!</v>
      </c>
      <c r="CB7" t="e">
        <f>AND(#REF!,"AAAAAHuuv08=")</f>
        <v>#REF!</v>
      </c>
      <c r="CC7" t="e">
        <f>AND(#REF!,"AAAAAHuuv1A=")</f>
        <v>#REF!</v>
      </c>
      <c r="CD7" t="e">
        <f>AND(#REF!,"AAAAAHuuv1E=")</f>
        <v>#REF!</v>
      </c>
      <c r="CE7" t="e">
        <f>AND(#REF!,"AAAAAHuuv1I=")</f>
        <v>#REF!</v>
      </c>
      <c r="CF7" t="e">
        <f>AND(#REF!,"AAAAAHuuv1M=")</f>
        <v>#REF!</v>
      </c>
      <c r="CG7" t="e">
        <f>AND(#REF!,"AAAAAHuuv1Q=")</f>
        <v>#REF!</v>
      </c>
      <c r="CH7" t="e">
        <f>AND(#REF!,"AAAAAHuuv1U=")</f>
        <v>#REF!</v>
      </c>
      <c r="CI7" t="e">
        <f>AND(#REF!,"AAAAAHuuv1Y=")</f>
        <v>#REF!</v>
      </c>
      <c r="CJ7" t="e">
        <f>AND(#REF!,"AAAAAHuuv1c=")</f>
        <v>#REF!</v>
      </c>
      <c r="CK7" t="e">
        <f>AND(#REF!,"AAAAAHuuv1g=")</f>
        <v>#REF!</v>
      </c>
      <c r="CL7" t="e">
        <f>AND(#REF!,"AAAAAHuuv1k=")</f>
        <v>#REF!</v>
      </c>
      <c r="CM7" t="e">
        <f>IF(#REF!,"AAAAAHuuv1o=",0)</f>
        <v>#REF!</v>
      </c>
      <c r="CN7" t="e">
        <f>AND(#REF!,"AAAAAHuuv1s=")</f>
        <v>#REF!</v>
      </c>
      <c r="CO7" t="e">
        <f>AND(#REF!,"AAAAAHuuv1w=")</f>
        <v>#REF!</v>
      </c>
      <c r="CP7" t="e">
        <f>AND(#REF!,"AAAAAHuuv10=")</f>
        <v>#REF!</v>
      </c>
      <c r="CQ7" t="e">
        <f>AND(#REF!,"AAAAAHuuv14=")</f>
        <v>#REF!</v>
      </c>
      <c r="CR7" t="e">
        <f>AND(#REF!,"AAAAAHuuv18=")</f>
        <v>#REF!</v>
      </c>
      <c r="CS7" t="e">
        <f>AND(#REF!,"AAAAAHuuv2A=")</f>
        <v>#REF!</v>
      </c>
      <c r="CT7" t="e">
        <f>AND(#REF!,"AAAAAHuuv2E=")</f>
        <v>#REF!</v>
      </c>
      <c r="CU7" t="e">
        <f>AND(#REF!,"AAAAAHuuv2I=")</f>
        <v>#REF!</v>
      </c>
      <c r="CV7" t="e">
        <f>AND(#REF!,"AAAAAHuuv2M=")</f>
        <v>#REF!</v>
      </c>
      <c r="CW7" t="e">
        <f>AND(#REF!,"AAAAAHuuv2Q=")</f>
        <v>#REF!</v>
      </c>
      <c r="CX7" t="e">
        <f>AND(#REF!,"AAAAAHuuv2U=")</f>
        <v>#REF!</v>
      </c>
      <c r="CY7" t="e">
        <f>AND(#REF!,"AAAAAHuuv2Y=")</f>
        <v>#REF!</v>
      </c>
      <c r="CZ7" t="e">
        <f>AND(#REF!,"AAAAAHuuv2c=")</f>
        <v>#REF!</v>
      </c>
      <c r="DA7" t="e">
        <f>AND(#REF!,"AAAAAHuuv2g=")</f>
        <v>#REF!</v>
      </c>
      <c r="DB7" t="e">
        <f>AND(#REF!,"AAAAAHuuv2k=")</f>
        <v>#REF!</v>
      </c>
      <c r="DC7" t="e">
        <f>AND(#REF!,"AAAAAHuuv2o=")</f>
        <v>#REF!</v>
      </c>
      <c r="DD7" t="e">
        <f>AND(#REF!,"AAAAAHuuv2s=")</f>
        <v>#REF!</v>
      </c>
      <c r="DE7" t="e">
        <f>AND(#REF!,"AAAAAHuuv2w=")</f>
        <v>#REF!</v>
      </c>
      <c r="DF7" t="e">
        <f>IF(#REF!,"AAAAAHuuv20=",0)</f>
        <v>#REF!</v>
      </c>
      <c r="DG7" t="e">
        <f>AND(#REF!,"AAAAAHuuv24=")</f>
        <v>#REF!</v>
      </c>
      <c r="DH7" t="e">
        <f>AND(#REF!,"AAAAAHuuv28=")</f>
        <v>#REF!</v>
      </c>
      <c r="DI7" t="e">
        <f>AND(#REF!,"AAAAAHuuv3A=")</f>
        <v>#REF!</v>
      </c>
      <c r="DJ7" t="e">
        <f>AND(#REF!,"AAAAAHuuv3E=")</f>
        <v>#REF!</v>
      </c>
      <c r="DK7" t="e">
        <f>AND(#REF!,"AAAAAHuuv3I=")</f>
        <v>#REF!</v>
      </c>
      <c r="DL7" t="e">
        <f>AND(#REF!,"AAAAAHuuv3M=")</f>
        <v>#REF!</v>
      </c>
      <c r="DM7" t="e">
        <f>AND(#REF!,"AAAAAHuuv3Q=")</f>
        <v>#REF!</v>
      </c>
      <c r="DN7" t="e">
        <f>AND(#REF!,"AAAAAHuuv3U=")</f>
        <v>#REF!</v>
      </c>
      <c r="DO7" t="e">
        <f>AND(#REF!,"AAAAAHuuv3Y=")</f>
        <v>#REF!</v>
      </c>
      <c r="DP7" t="e">
        <f>AND(#REF!,"AAAAAHuuv3c=")</f>
        <v>#REF!</v>
      </c>
      <c r="DQ7" t="e">
        <f>AND(#REF!,"AAAAAHuuv3g=")</f>
        <v>#REF!</v>
      </c>
      <c r="DR7" t="e">
        <f>AND(#REF!,"AAAAAHuuv3k=")</f>
        <v>#REF!</v>
      </c>
      <c r="DS7" t="e">
        <f>AND(#REF!,"AAAAAHuuv3o=")</f>
        <v>#REF!</v>
      </c>
      <c r="DT7" t="e">
        <f>AND(#REF!,"AAAAAHuuv3s=")</f>
        <v>#REF!</v>
      </c>
      <c r="DU7" t="e">
        <f>AND(#REF!,"AAAAAHuuv3w=")</f>
        <v>#REF!</v>
      </c>
      <c r="DV7" t="e">
        <f>AND(#REF!,"AAAAAHuuv30=")</f>
        <v>#REF!</v>
      </c>
      <c r="DW7" t="e">
        <f>AND(#REF!,"AAAAAHuuv34=")</f>
        <v>#REF!</v>
      </c>
      <c r="DX7" t="e">
        <f>AND(#REF!,"AAAAAHuuv38=")</f>
        <v>#REF!</v>
      </c>
      <c r="DY7" t="e">
        <f>IF(#REF!,"AAAAAHuuv4A=",0)</f>
        <v>#REF!</v>
      </c>
      <c r="DZ7" t="e">
        <f>IF(#REF!,"AAAAAHuuv4E=",0)</f>
        <v>#REF!</v>
      </c>
      <c r="EA7" t="e">
        <f>IF(#REF!,"AAAAAHuuv4I=",0)</f>
        <v>#REF!</v>
      </c>
      <c r="EB7" t="e">
        <f>IF(#REF!,"AAAAAHuuv4M=",0)</f>
        <v>#REF!</v>
      </c>
      <c r="EC7" t="e">
        <f>IF(#REF!,"AAAAAHuuv4Q=",0)</f>
        <v>#REF!</v>
      </c>
      <c r="ED7" t="e">
        <f>IF(#REF!,"AAAAAHuuv4U=",0)</f>
        <v>#REF!</v>
      </c>
      <c r="EE7" t="e">
        <f>IF(#REF!,"AAAAAHuuv4Y=",0)</f>
        <v>#REF!</v>
      </c>
      <c r="EF7" t="e">
        <f>IF(#REF!,"AAAAAHuuv4c=",0)</f>
        <v>#REF!</v>
      </c>
      <c r="EG7" t="e">
        <f>IF(#REF!,"AAAAAHuuv4g=",0)</f>
        <v>#REF!</v>
      </c>
      <c r="EH7" t="e">
        <f>IF(#REF!,"AAAAAHuuv4k=",0)</f>
        <v>#REF!</v>
      </c>
      <c r="EI7" t="e">
        <f>IF(#REF!,"AAAAAHuuv4o=",0)</f>
        <v>#REF!</v>
      </c>
      <c r="EJ7" t="e">
        <f>IF(#REF!,"AAAAAHuuv4s=",0)</f>
        <v>#REF!</v>
      </c>
      <c r="EK7" t="e">
        <f>IF(#REF!,"AAAAAHuuv4w=",0)</f>
        <v>#REF!</v>
      </c>
      <c r="EL7" t="e">
        <f>IF(#REF!,"AAAAAHuuv40=",0)</f>
        <v>#REF!</v>
      </c>
      <c r="EM7" t="e">
        <f>IF(#REF!,"AAAAAHuuv44=",0)</f>
        <v>#REF!</v>
      </c>
      <c r="EN7" t="e">
        <f>IF(#REF!,"AAAAAHuuv48=",0)</f>
        <v>#REF!</v>
      </c>
      <c r="EO7" t="e">
        <f>IF(#REF!,"AAAAAHuuv5A=",0)</f>
        <v>#REF!</v>
      </c>
      <c r="EP7" t="e">
        <f>IF(#REF!,"AAAAAHuuv5E=",0)</f>
        <v>#REF!</v>
      </c>
      <c r="EQ7" t="e">
        <f>IF(#REF!,"AAAAAHuuv5I=",0)</f>
        <v>#REF!</v>
      </c>
      <c r="ER7" t="e">
        <f>IF(#REF!,"AAAAAHuuv5M=",0)</f>
        <v>#REF!</v>
      </c>
      <c r="ES7" t="e">
        <f>AND(#REF!,"AAAAAHuuv5Q=")</f>
        <v>#REF!</v>
      </c>
      <c r="ET7" t="e">
        <f>AND(#REF!,"AAAAAHuuv5U=")</f>
        <v>#REF!</v>
      </c>
      <c r="EU7" t="e">
        <f>AND(#REF!,"AAAAAHuuv5Y=")</f>
        <v>#REF!</v>
      </c>
      <c r="EV7" t="e">
        <f>AND(#REF!,"AAAAAHuuv5c=")</f>
        <v>#REF!</v>
      </c>
      <c r="EW7" t="e">
        <f>AND(#REF!,"AAAAAHuuv5g=")</f>
        <v>#REF!</v>
      </c>
      <c r="EX7" t="e">
        <f>AND(#REF!,"AAAAAHuuv5k=")</f>
        <v>#REF!</v>
      </c>
      <c r="EY7" t="e">
        <f>AND(#REF!,"AAAAAHuuv5o=")</f>
        <v>#REF!</v>
      </c>
      <c r="EZ7" t="e">
        <f>AND(#REF!,"AAAAAHuuv5s=")</f>
        <v>#REF!</v>
      </c>
      <c r="FA7" t="e">
        <f>AND(#REF!,"AAAAAHuuv5w=")</f>
        <v>#REF!</v>
      </c>
      <c r="FB7" t="e">
        <f>AND(#REF!,"AAAAAHuuv50=")</f>
        <v>#REF!</v>
      </c>
      <c r="FC7" t="e">
        <f>AND(#REF!,"AAAAAHuuv54=")</f>
        <v>#REF!</v>
      </c>
      <c r="FD7" t="e">
        <f>AND(#REF!,"AAAAAHuuv58=")</f>
        <v>#REF!</v>
      </c>
      <c r="FE7" t="e">
        <f>AND(#REF!,"AAAAAHuuv6A=")</f>
        <v>#REF!</v>
      </c>
      <c r="FF7" t="e">
        <f>IF(#REF!,"AAAAAHuuv6E=",0)</f>
        <v>#REF!</v>
      </c>
      <c r="FG7" t="e">
        <f>AND(#REF!,"AAAAAHuuv6I=")</f>
        <v>#REF!</v>
      </c>
      <c r="FH7" t="e">
        <f>AND(#REF!,"AAAAAHuuv6M=")</f>
        <v>#REF!</v>
      </c>
      <c r="FI7" t="e">
        <f>AND(#REF!,"AAAAAHuuv6Q=")</f>
        <v>#REF!</v>
      </c>
      <c r="FJ7" t="e">
        <f>AND(#REF!,"AAAAAHuuv6U=")</f>
        <v>#REF!</v>
      </c>
      <c r="FK7" t="e">
        <f>AND(#REF!,"AAAAAHuuv6Y=")</f>
        <v>#REF!</v>
      </c>
      <c r="FL7" t="e">
        <f>AND(#REF!,"AAAAAHuuv6c=")</f>
        <v>#REF!</v>
      </c>
      <c r="FM7" t="e">
        <f>AND(#REF!,"AAAAAHuuv6g=")</f>
        <v>#REF!</v>
      </c>
      <c r="FN7" t="e">
        <f>AND(#REF!,"AAAAAHuuv6k=")</f>
        <v>#REF!</v>
      </c>
      <c r="FO7" t="e">
        <f>AND(#REF!,"AAAAAHuuv6o=")</f>
        <v>#REF!</v>
      </c>
      <c r="FP7" t="e">
        <f>AND(#REF!,"AAAAAHuuv6s=")</f>
        <v>#REF!</v>
      </c>
      <c r="FQ7" t="e">
        <f>AND(#REF!,"AAAAAHuuv6w=")</f>
        <v>#REF!</v>
      </c>
      <c r="FR7" t="e">
        <f>AND(#REF!,"AAAAAHuuv60=")</f>
        <v>#REF!</v>
      </c>
      <c r="FS7" t="e">
        <f>AND(#REF!,"AAAAAHuuv64=")</f>
        <v>#REF!</v>
      </c>
      <c r="FT7" t="e">
        <f>IF(#REF!,"AAAAAHuuv68=",0)</f>
        <v>#REF!</v>
      </c>
      <c r="FU7" t="e">
        <f>AND(#REF!,"AAAAAHuuv7A=")</f>
        <v>#REF!</v>
      </c>
      <c r="FV7" t="e">
        <f>AND(#REF!,"AAAAAHuuv7E=")</f>
        <v>#REF!</v>
      </c>
      <c r="FW7" t="e">
        <f>AND(#REF!,"AAAAAHuuv7I=")</f>
        <v>#REF!</v>
      </c>
      <c r="FX7" t="e">
        <f>AND(#REF!,"AAAAAHuuv7M=")</f>
        <v>#REF!</v>
      </c>
      <c r="FY7" t="e">
        <f>AND(#REF!,"AAAAAHuuv7Q=")</f>
        <v>#REF!</v>
      </c>
      <c r="FZ7" t="e">
        <f>AND(#REF!,"AAAAAHuuv7U=")</f>
        <v>#REF!</v>
      </c>
      <c r="GA7" t="e">
        <f>AND(#REF!,"AAAAAHuuv7Y=")</f>
        <v>#REF!</v>
      </c>
      <c r="GB7" t="e">
        <f>AND(#REF!,"AAAAAHuuv7c=")</f>
        <v>#REF!</v>
      </c>
      <c r="GC7" t="e">
        <f>AND(#REF!,"AAAAAHuuv7g=")</f>
        <v>#REF!</v>
      </c>
      <c r="GD7" t="e">
        <f>AND(#REF!,"AAAAAHuuv7k=")</f>
        <v>#REF!</v>
      </c>
      <c r="GE7" t="e">
        <f>AND(#REF!,"AAAAAHuuv7o=")</f>
        <v>#REF!</v>
      </c>
      <c r="GF7" t="e">
        <f>AND(#REF!,"AAAAAHuuv7s=")</f>
        <v>#REF!</v>
      </c>
      <c r="GG7" t="e">
        <f>AND(#REF!,"AAAAAHuuv7w=")</f>
        <v>#REF!</v>
      </c>
      <c r="GH7" t="e">
        <f>IF(#REF!,"AAAAAHuuv70=",0)</f>
        <v>#REF!</v>
      </c>
      <c r="GI7" t="e">
        <f>AND(#REF!,"AAAAAHuuv74=")</f>
        <v>#REF!</v>
      </c>
      <c r="GJ7" t="e">
        <f>AND(#REF!,"AAAAAHuuv78=")</f>
        <v>#REF!</v>
      </c>
      <c r="GK7" t="e">
        <f>AND(#REF!,"AAAAAHuuv8A=")</f>
        <v>#REF!</v>
      </c>
      <c r="GL7" t="e">
        <f>AND(#REF!,"AAAAAHuuv8E=")</f>
        <v>#REF!</v>
      </c>
      <c r="GM7" t="e">
        <f>AND(#REF!,"AAAAAHuuv8I=")</f>
        <v>#REF!</v>
      </c>
      <c r="GN7" t="e">
        <f>AND(#REF!,"AAAAAHuuv8M=")</f>
        <v>#REF!</v>
      </c>
      <c r="GO7" t="e">
        <f>AND(#REF!,"AAAAAHuuv8Q=")</f>
        <v>#REF!</v>
      </c>
      <c r="GP7" t="e">
        <f>AND(#REF!,"AAAAAHuuv8U=")</f>
        <v>#REF!</v>
      </c>
      <c r="GQ7" t="e">
        <f>AND(#REF!,"AAAAAHuuv8Y=")</f>
        <v>#REF!</v>
      </c>
      <c r="GR7" t="e">
        <f>AND(#REF!,"AAAAAHuuv8c=")</f>
        <v>#REF!</v>
      </c>
      <c r="GS7" t="e">
        <f>AND(#REF!,"AAAAAHuuv8g=")</f>
        <v>#REF!</v>
      </c>
      <c r="GT7" t="e">
        <f>AND(#REF!,"AAAAAHuuv8k=")</f>
        <v>#REF!</v>
      </c>
      <c r="GU7" t="e">
        <f>AND(#REF!,"AAAAAHuuv8o=")</f>
        <v>#REF!</v>
      </c>
      <c r="GV7" t="e">
        <f>IF(#REF!,"AAAAAHuuv8s=",0)</f>
        <v>#REF!</v>
      </c>
      <c r="GW7" t="e">
        <f>AND(#REF!,"AAAAAHuuv8w=")</f>
        <v>#REF!</v>
      </c>
      <c r="GX7" t="e">
        <f>AND(#REF!,"AAAAAHuuv80=")</f>
        <v>#REF!</v>
      </c>
      <c r="GY7" t="e">
        <f>AND(#REF!,"AAAAAHuuv84=")</f>
        <v>#REF!</v>
      </c>
      <c r="GZ7" t="e">
        <f>AND(#REF!,"AAAAAHuuv88=")</f>
        <v>#REF!</v>
      </c>
      <c r="HA7" t="e">
        <f>AND(#REF!,"AAAAAHuuv9A=")</f>
        <v>#REF!</v>
      </c>
      <c r="HB7" t="e">
        <f>AND(#REF!,"AAAAAHuuv9E=")</f>
        <v>#REF!</v>
      </c>
      <c r="HC7" t="e">
        <f>AND(#REF!,"AAAAAHuuv9I=")</f>
        <v>#REF!</v>
      </c>
      <c r="HD7" t="e">
        <f>AND(#REF!,"AAAAAHuuv9M=")</f>
        <v>#REF!</v>
      </c>
      <c r="HE7" t="e">
        <f>AND(#REF!,"AAAAAHuuv9Q=")</f>
        <v>#REF!</v>
      </c>
      <c r="HF7" t="e">
        <f>AND(#REF!,"AAAAAHuuv9U=")</f>
        <v>#REF!</v>
      </c>
      <c r="HG7" t="e">
        <f>AND(#REF!,"AAAAAHuuv9Y=")</f>
        <v>#REF!</v>
      </c>
      <c r="HH7" t="e">
        <f>AND(#REF!,"AAAAAHuuv9c=")</f>
        <v>#REF!</v>
      </c>
      <c r="HI7" t="e">
        <f>AND(#REF!,"AAAAAHuuv9g=")</f>
        <v>#REF!</v>
      </c>
      <c r="HJ7" t="e">
        <f>IF(#REF!,"AAAAAHuuv9k=",0)</f>
        <v>#REF!</v>
      </c>
      <c r="HK7" t="e">
        <f>AND(#REF!,"AAAAAHuuv9o=")</f>
        <v>#REF!</v>
      </c>
      <c r="HL7" t="e">
        <f>AND(#REF!,"AAAAAHuuv9s=")</f>
        <v>#REF!</v>
      </c>
      <c r="HM7" t="e">
        <f>AND(#REF!,"AAAAAHuuv9w=")</f>
        <v>#REF!</v>
      </c>
      <c r="HN7" t="e">
        <f>AND(#REF!,"AAAAAHuuv90=")</f>
        <v>#REF!</v>
      </c>
      <c r="HO7" t="e">
        <f>AND(#REF!,"AAAAAHuuv94=")</f>
        <v>#REF!</v>
      </c>
      <c r="HP7" t="e">
        <f>AND(#REF!,"AAAAAHuuv98=")</f>
        <v>#REF!</v>
      </c>
      <c r="HQ7" t="e">
        <f>AND(#REF!,"AAAAAHuuv+A=")</f>
        <v>#REF!</v>
      </c>
      <c r="HR7" t="e">
        <f>AND(#REF!,"AAAAAHuuv+E=")</f>
        <v>#REF!</v>
      </c>
      <c r="HS7" t="e">
        <f>AND(#REF!,"AAAAAHuuv+I=")</f>
        <v>#REF!</v>
      </c>
      <c r="HT7" t="e">
        <f>AND(#REF!,"AAAAAHuuv+M=")</f>
        <v>#REF!</v>
      </c>
      <c r="HU7" t="e">
        <f>AND(#REF!,"AAAAAHuuv+Q=")</f>
        <v>#REF!</v>
      </c>
      <c r="HV7" t="e">
        <f>AND(#REF!,"AAAAAHuuv+U=")</f>
        <v>#REF!</v>
      </c>
      <c r="HW7" t="e">
        <f>AND(#REF!,"AAAAAHuuv+Y=")</f>
        <v>#REF!</v>
      </c>
      <c r="HX7" t="e">
        <f>IF(#REF!,"AAAAAHuuv+c=",0)</f>
        <v>#REF!</v>
      </c>
      <c r="HY7" t="e">
        <f>AND(#REF!,"AAAAAHuuv+g=")</f>
        <v>#REF!</v>
      </c>
      <c r="HZ7" t="e">
        <f>AND(#REF!,"AAAAAHuuv+k=")</f>
        <v>#REF!</v>
      </c>
      <c r="IA7" t="e">
        <f>AND(#REF!,"AAAAAHuuv+o=")</f>
        <v>#REF!</v>
      </c>
      <c r="IB7" t="e">
        <f>AND(#REF!,"AAAAAHuuv+s=")</f>
        <v>#REF!</v>
      </c>
      <c r="IC7" t="e">
        <f>AND(#REF!,"AAAAAHuuv+w=")</f>
        <v>#REF!</v>
      </c>
      <c r="ID7" t="e">
        <f>AND(#REF!,"AAAAAHuuv+0=")</f>
        <v>#REF!</v>
      </c>
      <c r="IE7" t="e">
        <f>AND(#REF!,"AAAAAHuuv+4=")</f>
        <v>#REF!</v>
      </c>
      <c r="IF7" t="e">
        <f>AND(#REF!,"AAAAAHuuv+8=")</f>
        <v>#REF!</v>
      </c>
      <c r="IG7" t="e">
        <f>AND(#REF!,"AAAAAHuuv/A=")</f>
        <v>#REF!</v>
      </c>
      <c r="IH7" t="e">
        <f>AND(#REF!,"AAAAAHuuv/E=")</f>
        <v>#REF!</v>
      </c>
      <c r="II7" t="e">
        <f>AND(#REF!,"AAAAAHuuv/I=")</f>
        <v>#REF!</v>
      </c>
      <c r="IJ7" t="e">
        <f>AND(#REF!,"AAAAAHuuv/M=")</f>
        <v>#REF!</v>
      </c>
      <c r="IK7" t="e">
        <f>AND(#REF!,"AAAAAHuuv/Q=")</f>
        <v>#REF!</v>
      </c>
      <c r="IL7" t="e">
        <f>IF(#REF!,"AAAAAHuuv/U=",0)</f>
        <v>#REF!</v>
      </c>
      <c r="IM7" t="e">
        <f>AND(#REF!,"AAAAAHuuv/Y=")</f>
        <v>#REF!</v>
      </c>
      <c r="IN7" t="e">
        <f>AND(#REF!,"AAAAAHuuv/c=")</f>
        <v>#REF!</v>
      </c>
      <c r="IO7" t="e">
        <f>AND(#REF!,"AAAAAHuuv/g=")</f>
        <v>#REF!</v>
      </c>
      <c r="IP7" t="e">
        <f>AND(#REF!,"AAAAAHuuv/k=")</f>
        <v>#REF!</v>
      </c>
      <c r="IQ7" t="e">
        <f>AND(#REF!,"AAAAAHuuv/o=")</f>
        <v>#REF!</v>
      </c>
      <c r="IR7" t="e">
        <f>AND(#REF!,"AAAAAHuuv/s=")</f>
        <v>#REF!</v>
      </c>
      <c r="IS7" t="e">
        <f>AND(#REF!,"AAAAAHuuv/w=")</f>
        <v>#REF!</v>
      </c>
      <c r="IT7" t="e">
        <f>AND(#REF!,"AAAAAHuuv/0=")</f>
        <v>#REF!</v>
      </c>
      <c r="IU7" t="e">
        <f>AND(#REF!,"AAAAAHuuv/4=")</f>
        <v>#REF!</v>
      </c>
      <c r="IV7" t="e">
        <f>AND(#REF!,"AAAAAHuuv/8=")</f>
        <v>#REF!</v>
      </c>
    </row>
    <row r="8" spans="1:256">
      <c r="A8" t="e">
        <f>AND(#REF!,"AAAAAF7S9AA=")</f>
        <v>#REF!</v>
      </c>
      <c r="B8" t="e">
        <f>AND(#REF!,"AAAAAF7S9AE=")</f>
        <v>#REF!</v>
      </c>
      <c r="C8" t="e">
        <f>AND(#REF!,"AAAAAF7S9AI=")</f>
        <v>#REF!</v>
      </c>
      <c r="D8" t="e">
        <f>IF(#REF!,"AAAAAF7S9AM=",0)</f>
        <v>#REF!</v>
      </c>
      <c r="E8" t="e">
        <f>AND(#REF!,"AAAAAF7S9AQ=")</f>
        <v>#REF!</v>
      </c>
      <c r="F8" t="e">
        <f>AND(#REF!,"AAAAAF7S9AU=")</f>
        <v>#REF!</v>
      </c>
      <c r="G8" t="e">
        <f>AND(#REF!,"AAAAAF7S9AY=")</f>
        <v>#REF!</v>
      </c>
      <c r="H8" t="e">
        <f>AND(#REF!,"AAAAAF7S9Ac=")</f>
        <v>#REF!</v>
      </c>
      <c r="I8" t="e">
        <f>AND(#REF!,"AAAAAF7S9Ag=")</f>
        <v>#REF!</v>
      </c>
      <c r="J8" t="e">
        <f>AND(#REF!,"AAAAAF7S9Ak=")</f>
        <v>#REF!</v>
      </c>
      <c r="K8" t="e">
        <f>AND(#REF!,"AAAAAF7S9Ao=")</f>
        <v>#REF!</v>
      </c>
      <c r="L8" t="e">
        <f>AND(#REF!,"AAAAAF7S9As=")</f>
        <v>#REF!</v>
      </c>
      <c r="M8" t="e">
        <f>AND(#REF!,"AAAAAF7S9Aw=")</f>
        <v>#REF!</v>
      </c>
      <c r="N8" t="e">
        <f>AND(#REF!,"AAAAAF7S9A0=")</f>
        <v>#REF!</v>
      </c>
      <c r="O8" t="e">
        <f>AND(#REF!,"AAAAAF7S9A4=")</f>
        <v>#REF!</v>
      </c>
      <c r="P8" t="e">
        <f>AND(#REF!,"AAAAAF7S9A8=")</f>
        <v>#REF!</v>
      </c>
      <c r="Q8" t="e">
        <f>AND(#REF!,"AAAAAF7S9BA=")</f>
        <v>#REF!</v>
      </c>
      <c r="R8" t="e">
        <f>IF(#REF!,"AAAAAF7S9BE=",0)</f>
        <v>#REF!</v>
      </c>
      <c r="S8" t="e">
        <f>AND(#REF!,"AAAAAF7S9BI=")</f>
        <v>#REF!</v>
      </c>
      <c r="T8" t="e">
        <f>AND(#REF!,"AAAAAF7S9BM=")</f>
        <v>#REF!</v>
      </c>
      <c r="U8" t="e">
        <f>AND(#REF!,"AAAAAF7S9BQ=")</f>
        <v>#REF!</v>
      </c>
      <c r="V8" t="e">
        <f>AND(#REF!,"AAAAAF7S9BU=")</f>
        <v>#REF!</v>
      </c>
      <c r="W8" t="e">
        <f>AND(#REF!,"AAAAAF7S9BY=")</f>
        <v>#REF!</v>
      </c>
      <c r="X8" t="e">
        <f>AND(#REF!,"AAAAAF7S9Bc=")</f>
        <v>#REF!</v>
      </c>
      <c r="Y8" t="e">
        <f>AND(#REF!,"AAAAAF7S9Bg=")</f>
        <v>#REF!</v>
      </c>
      <c r="Z8" t="e">
        <f>AND(#REF!,"AAAAAF7S9Bk=")</f>
        <v>#REF!</v>
      </c>
      <c r="AA8" t="e">
        <f>AND(#REF!,"AAAAAF7S9Bo=")</f>
        <v>#REF!</v>
      </c>
      <c r="AB8" t="e">
        <f>AND(#REF!,"AAAAAF7S9Bs=")</f>
        <v>#REF!</v>
      </c>
      <c r="AC8" t="e">
        <f>AND(#REF!,"AAAAAF7S9Bw=")</f>
        <v>#REF!</v>
      </c>
      <c r="AD8" t="e">
        <f>AND(#REF!,"AAAAAF7S9B0=")</f>
        <v>#REF!</v>
      </c>
      <c r="AE8" t="e">
        <f>AND(#REF!,"AAAAAF7S9B4=")</f>
        <v>#REF!</v>
      </c>
      <c r="AF8" t="e">
        <f>IF(#REF!,"AAAAAF7S9B8=",0)</f>
        <v>#REF!</v>
      </c>
      <c r="AG8" t="e">
        <f>AND(#REF!,"AAAAAF7S9CA=")</f>
        <v>#REF!</v>
      </c>
      <c r="AH8" t="e">
        <f>AND(#REF!,"AAAAAF7S9CE=")</f>
        <v>#REF!</v>
      </c>
      <c r="AI8" t="e">
        <f>AND(#REF!,"AAAAAF7S9CI=")</f>
        <v>#REF!</v>
      </c>
      <c r="AJ8" t="e">
        <f>AND(#REF!,"AAAAAF7S9CM=")</f>
        <v>#REF!</v>
      </c>
      <c r="AK8" t="e">
        <f>AND(#REF!,"AAAAAF7S9CQ=")</f>
        <v>#REF!</v>
      </c>
      <c r="AL8" t="e">
        <f>AND(#REF!,"AAAAAF7S9CU=")</f>
        <v>#REF!</v>
      </c>
      <c r="AM8" t="e">
        <f>AND(#REF!,"AAAAAF7S9CY=")</f>
        <v>#REF!</v>
      </c>
      <c r="AN8" t="e">
        <f>AND(#REF!,"AAAAAF7S9Cc=")</f>
        <v>#REF!</v>
      </c>
      <c r="AO8" t="e">
        <f>AND(#REF!,"AAAAAF7S9Cg=")</f>
        <v>#REF!</v>
      </c>
      <c r="AP8" t="e">
        <f>AND(#REF!,"AAAAAF7S9Ck=")</f>
        <v>#REF!</v>
      </c>
      <c r="AQ8" t="e">
        <f>AND(#REF!,"AAAAAF7S9Co=")</f>
        <v>#REF!</v>
      </c>
      <c r="AR8" t="e">
        <f>AND(#REF!,"AAAAAF7S9Cs=")</f>
        <v>#REF!</v>
      </c>
      <c r="AS8" t="e">
        <f>AND(#REF!,"AAAAAF7S9Cw=")</f>
        <v>#REF!</v>
      </c>
      <c r="AT8" t="e">
        <f>IF(#REF!,"AAAAAF7S9C0=",0)</f>
        <v>#REF!</v>
      </c>
      <c r="AU8" t="e">
        <f>AND(#REF!,"AAAAAF7S9C4=")</f>
        <v>#REF!</v>
      </c>
      <c r="AV8" t="e">
        <f>AND(#REF!,"AAAAAF7S9C8=")</f>
        <v>#REF!</v>
      </c>
      <c r="AW8" t="e">
        <f>AND(#REF!,"AAAAAF7S9DA=")</f>
        <v>#REF!</v>
      </c>
      <c r="AX8" t="e">
        <f>AND(#REF!,"AAAAAF7S9DE=")</f>
        <v>#REF!</v>
      </c>
      <c r="AY8" t="e">
        <f>AND(#REF!,"AAAAAF7S9DI=")</f>
        <v>#REF!</v>
      </c>
      <c r="AZ8" t="e">
        <f>AND(#REF!,"AAAAAF7S9DM=")</f>
        <v>#REF!</v>
      </c>
      <c r="BA8" t="e">
        <f>AND(#REF!,"AAAAAF7S9DQ=")</f>
        <v>#REF!</v>
      </c>
      <c r="BB8" t="e">
        <f>AND(#REF!,"AAAAAF7S9DU=")</f>
        <v>#REF!</v>
      </c>
      <c r="BC8" t="e">
        <f>AND(#REF!,"AAAAAF7S9DY=")</f>
        <v>#REF!</v>
      </c>
      <c r="BD8" t="e">
        <f>AND(#REF!,"AAAAAF7S9Dc=")</f>
        <v>#REF!</v>
      </c>
      <c r="BE8" t="e">
        <f>AND(#REF!,"AAAAAF7S9Dg=")</f>
        <v>#REF!</v>
      </c>
      <c r="BF8" t="e">
        <f>AND(#REF!,"AAAAAF7S9Dk=")</f>
        <v>#REF!</v>
      </c>
      <c r="BG8" t="e">
        <f>AND(#REF!,"AAAAAF7S9Do=")</f>
        <v>#REF!</v>
      </c>
      <c r="BH8" t="e">
        <f>IF(#REF!,"AAAAAF7S9Ds=",0)</f>
        <v>#REF!</v>
      </c>
      <c r="BI8" t="e">
        <f>AND(#REF!,"AAAAAF7S9Dw=")</f>
        <v>#REF!</v>
      </c>
      <c r="BJ8" t="e">
        <f>AND(#REF!,"AAAAAF7S9D0=")</f>
        <v>#REF!</v>
      </c>
      <c r="BK8" t="e">
        <f>AND(#REF!,"AAAAAF7S9D4=")</f>
        <v>#REF!</v>
      </c>
      <c r="BL8" t="e">
        <f>AND(#REF!,"AAAAAF7S9D8=")</f>
        <v>#REF!</v>
      </c>
      <c r="BM8" t="e">
        <f>AND(#REF!,"AAAAAF7S9EA=")</f>
        <v>#REF!</v>
      </c>
      <c r="BN8" t="e">
        <f>AND(#REF!,"AAAAAF7S9EE=")</f>
        <v>#REF!</v>
      </c>
      <c r="BO8" t="e">
        <f>AND(#REF!,"AAAAAF7S9EI=")</f>
        <v>#REF!</v>
      </c>
      <c r="BP8" t="e">
        <f>AND(#REF!,"AAAAAF7S9EM=")</f>
        <v>#REF!</v>
      </c>
      <c r="BQ8" t="e">
        <f>AND(#REF!,"AAAAAF7S9EQ=")</f>
        <v>#REF!</v>
      </c>
      <c r="BR8" t="e">
        <f>AND(#REF!,"AAAAAF7S9EU=")</f>
        <v>#REF!</v>
      </c>
      <c r="BS8" t="e">
        <f>AND(#REF!,"AAAAAF7S9EY=")</f>
        <v>#REF!</v>
      </c>
      <c r="BT8" t="e">
        <f>AND(#REF!,"AAAAAF7S9Ec=")</f>
        <v>#REF!</v>
      </c>
      <c r="BU8" t="e">
        <f>AND(#REF!,"AAAAAF7S9Eg=")</f>
        <v>#REF!</v>
      </c>
      <c r="BV8" t="e">
        <f>IF(#REF!,"AAAAAF7S9Ek=",0)</f>
        <v>#REF!</v>
      </c>
      <c r="BW8" t="e">
        <f>AND(#REF!,"AAAAAF7S9Eo=")</f>
        <v>#REF!</v>
      </c>
      <c r="BX8" t="e">
        <f>AND(#REF!,"AAAAAF7S9Es=")</f>
        <v>#REF!</v>
      </c>
      <c r="BY8" t="e">
        <f>AND(#REF!,"AAAAAF7S9Ew=")</f>
        <v>#REF!</v>
      </c>
      <c r="BZ8" t="e">
        <f>AND(#REF!,"AAAAAF7S9E0=")</f>
        <v>#REF!</v>
      </c>
      <c r="CA8" t="e">
        <f>AND(#REF!,"AAAAAF7S9E4=")</f>
        <v>#REF!</v>
      </c>
      <c r="CB8" t="e">
        <f>AND(#REF!,"AAAAAF7S9E8=")</f>
        <v>#REF!</v>
      </c>
      <c r="CC8" t="e">
        <f>AND(#REF!,"AAAAAF7S9FA=")</f>
        <v>#REF!</v>
      </c>
      <c r="CD8" t="e">
        <f>AND(#REF!,"AAAAAF7S9FE=")</f>
        <v>#REF!</v>
      </c>
      <c r="CE8" t="e">
        <f>AND(#REF!,"AAAAAF7S9FI=")</f>
        <v>#REF!</v>
      </c>
      <c r="CF8" t="e">
        <f>AND(#REF!,"AAAAAF7S9FM=")</f>
        <v>#REF!</v>
      </c>
      <c r="CG8" t="e">
        <f>AND(#REF!,"AAAAAF7S9FQ=")</f>
        <v>#REF!</v>
      </c>
      <c r="CH8" t="e">
        <f>AND(#REF!,"AAAAAF7S9FU=")</f>
        <v>#REF!</v>
      </c>
      <c r="CI8" t="e">
        <f>AND(#REF!,"AAAAAF7S9FY=")</f>
        <v>#REF!</v>
      </c>
      <c r="CJ8" t="e">
        <f>IF(#REF!,"AAAAAF7S9Fc=",0)</f>
        <v>#REF!</v>
      </c>
      <c r="CK8" t="e">
        <f>AND(#REF!,"AAAAAF7S9Fg=")</f>
        <v>#REF!</v>
      </c>
      <c r="CL8" t="e">
        <f>AND(#REF!,"AAAAAF7S9Fk=")</f>
        <v>#REF!</v>
      </c>
      <c r="CM8" t="e">
        <f>AND(#REF!,"AAAAAF7S9Fo=")</f>
        <v>#REF!</v>
      </c>
      <c r="CN8" t="e">
        <f>AND(#REF!,"AAAAAF7S9Fs=")</f>
        <v>#REF!</v>
      </c>
      <c r="CO8" t="e">
        <f>AND(#REF!,"AAAAAF7S9Fw=")</f>
        <v>#REF!</v>
      </c>
      <c r="CP8" t="e">
        <f>AND(#REF!,"AAAAAF7S9F0=")</f>
        <v>#REF!</v>
      </c>
      <c r="CQ8" t="e">
        <f>AND(#REF!,"AAAAAF7S9F4=")</f>
        <v>#REF!</v>
      </c>
      <c r="CR8" t="e">
        <f>AND(#REF!,"AAAAAF7S9F8=")</f>
        <v>#REF!</v>
      </c>
      <c r="CS8" t="e">
        <f>AND(#REF!,"AAAAAF7S9GA=")</f>
        <v>#REF!</v>
      </c>
      <c r="CT8" t="e">
        <f>AND(#REF!,"AAAAAF7S9GE=")</f>
        <v>#REF!</v>
      </c>
      <c r="CU8" t="e">
        <f>AND(#REF!,"AAAAAF7S9GI=")</f>
        <v>#REF!</v>
      </c>
      <c r="CV8" t="e">
        <f>AND(#REF!,"AAAAAF7S9GM=")</f>
        <v>#REF!</v>
      </c>
      <c r="CW8" t="e">
        <f>AND(#REF!,"AAAAAF7S9GQ=")</f>
        <v>#REF!</v>
      </c>
      <c r="CX8" t="e">
        <f>IF(#REF!,"AAAAAF7S9GU=",0)</f>
        <v>#REF!</v>
      </c>
      <c r="CY8" t="e">
        <f>AND(#REF!,"AAAAAF7S9GY=")</f>
        <v>#REF!</v>
      </c>
      <c r="CZ8" t="e">
        <f>AND(#REF!,"AAAAAF7S9Gc=")</f>
        <v>#REF!</v>
      </c>
      <c r="DA8" t="e">
        <f>AND(#REF!,"AAAAAF7S9Gg=")</f>
        <v>#REF!</v>
      </c>
      <c r="DB8" t="e">
        <f>AND(#REF!,"AAAAAF7S9Gk=")</f>
        <v>#REF!</v>
      </c>
      <c r="DC8" t="e">
        <f>AND(#REF!,"AAAAAF7S9Go=")</f>
        <v>#REF!</v>
      </c>
      <c r="DD8" t="e">
        <f>AND(#REF!,"AAAAAF7S9Gs=")</f>
        <v>#REF!</v>
      </c>
      <c r="DE8" t="e">
        <f>AND(#REF!,"AAAAAF7S9Gw=")</f>
        <v>#REF!</v>
      </c>
      <c r="DF8" t="e">
        <f>AND(#REF!,"AAAAAF7S9G0=")</f>
        <v>#REF!</v>
      </c>
      <c r="DG8" t="e">
        <f>AND(#REF!,"AAAAAF7S9G4=")</f>
        <v>#REF!</v>
      </c>
      <c r="DH8" t="e">
        <f>AND(#REF!,"AAAAAF7S9G8=")</f>
        <v>#REF!</v>
      </c>
      <c r="DI8" t="e">
        <f>AND(#REF!,"AAAAAF7S9HA=")</f>
        <v>#REF!</v>
      </c>
      <c r="DJ8" t="e">
        <f>AND(#REF!,"AAAAAF7S9HE=")</f>
        <v>#REF!</v>
      </c>
      <c r="DK8" t="e">
        <f>AND(#REF!,"AAAAAF7S9HI=")</f>
        <v>#REF!</v>
      </c>
      <c r="DL8" t="e">
        <f>IF(#REF!,"AAAAAF7S9HM=",0)</f>
        <v>#REF!</v>
      </c>
      <c r="DM8" t="e">
        <f>AND(#REF!,"AAAAAF7S9HQ=")</f>
        <v>#REF!</v>
      </c>
      <c r="DN8" t="e">
        <f>AND(#REF!,"AAAAAF7S9HU=")</f>
        <v>#REF!</v>
      </c>
      <c r="DO8" t="e">
        <f>AND(#REF!,"AAAAAF7S9HY=")</f>
        <v>#REF!</v>
      </c>
      <c r="DP8" t="e">
        <f>AND(#REF!,"AAAAAF7S9Hc=")</f>
        <v>#REF!</v>
      </c>
      <c r="DQ8" t="e">
        <f>AND(#REF!,"AAAAAF7S9Hg=")</f>
        <v>#REF!</v>
      </c>
      <c r="DR8" t="e">
        <f>AND(#REF!,"AAAAAF7S9Hk=")</f>
        <v>#REF!</v>
      </c>
      <c r="DS8" t="e">
        <f>AND(#REF!,"AAAAAF7S9Ho=")</f>
        <v>#REF!</v>
      </c>
      <c r="DT8" t="e">
        <f>AND(#REF!,"AAAAAF7S9Hs=")</f>
        <v>#REF!</v>
      </c>
      <c r="DU8" t="e">
        <f>AND(#REF!,"AAAAAF7S9Hw=")</f>
        <v>#REF!</v>
      </c>
      <c r="DV8" t="e">
        <f>AND(#REF!,"AAAAAF7S9H0=")</f>
        <v>#REF!</v>
      </c>
      <c r="DW8" t="e">
        <f>AND(#REF!,"AAAAAF7S9H4=")</f>
        <v>#REF!</v>
      </c>
      <c r="DX8" t="e">
        <f>AND(#REF!,"AAAAAF7S9H8=")</f>
        <v>#REF!</v>
      </c>
      <c r="DY8" t="e">
        <f>AND(#REF!,"AAAAAF7S9IA=")</f>
        <v>#REF!</v>
      </c>
      <c r="DZ8" t="e">
        <f>IF(#REF!,"AAAAAF7S9IE=",0)</f>
        <v>#REF!</v>
      </c>
      <c r="EA8" t="e">
        <f>AND(#REF!,"AAAAAF7S9II=")</f>
        <v>#REF!</v>
      </c>
      <c r="EB8" t="e">
        <f>AND(#REF!,"AAAAAF7S9IM=")</f>
        <v>#REF!</v>
      </c>
      <c r="EC8" t="e">
        <f>AND(#REF!,"AAAAAF7S9IQ=")</f>
        <v>#REF!</v>
      </c>
      <c r="ED8" t="e">
        <f>AND(#REF!,"AAAAAF7S9IU=")</f>
        <v>#REF!</v>
      </c>
      <c r="EE8" t="e">
        <f>AND(#REF!,"AAAAAF7S9IY=")</f>
        <v>#REF!</v>
      </c>
      <c r="EF8" t="e">
        <f>AND(#REF!,"AAAAAF7S9Ic=")</f>
        <v>#REF!</v>
      </c>
      <c r="EG8" t="e">
        <f>AND(#REF!,"AAAAAF7S9Ig=")</f>
        <v>#REF!</v>
      </c>
      <c r="EH8" t="e">
        <f>AND(#REF!,"AAAAAF7S9Ik=")</f>
        <v>#REF!</v>
      </c>
      <c r="EI8" t="e">
        <f>AND(#REF!,"AAAAAF7S9Io=")</f>
        <v>#REF!</v>
      </c>
      <c r="EJ8" t="e">
        <f>AND(#REF!,"AAAAAF7S9Is=")</f>
        <v>#REF!</v>
      </c>
      <c r="EK8" t="e">
        <f>AND(#REF!,"AAAAAF7S9Iw=")</f>
        <v>#REF!</v>
      </c>
      <c r="EL8" t="e">
        <f>AND(#REF!,"AAAAAF7S9I0=")</f>
        <v>#REF!</v>
      </c>
      <c r="EM8" t="e">
        <f>AND(#REF!,"AAAAAF7S9I4=")</f>
        <v>#REF!</v>
      </c>
      <c r="EN8" t="e">
        <f>IF(#REF!,"AAAAAF7S9I8=",0)</f>
        <v>#REF!</v>
      </c>
      <c r="EO8" t="e">
        <f>AND(#REF!,"AAAAAF7S9JA=")</f>
        <v>#REF!</v>
      </c>
      <c r="EP8" t="e">
        <f>AND(#REF!,"AAAAAF7S9JE=")</f>
        <v>#REF!</v>
      </c>
      <c r="EQ8" t="e">
        <f>AND(#REF!,"AAAAAF7S9JI=")</f>
        <v>#REF!</v>
      </c>
      <c r="ER8" t="e">
        <f>AND(#REF!,"AAAAAF7S9JM=")</f>
        <v>#REF!</v>
      </c>
      <c r="ES8" t="e">
        <f>AND(#REF!,"AAAAAF7S9JQ=")</f>
        <v>#REF!</v>
      </c>
      <c r="ET8" t="e">
        <f>AND(#REF!,"AAAAAF7S9JU=")</f>
        <v>#REF!</v>
      </c>
      <c r="EU8" t="e">
        <f>AND(#REF!,"AAAAAF7S9JY=")</f>
        <v>#REF!</v>
      </c>
      <c r="EV8" t="e">
        <f>AND(#REF!,"AAAAAF7S9Jc=")</f>
        <v>#REF!</v>
      </c>
      <c r="EW8" t="e">
        <f>AND(#REF!,"AAAAAF7S9Jg=")</f>
        <v>#REF!</v>
      </c>
      <c r="EX8" t="e">
        <f>AND(#REF!,"AAAAAF7S9Jk=")</f>
        <v>#REF!</v>
      </c>
      <c r="EY8" t="e">
        <f>AND(#REF!,"AAAAAF7S9Jo=")</f>
        <v>#REF!</v>
      </c>
      <c r="EZ8" t="e">
        <f>AND(#REF!,"AAAAAF7S9Js=")</f>
        <v>#REF!</v>
      </c>
      <c r="FA8" t="e">
        <f>AND(#REF!,"AAAAAF7S9Jw=")</f>
        <v>#REF!</v>
      </c>
      <c r="FB8" t="e">
        <f>IF(#REF!,"AAAAAF7S9J0=",0)</f>
        <v>#REF!</v>
      </c>
      <c r="FC8" t="e">
        <f>AND(#REF!,"AAAAAF7S9J4=")</f>
        <v>#REF!</v>
      </c>
      <c r="FD8" t="e">
        <f>AND(#REF!,"AAAAAF7S9J8=")</f>
        <v>#REF!</v>
      </c>
      <c r="FE8" t="e">
        <f>AND(#REF!,"AAAAAF7S9KA=")</f>
        <v>#REF!</v>
      </c>
      <c r="FF8" t="e">
        <f>AND(#REF!,"AAAAAF7S9KE=")</f>
        <v>#REF!</v>
      </c>
      <c r="FG8" t="e">
        <f>AND(#REF!,"AAAAAF7S9KI=")</f>
        <v>#REF!</v>
      </c>
      <c r="FH8" t="e">
        <f>AND(#REF!,"AAAAAF7S9KM=")</f>
        <v>#REF!</v>
      </c>
      <c r="FI8" t="e">
        <f>AND(#REF!,"AAAAAF7S9KQ=")</f>
        <v>#REF!</v>
      </c>
      <c r="FJ8" t="e">
        <f>AND(#REF!,"AAAAAF7S9KU=")</f>
        <v>#REF!</v>
      </c>
      <c r="FK8" t="e">
        <f>AND(#REF!,"AAAAAF7S9KY=")</f>
        <v>#REF!</v>
      </c>
      <c r="FL8" t="e">
        <f>AND(#REF!,"AAAAAF7S9Kc=")</f>
        <v>#REF!</v>
      </c>
      <c r="FM8" t="e">
        <f>AND(#REF!,"AAAAAF7S9Kg=")</f>
        <v>#REF!</v>
      </c>
      <c r="FN8" t="e">
        <f>AND(#REF!,"AAAAAF7S9Kk=")</f>
        <v>#REF!</v>
      </c>
      <c r="FO8" t="e">
        <f>AND(#REF!,"AAAAAF7S9Ko=")</f>
        <v>#REF!</v>
      </c>
      <c r="FP8" t="e">
        <f>IF(#REF!,"AAAAAF7S9Ks=",0)</f>
        <v>#REF!</v>
      </c>
      <c r="FQ8" t="e">
        <f>AND(#REF!,"AAAAAF7S9Kw=")</f>
        <v>#REF!</v>
      </c>
      <c r="FR8" t="e">
        <f>AND(#REF!,"AAAAAF7S9K0=")</f>
        <v>#REF!</v>
      </c>
      <c r="FS8" t="e">
        <f>AND(#REF!,"AAAAAF7S9K4=")</f>
        <v>#REF!</v>
      </c>
      <c r="FT8" t="e">
        <f>AND(#REF!,"AAAAAF7S9K8=")</f>
        <v>#REF!</v>
      </c>
      <c r="FU8" t="e">
        <f>AND(#REF!,"AAAAAF7S9LA=")</f>
        <v>#REF!</v>
      </c>
      <c r="FV8" t="e">
        <f>AND(#REF!,"AAAAAF7S9LE=")</f>
        <v>#REF!</v>
      </c>
      <c r="FW8" t="e">
        <f>AND(#REF!,"AAAAAF7S9LI=")</f>
        <v>#REF!</v>
      </c>
      <c r="FX8" t="e">
        <f>AND(#REF!,"AAAAAF7S9LM=")</f>
        <v>#REF!</v>
      </c>
      <c r="FY8" t="e">
        <f>AND(#REF!,"AAAAAF7S9LQ=")</f>
        <v>#REF!</v>
      </c>
      <c r="FZ8" t="e">
        <f>AND(#REF!,"AAAAAF7S9LU=")</f>
        <v>#REF!</v>
      </c>
      <c r="GA8" t="e">
        <f>AND(#REF!,"AAAAAF7S9LY=")</f>
        <v>#REF!</v>
      </c>
      <c r="GB8" t="e">
        <f>AND(#REF!,"AAAAAF7S9Lc=")</f>
        <v>#REF!</v>
      </c>
      <c r="GC8" t="e">
        <f>AND(#REF!,"AAAAAF7S9Lg=")</f>
        <v>#REF!</v>
      </c>
      <c r="GD8" t="e">
        <f>IF(#REF!,"AAAAAF7S9Lk=",0)</f>
        <v>#REF!</v>
      </c>
      <c r="GE8" t="e">
        <f>AND(#REF!,"AAAAAF7S9Lo=")</f>
        <v>#REF!</v>
      </c>
      <c r="GF8" t="e">
        <f>AND(#REF!,"AAAAAF7S9Ls=")</f>
        <v>#REF!</v>
      </c>
      <c r="GG8" t="e">
        <f>AND(#REF!,"AAAAAF7S9Lw=")</f>
        <v>#REF!</v>
      </c>
      <c r="GH8" t="e">
        <f>AND(#REF!,"AAAAAF7S9L0=")</f>
        <v>#REF!</v>
      </c>
      <c r="GI8" t="e">
        <f>AND(#REF!,"AAAAAF7S9L4=")</f>
        <v>#REF!</v>
      </c>
      <c r="GJ8" t="e">
        <f>AND(#REF!,"AAAAAF7S9L8=")</f>
        <v>#REF!</v>
      </c>
      <c r="GK8" t="e">
        <f>AND(#REF!,"AAAAAF7S9MA=")</f>
        <v>#REF!</v>
      </c>
      <c r="GL8" t="e">
        <f>AND(#REF!,"AAAAAF7S9ME=")</f>
        <v>#REF!</v>
      </c>
      <c r="GM8" t="e">
        <f>AND(#REF!,"AAAAAF7S9MI=")</f>
        <v>#REF!</v>
      </c>
      <c r="GN8" t="e">
        <f>AND(#REF!,"AAAAAF7S9MM=")</f>
        <v>#REF!</v>
      </c>
      <c r="GO8" t="e">
        <f>AND(#REF!,"AAAAAF7S9MQ=")</f>
        <v>#REF!</v>
      </c>
      <c r="GP8" t="e">
        <f>AND(#REF!,"AAAAAF7S9MU=")</f>
        <v>#REF!</v>
      </c>
      <c r="GQ8" t="e">
        <f>AND(#REF!,"AAAAAF7S9MY=")</f>
        <v>#REF!</v>
      </c>
      <c r="GR8" t="e">
        <f>IF(#REF!,"AAAAAF7S9Mc=",0)</f>
        <v>#REF!</v>
      </c>
      <c r="GS8" t="e">
        <f>AND(#REF!,"AAAAAF7S9Mg=")</f>
        <v>#REF!</v>
      </c>
      <c r="GT8" t="e">
        <f>AND(#REF!,"AAAAAF7S9Mk=")</f>
        <v>#REF!</v>
      </c>
      <c r="GU8" t="e">
        <f>AND(#REF!,"AAAAAF7S9Mo=")</f>
        <v>#REF!</v>
      </c>
      <c r="GV8" t="e">
        <f>AND(#REF!,"AAAAAF7S9Ms=")</f>
        <v>#REF!</v>
      </c>
      <c r="GW8" t="e">
        <f>AND(#REF!,"AAAAAF7S9Mw=")</f>
        <v>#REF!</v>
      </c>
      <c r="GX8" t="e">
        <f>AND(#REF!,"AAAAAF7S9M0=")</f>
        <v>#REF!</v>
      </c>
      <c r="GY8" t="e">
        <f>AND(#REF!,"AAAAAF7S9M4=")</f>
        <v>#REF!</v>
      </c>
      <c r="GZ8" t="e">
        <f>AND(#REF!,"AAAAAF7S9M8=")</f>
        <v>#REF!</v>
      </c>
      <c r="HA8" t="e">
        <f>AND(#REF!,"AAAAAF7S9NA=")</f>
        <v>#REF!</v>
      </c>
      <c r="HB8" t="e">
        <f>AND(#REF!,"AAAAAF7S9NE=")</f>
        <v>#REF!</v>
      </c>
      <c r="HC8" t="e">
        <f>AND(#REF!,"AAAAAF7S9NI=")</f>
        <v>#REF!</v>
      </c>
      <c r="HD8" t="e">
        <f>AND(#REF!,"AAAAAF7S9NM=")</f>
        <v>#REF!</v>
      </c>
      <c r="HE8" t="e">
        <f>AND(#REF!,"AAAAAF7S9NQ=")</f>
        <v>#REF!</v>
      </c>
      <c r="HF8" t="e">
        <f>IF(#REF!,"AAAAAF7S9NU=",0)</f>
        <v>#REF!</v>
      </c>
      <c r="HG8" t="e">
        <f>AND(#REF!,"AAAAAF7S9NY=")</f>
        <v>#REF!</v>
      </c>
      <c r="HH8" t="e">
        <f>AND(#REF!,"AAAAAF7S9Nc=")</f>
        <v>#REF!</v>
      </c>
      <c r="HI8" t="e">
        <f>AND(#REF!,"AAAAAF7S9Ng=")</f>
        <v>#REF!</v>
      </c>
      <c r="HJ8" t="e">
        <f>AND(#REF!,"AAAAAF7S9Nk=")</f>
        <v>#REF!</v>
      </c>
      <c r="HK8" t="e">
        <f>AND(#REF!,"AAAAAF7S9No=")</f>
        <v>#REF!</v>
      </c>
      <c r="HL8" t="e">
        <f>AND(#REF!,"AAAAAF7S9Ns=")</f>
        <v>#REF!</v>
      </c>
      <c r="HM8" t="e">
        <f>AND(#REF!,"AAAAAF7S9Nw=")</f>
        <v>#REF!</v>
      </c>
      <c r="HN8" t="e">
        <f>AND(#REF!,"AAAAAF7S9N0=")</f>
        <v>#REF!</v>
      </c>
      <c r="HO8" t="e">
        <f>AND(#REF!,"AAAAAF7S9N4=")</f>
        <v>#REF!</v>
      </c>
      <c r="HP8" t="e">
        <f>AND(#REF!,"AAAAAF7S9N8=")</f>
        <v>#REF!</v>
      </c>
      <c r="HQ8" t="e">
        <f>AND(#REF!,"AAAAAF7S9OA=")</f>
        <v>#REF!</v>
      </c>
      <c r="HR8" t="e">
        <f>AND(#REF!,"AAAAAF7S9OE=")</f>
        <v>#REF!</v>
      </c>
      <c r="HS8" t="e">
        <f>AND(#REF!,"AAAAAF7S9OI=")</f>
        <v>#REF!</v>
      </c>
      <c r="HT8" t="e">
        <f>IF(#REF!,"AAAAAF7S9OM=",0)</f>
        <v>#REF!</v>
      </c>
      <c r="HU8" t="e">
        <f>AND(#REF!,"AAAAAF7S9OQ=")</f>
        <v>#REF!</v>
      </c>
      <c r="HV8" t="e">
        <f>AND(#REF!,"AAAAAF7S9OU=")</f>
        <v>#REF!</v>
      </c>
      <c r="HW8" t="e">
        <f>AND(#REF!,"AAAAAF7S9OY=")</f>
        <v>#REF!</v>
      </c>
      <c r="HX8" t="e">
        <f>AND(#REF!,"AAAAAF7S9Oc=")</f>
        <v>#REF!</v>
      </c>
      <c r="HY8" t="e">
        <f>AND(#REF!,"AAAAAF7S9Og=")</f>
        <v>#REF!</v>
      </c>
      <c r="HZ8" t="e">
        <f>AND(#REF!,"AAAAAF7S9Ok=")</f>
        <v>#REF!</v>
      </c>
      <c r="IA8" t="e">
        <f>AND(#REF!,"AAAAAF7S9Oo=")</f>
        <v>#REF!</v>
      </c>
      <c r="IB8" t="e">
        <f>AND(#REF!,"AAAAAF7S9Os=")</f>
        <v>#REF!</v>
      </c>
      <c r="IC8" t="e">
        <f>AND(#REF!,"AAAAAF7S9Ow=")</f>
        <v>#REF!</v>
      </c>
      <c r="ID8" t="e">
        <f>AND(#REF!,"AAAAAF7S9O0=")</f>
        <v>#REF!</v>
      </c>
      <c r="IE8" t="e">
        <f>AND(#REF!,"AAAAAF7S9O4=")</f>
        <v>#REF!</v>
      </c>
      <c r="IF8" t="e">
        <f>AND(#REF!,"AAAAAF7S9O8=")</f>
        <v>#REF!</v>
      </c>
      <c r="IG8" t="e">
        <f>AND(#REF!,"AAAAAF7S9PA=")</f>
        <v>#REF!</v>
      </c>
      <c r="IH8" t="e">
        <f>IF(#REF!,"AAAAAF7S9PE=",0)</f>
        <v>#REF!</v>
      </c>
      <c r="II8" t="e">
        <f>AND(#REF!,"AAAAAF7S9PI=")</f>
        <v>#REF!</v>
      </c>
      <c r="IJ8" t="e">
        <f>AND(#REF!,"AAAAAF7S9PM=")</f>
        <v>#REF!</v>
      </c>
      <c r="IK8" t="e">
        <f>AND(#REF!,"AAAAAF7S9PQ=")</f>
        <v>#REF!</v>
      </c>
      <c r="IL8" t="e">
        <f>AND(#REF!,"AAAAAF7S9PU=")</f>
        <v>#REF!</v>
      </c>
      <c r="IM8" t="e">
        <f>AND(#REF!,"AAAAAF7S9PY=")</f>
        <v>#REF!</v>
      </c>
      <c r="IN8" t="e">
        <f>AND(#REF!,"AAAAAF7S9Pc=")</f>
        <v>#REF!</v>
      </c>
      <c r="IO8" t="e">
        <f>AND(#REF!,"AAAAAF7S9Pg=")</f>
        <v>#REF!</v>
      </c>
      <c r="IP8" t="e">
        <f>AND(#REF!,"AAAAAF7S9Pk=")</f>
        <v>#REF!</v>
      </c>
      <c r="IQ8" t="e">
        <f>AND(#REF!,"AAAAAF7S9Po=")</f>
        <v>#REF!</v>
      </c>
      <c r="IR8" t="e">
        <f>AND(#REF!,"AAAAAF7S9Ps=")</f>
        <v>#REF!</v>
      </c>
      <c r="IS8" t="e">
        <f>AND(#REF!,"AAAAAF7S9Pw=")</f>
        <v>#REF!</v>
      </c>
      <c r="IT8" t="e">
        <f>AND(#REF!,"AAAAAF7S9P0=")</f>
        <v>#REF!</v>
      </c>
      <c r="IU8" t="e">
        <f>AND(#REF!,"AAAAAF7S9P4=")</f>
        <v>#REF!</v>
      </c>
      <c r="IV8" t="e">
        <f>IF(#REF!,"AAAAAF7S9P8=",0)</f>
        <v>#REF!</v>
      </c>
    </row>
    <row r="9" spans="1:256">
      <c r="A9" t="e">
        <f>AND(#REF!,"AAAAAF/w7wA=")</f>
        <v>#REF!</v>
      </c>
      <c r="B9" t="e">
        <f>AND(#REF!,"AAAAAF/w7wE=")</f>
        <v>#REF!</v>
      </c>
      <c r="C9" t="e">
        <f>AND(#REF!,"AAAAAF/w7wI=")</f>
        <v>#REF!</v>
      </c>
      <c r="D9" t="e">
        <f>AND(#REF!,"AAAAAF/w7wM=")</f>
        <v>#REF!</v>
      </c>
      <c r="E9" t="e">
        <f>AND(#REF!,"AAAAAF/w7wQ=")</f>
        <v>#REF!</v>
      </c>
      <c r="F9" t="e">
        <f>AND(#REF!,"AAAAAF/w7wU=")</f>
        <v>#REF!</v>
      </c>
      <c r="G9" t="e">
        <f>AND(#REF!,"AAAAAF/w7wY=")</f>
        <v>#REF!</v>
      </c>
      <c r="H9" t="e">
        <f>AND(#REF!,"AAAAAF/w7wc=")</f>
        <v>#REF!</v>
      </c>
      <c r="I9" t="e">
        <f>AND(#REF!,"AAAAAF/w7wg=")</f>
        <v>#REF!</v>
      </c>
      <c r="J9" t="e">
        <f>AND(#REF!,"AAAAAF/w7wk=")</f>
        <v>#REF!</v>
      </c>
      <c r="K9" t="e">
        <f>AND(#REF!,"AAAAAF/w7wo=")</f>
        <v>#REF!</v>
      </c>
      <c r="L9" t="e">
        <f>AND(#REF!,"AAAAAF/w7ws=")</f>
        <v>#REF!</v>
      </c>
      <c r="M9" t="e">
        <f>AND(#REF!,"AAAAAF/w7ww=")</f>
        <v>#REF!</v>
      </c>
      <c r="N9" t="e">
        <f>IF(#REF!,"AAAAAF/w7w0=",0)</f>
        <v>#REF!</v>
      </c>
      <c r="O9" t="e">
        <f>AND(#REF!,"AAAAAF/w7w4=")</f>
        <v>#REF!</v>
      </c>
      <c r="P9" t="e">
        <f>AND(#REF!,"AAAAAF/w7w8=")</f>
        <v>#REF!</v>
      </c>
      <c r="Q9" t="e">
        <f>AND(#REF!,"AAAAAF/w7xA=")</f>
        <v>#REF!</v>
      </c>
      <c r="R9" t="e">
        <f>AND(#REF!,"AAAAAF/w7xE=")</f>
        <v>#REF!</v>
      </c>
      <c r="S9" t="e">
        <f>AND(#REF!,"AAAAAF/w7xI=")</f>
        <v>#REF!</v>
      </c>
      <c r="T9" t="e">
        <f>AND(#REF!,"AAAAAF/w7xM=")</f>
        <v>#REF!</v>
      </c>
      <c r="U9" t="e">
        <f>AND(#REF!,"AAAAAF/w7xQ=")</f>
        <v>#REF!</v>
      </c>
      <c r="V9" t="e">
        <f>AND(#REF!,"AAAAAF/w7xU=")</f>
        <v>#REF!</v>
      </c>
      <c r="W9" t="e">
        <f>AND(#REF!,"AAAAAF/w7xY=")</f>
        <v>#REF!</v>
      </c>
      <c r="X9" t="e">
        <f>AND(#REF!,"AAAAAF/w7xc=")</f>
        <v>#REF!</v>
      </c>
      <c r="Y9" t="e">
        <f>AND(#REF!,"AAAAAF/w7xg=")</f>
        <v>#REF!</v>
      </c>
      <c r="Z9" t="e">
        <f>AND(#REF!,"AAAAAF/w7xk=")</f>
        <v>#REF!</v>
      </c>
      <c r="AA9" t="e">
        <f>AND(#REF!,"AAAAAF/w7xo=")</f>
        <v>#REF!</v>
      </c>
      <c r="AB9" t="e">
        <f>IF(#REF!,"AAAAAF/w7xs=",0)</f>
        <v>#REF!</v>
      </c>
      <c r="AC9" t="e">
        <f>AND(#REF!,"AAAAAF/w7xw=")</f>
        <v>#REF!</v>
      </c>
      <c r="AD9" t="e">
        <f>AND(#REF!,"AAAAAF/w7x0=")</f>
        <v>#REF!</v>
      </c>
      <c r="AE9" t="e">
        <f>AND(#REF!,"AAAAAF/w7x4=")</f>
        <v>#REF!</v>
      </c>
      <c r="AF9" t="e">
        <f>AND(#REF!,"AAAAAF/w7x8=")</f>
        <v>#REF!</v>
      </c>
      <c r="AG9" t="e">
        <f>AND(#REF!,"AAAAAF/w7yA=")</f>
        <v>#REF!</v>
      </c>
      <c r="AH9" t="e">
        <f>AND(#REF!,"AAAAAF/w7yE=")</f>
        <v>#REF!</v>
      </c>
      <c r="AI9" t="e">
        <f>AND(#REF!,"AAAAAF/w7yI=")</f>
        <v>#REF!</v>
      </c>
      <c r="AJ9" t="e">
        <f>AND(#REF!,"AAAAAF/w7yM=")</f>
        <v>#REF!</v>
      </c>
      <c r="AK9" t="e">
        <f>AND(#REF!,"AAAAAF/w7yQ=")</f>
        <v>#REF!</v>
      </c>
      <c r="AL9" t="e">
        <f>AND(#REF!,"AAAAAF/w7yU=")</f>
        <v>#REF!</v>
      </c>
      <c r="AM9" t="e">
        <f>AND(#REF!,"AAAAAF/w7yY=")</f>
        <v>#REF!</v>
      </c>
      <c r="AN9" t="e">
        <f>AND(#REF!,"AAAAAF/w7yc=")</f>
        <v>#REF!</v>
      </c>
      <c r="AO9" t="e">
        <f>AND(#REF!,"AAAAAF/w7yg=")</f>
        <v>#REF!</v>
      </c>
      <c r="AP9" t="e">
        <f>IF(#REF!,"AAAAAF/w7yk=",0)</f>
        <v>#REF!</v>
      </c>
      <c r="AQ9" t="e">
        <f>AND(#REF!,"AAAAAF/w7yo=")</f>
        <v>#REF!</v>
      </c>
      <c r="AR9" t="e">
        <f>AND(#REF!,"AAAAAF/w7ys=")</f>
        <v>#REF!</v>
      </c>
      <c r="AS9" t="e">
        <f>AND(#REF!,"AAAAAF/w7yw=")</f>
        <v>#REF!</v>
      </c>
      <c r="AT9" t="e">
        <f>AND(#REF!,"AAAAAF/w7y0=")</f>
        <v>#REF!</v>
      </c>
      <c r="AU9" t="e">
        <f>AND(#REF!,"AAAAAF/w7y4=")</f>
        <v>#REF!</v>
      </c>
      <c r="AV9" t="e">
        <f>AND(#REF!,"AAAAAF/w7y8=")</f>
        <v>#REF!</v>
      </c>
      <c r="AW9" t="e">
        <f>AND(#REF!,"AAAAAF/w7zA=")</f>
        <v>#REF!</v>
      </c>
      <c r="AX9" t="e">
        <f>AND(#REF!,"AAAAAF/w7zE=")</f>
        <v>#REF!</v>
      </c>
      <c r="AY9" t="e">
        <f>AND(#REF!,"AAAAAF/w7zI=")</f>
        <v>#REF!</v>
      </c>
      <c r="AZ9" t="e">
        <f>AND(#REF!,"AAAAAF/w7zM=")</f>
        <v>#REF!</v>
      </c>
      <c r="BA9" t="e">
        <f>AND(#REF!,"AAAAAF/w7zQ=")</f>
        <v>#REF!</v>
      </c>
      <c r="BB9" t="e">
        <f>AND(#REF!,"AAAAAF/w7zU=")</f>
        <v>#REF!</v>
      </c>
      <c r="BC9" t="e">
        <f>AND(#REF!,"AAAAAF/w7zY=")</f>
        <v>#REF!</v>
      </c>
      <c r="BD9" t="e">
        <f>IF(#REF!,"AAAAAF/w7zc=",0)</f>
        <v>#REF!</v>
      </c>
      <c r="BE9" t="e">
        <f>AND(#REF!,"AAAAAF/w7zg=")</f>
        <v>#REF!</v>
      </c>
      <c r="BF9" t="e">
        <f>AND(#REF!,"AAAAAF/w7zk=")</f>
        <v>#REF!</v>
      </c>
      <c r="BG9" t="e">
        <f>AND(#REF!,"AAAAAF/w7zo=")</f>
        <v>#REF!</v>
      </c>
      <c r="BH9" t="e">
        <f>AND(#REF!,"AAAAAF/w7zs=")</f>
        <v>#REF!</v>
      </c>
      <c r="BI9" t="e">
        <f>AND(#REF!,"AAAAAF/w7zw=")</f>
        <v>#REF!</v>
      </c>
      <c r="BJ9" t="e">
        <f>AND(#REF!,"AAAAAF/w7z0=")</f>
        <v>#REF!</v>
      </c>
      <c r="BK9" t="e">
        <f>AND(#REF!,"AAAAAF/w7z4=")</f>
        <v>#REF!</v>
      </c>
      <c r="BL9" t="e">
        <f>AND(#REF!,"AAAAAF/w7z8=")</f>
        <v>#REF!</v>
      </c>
      <c r="BM9" t="e">
        <f>AND(#REF!,"AAAAAF/w70A=")</f>
        <v>#REF!</v>
      </c>
      <c r="BN9" t="e">
        <f>AND(#REF!,"AAAAAF/w70E=")</f>
        <v>#REF!</v>
      </c>
      <c r="BO9" t="e">
        <f>AND(#REF!,"AAAAAF/w70I=")</f>
        <v>#REF!</v>
      </c>
      <c r="BP9" t="e">
        <f>AND(#REF!,"AAAAAF/w70M=")</f>
        <v>#REF!</v>
      </c>
      <c r="BQ9" t="e">
        <f>AND(#REF!,"AAAAAF/w70Q=")</f>
        <v>#REF!</v>
      </c>
      <c r="BR9" t="e">
        <f>IF(#REF!,"AAAAAF/w70U=",0)</f>
        <v>#REF!</v>
      </c>
      <c r="BS9" t="e">
        <f>AND(#REF!,"AAAAAF/w70Y=")</f>
        <v>#REF!</v>
      </c>
      <c r="BT9" t="e">
        <f>AND(#REF!,"AAAAAF/w70c=")</f>
        <v>#REF!</v>
      </c>
      <c r="BU9" t="e">
        <f>AND(#REF!,"AAAAAF/w70g=")</f>
        <v>#REF!</v>
      </c>
      <c r="BV9" t="e">
        <f>AND(#REF!,"AAAAAF/w70k=")</f>
        <v>#REF!</v>
      </c>
      <c r="BW9" t="e">
        <f>AND(#REF!,"AAAAAF/w70o=")</f>
        <v>#REF!</v>
      </c>
      <c r="BX9" t="e">
        <f>AND(#REF!,"AAAAAF/w70s=")</f>
        <v>#REF!</v>
      </c>
      <c r="BY9" t="e">
        <f>AND(#REF!,"AAAAAF/w70w=")</f>
        <v>#REF!</v>
      </c>
      <c r="BZ9" t="e">
        <f>AND(#REF!,"AAAAAF/w700=")</f>
        <v>#REF!</v>
      </c>
      <c r="CA9" t="e">
        <f>AND(#REF!,"AAAAAF/w704=")</f>
        <v>#REF!</v>
      </c>
      <c r="CB9" t="e">
        <f>AND(#REF!,"AAAAAF/w708=")</f>
        <v>#REF!</v>
      </c>
      <c r="CC9" t="e">
        <f>AND(#REF!,"AAAAAF/w71A=")</f>
        <v>#REF!</v>
      </c>
      <c r="CD9" t="e">
        <f>AND(#REF!,"AAAAAF/w71E=")</f>
        <v>#REF!</v>
      </c>
      <c r="CE9" t="e">
        <f>AND(#REF!,"AAAAAF/w71I=")</f>
        <v>#REF!</v>
      </c>
      <c r="CF9" t="e">
        <f>IF(#REF!,"AAAAAF/w71M=",0)</f>
        <v>#REF!</v>
      </c>
      <c r="CG9" t="e">
        <f>AND(#REF!,"AAAAAF/w71Q=")</f>
        <v>#REF!</v>
      </c>
      <c r="CH9" t="e">
        <f>AND(#REF!,"AAAAAF/w71U=")</f>
        <v>#REF!</v>
      </c>
      <c r="CI9" t="e">
        <f>AND(#REF!,"AAAAAF/w71Y=")</f>
        <v>#REF!</v>
      </c>
      <c r="CJ9" t="e">
        <f>AND(#REF!,"AAAAAF/w71c=")</f>
        <v>#REF!</v>
      </c>
      <c r="CK9" t="e">
        <f>AND(#REF!,"AAAAAF/w71g=")</f>
        <v>#REF!</v>
      </c>
      <c r="CL9" t="e">
        <f>AND(#REF!,"AAAAAF/w71k=")</f>
        <v>#REF!</v>
      </c>
      <c r="CM9" t="e">
        <f>AND(#REF!,"AAAAAF/w71o=")</f>
        <v>#REF!</v>
      </c>
      <c r="CN9" t="e">
        <f>AND(#REF!,"AAAAAF/w71s=")</f>
        <v>#REF!</v>
      </c>
      <c r="CO9" t="e">
        <f>AND(#REF!,"AAAAAF/w71w=")</f>
        <v>#REF!</v>
      </c>
      <c r="CP9" t="e">
        <f>AND(#REF!,"AAAAAF/w710=")</f>
        <v>#REF!</v>
      </c>
      <c r="CQ9" t="e">
        <f>AND(#REF!,"AAAAAF/w714=")</f>
        <v>#REF!</v>
      </c>
      <c r="CR9" t="e">
        <f>AND(#REF!,"AAAAAF/w718=")</f>
        <v>#REF!</v>
      </c>
      <c r="CS9" t="e">
        <f>AND(#REF!,"AAAAAF/w72A=")</f>
        <v>#REF!</v>
      </c>
      <c r="CT9" t="e">
        <f>IF(#REF!,"AAAAAF/w72E=",0)</f>
        <v>#REF!</v>
      </c>
      <c r="CU9" t="e">
        <f>AND(#REF!,"AAAAAF/w72I=")</f>
        <v>#REF!</v>
      </c>
      <c r="CV9" t="e">
        <f>AND(#REF!,"AAAAAF/w72M=")</f>
        <v>#REF!</v>
      </c>
      <c r="CW9" t="e">
        <f>AND(#REF!,"AAAAAF/w72Q=")</f>
        <v>#REF!</v>
      </c>
      <c r="CX9" t="e">
        <f>AND(#REF!,"AAAAAF/w72U=")</f>
        <v>#REF!</v>
      </c>
      <c r="CY9" t="e">
        <f>AND(#REF!,"AAAAAF/w72Y=")</f>
        <v>#REF!</v>
      </c>
      <c r="CZ9" t="e">
        <f>AND(#REF!,"AAAAAF/w72c=")</f>
        <v>#REF!</v>
      </c>
      <c r="DA9" t="e">
        <f>AND(#REF!,"AAAAAF/w72g=")</f>
        <v>#REF!</v>
      </c>
      <c r="DB9" t="e">
        <f>AND(#REF!,"AAAAAF/w72k=")</f>
        <v>#REF!</v>
      </c>
      <c r="DC9" t="e">
        <f>AND(#REF!,"AAAAAF/w72o=")</f>
        <v>#REF!</v>
      </c>
      <c r="DD9" t="e">
        <f>AND(#REF!,"AAAAAF/w72s=")</f>
        <v>#REF!</v>
      </c>
      <c r="DE9" t="e">
        <f>AND(#REF!,"AAAAAF/w72w=")</f>
        <v>#REF!</v>
      </c>
      <c r="DF9" t="e">
        <f>AND(#REF!,"AAAAAF/w720=")</f>
        <v>#REF!</v>
      </c>
      <c r="DG9" t="e">
        <f>AND(#REF!,"AAAAAF/w724=")</f>
        <v>#REF!</v>
      </c>
      <c r="DH9" t="e">
        <f>IF(#REF!,"AAAAAF/w728=",0)</f>
        <v>#REF!</v>
      </c>
      <c r="DI9" t="e">
        <f>AND(#REF!,"AAAAAF/w73A=")</f>
        <v>#REF!</v>
      </c>
      <c r="DJ9" t="e">
        <f>AND(#REF!,"AAAAAF/w73E=")</f>
        <v>#REF!</v>
      </c>
      <c r="DK9" t="e">
        <f>AND(#REF!,"AAAAAF/w73I=")</f>
        <v>#REF!</v>
      </c>
      <c r="DL9" t="e">
        <f>AND(#REF!,"AAAAAF/w73M=")</f>
        <v>#REF!</v>
      </c>
      <c r="DM9" t="e">
        <f>AND(#REF!,"AAAAAF/w73Q=")</f>
        <v>#REF!</v>
      </c>
      <c r="DN9" t="e">
        <f>AND(#REF!,"AAAAAF/w73U=")</f>
        <v>#REF!</v>
      </c>
      <c r="DO9" t="e">
        <f>AND(#REF!,"AAAAAF/w73Y=")</f>
        <v>#REF!</v>
      </c>
      <c r="DP9" t="e">
        <f>AND(#REF!,"AAAAAF/w73c=")</f>
        <v>#REF!</v>
      </c>
      <c r="DQ9" t="e">
        <f>AND(#REF!,"AAAAAF/w73g=")</f>
        <v>#REF!</v>
      </c>
      <c r="DR9" t="e">
        <f>AND(#REF!,"AAAAAF/w73k=")</f>
        <v>#REF!</v>
      </c>
      <c r="DS9" t="e">
        <f>AND(#REF!,"AAAAAF/w73o=")</f>
        <v>#REF!</v>
      </c>
      <c r="DT9" t="e">
        <f>AND(#REF!,"AAAAAF/w73s=")</f>
        <v>#REF!</v>
      </c>
      <c r="DU9" t="e">
        <f>AND(#REF!,"AAAAAF/w73w=")</f>
        <v>#REF!</v>
      </c>
      <c r="DV9" t="e">
        <f>IF(#REF!,"AAAAAF/w730=",0)</f>
        <v>#REF!</v>
      </c>
      <c r="DW9" t="e">
        <f>AND(#REF!,"AAAAAF/w734=")</f>
        <v>#REF!</v>
      </c>
      <c r="DX9" t="e">
        <f>AND(#REF!,"AAAAAF/w738=")</f>
        <v>#REF!</v>
      </c>
      <c r="DY9" t="e">
        <f>AND(#REF!,"AAAAAF/w74A=")</f>
        <v>#REF!</v>
      </c>
      <c r="DZ9" t="e">
        <f>AND(#REF!,"AAAAAF/w74E=")</f>
        <v>#REF!</v>
      </c>
      <c r="EA9" t="e">
        <f>AND(#REF!,"AAAAAF/w74I=")</f>
        <v>#REF!</v>
      </c>
      <c r="EB9" t="e">
        <f>AND(#REF!,"AAAAAF/w74M=")</f>
        <v>#REF!</v>
      </c>
      <c r="EC9" t="e">
        <f>AND(#REF!,"AAAAAF/w74Q=")</f>
        <v>#REF!</v>
      </c>
      <c r="ED9" t="e">
        <f>AND(#REF!,"AAAAAF/w74U=")</f>
        <v>#REF!</v>
      </c>
      <c r="EE9" t="e">
        <f>AND(#REF!,"AAAAAF/w74Y=")</f>
        <v>#REF!</v>
      </c>
      <c r="EF9" t="e">
        <f>AND(#REF!,"AAAAAF/w74c=")</f>
        <v>#REF!</v>
      </c>
      <c r="EG9" t="e">
        <f>AND(#REF!,"AAAAAF/w74g=")</f>
        <v>#REF!</v>
      </c>
      <c r="EH9" t="e">
        <f>AND(#REF!,"AAAAAF/w74k=")</f>
        <v>#REF!</v>
      </c>
      <c r="EI9" t="e">
        <f>AND(#REF!,"AAAAAF/w74o=")</f>
        <v>#REF!</v>
      </c>
      <c r="EJ9" t="e">
        <f>IF(#REF!,"AAAAAF/w74s=",0)</f>
        <v>#REF!</v>
      </c>
      <c r="EK9" t="e">
        <f>AND(#REF!,"AAAAAF/w74w=")</f>
        <v>#REF!</v>
      </c>
      <c r="EL9" t="e">
        <f>AND(#REF!,"AAAAAF/w740=")</f>
        <v>#REF!</v>
      </c>
      <c r="EM9" t="e">
        <f>AND(#REF!,"AAAAAF/w744=")</f>
        <v>#REF!</v>
      </c>
      <c r="EN9" t="e">
        <f>AND(#REF!,"AAAAAF/w748=")</f>
        <v>#REF!</v>
      </c>
      <c r="EO9" t="e">
        <f>AND(#REF!,"AAAAAF/w75A=")</f>
        <v>#REF!</v>
      </c>
      <c r="EP9" t="e">
        <f>AND(#REF!,"AAAAAF/w75E=")</f>
        <v>#REF!</v>
      </c>
      <c r="EQ9" t="e">
        <f>AND(#REF!,"AAAAAF/w75I=")</f>
        <v>#REF!</v>
      </c>
      <c r="ER9" t="e">
        <f>AND(#REF!,"AAAAAF/w75M=")</f>
        <v>#REF!</v>
      </c>
      <c r="ES9" t="e">
        <f>AND(#REF!,"AAAAAF/w75Q=")</f>
        <v>#REF!</v>
      </c>
      <c r="ET9" t="e">
        <f>AND(#REF!,"AAAAAF/w75U=")</f>
        <v>#REF!</v>
      </c>
      <c r="EU9" t="e">
        <f>AND(#REF!,"AAAAAF/w75Y=")</f>
        <v>#REF!</v>
      </c>
      <c r="EV9" t="e">
        <f>AND(#REF!,"AAAAAF/w75c=")</f>
        <v>#REF!</v>
      </c>
      <c r="EW9" t="e">
        <f>AND(#REF!,"AAAAAF/w75g=")</f>
        <v>#REF!</v>
      </c>
      <c r="EX9" t="e">
        <f>IF(#REF!,"AAAAAF/w75k=",0)</f>
        <v>#REF!</v>
      </c>
      <c r="EY9" t="e">
        <f>AND(#REF!,"AAAAAF/w75o=")</f>
        <v>#REF!</v>
      </c>
      <c r="EZ9" t="e">
        <f>AND(#REF!,"AAAAAF/w75s=")</f>
        <v>#REF!</v>
      </c>
      <c r="FA9" t="e">
        <f>AND(#REF!,"AAAAAF/w75w=")</f>
        <v>#REF!</v>
      </c>
      <c r="FB9" t="e">
        <f>AND(#REF!,"AAAAAF/w750=")</f>
        <v>#REF!</v>
      </c>
      <c r="FC9" t="e">
        <f>AND(#REF!,"AAAAAF/w754=")</f>
        <v>#REF!</v>
      </c>
      <c r="FD9" t="e">
        <f>AND(#REF!,"AAAAAF/w758=")</f>
        <v>#REF!</v>
      </c>
      <c r="FE9" t="e">
        <f>AND(#REF!,"AAAAAF/w76A=")</f>
        <v>#REF!</v>
      </c>
      <c r="FF9" t="e">
        <f>AND(#REF!,"AAAAAF/w76E=")</f>
        <v>#REF!</v>
      </c>
      <c r="FG9" t="e">
        <f>AND(#REF!,"AAAAAF/w76I=")</f>
        <v>#REF!</v>
      </c>
      <c r="FH9" t="e">
        <f>AND(#REF!,"AAAAAF/w76M=")</f>
        <v>#REF!</v>
      </c>
      <c r="FI9" t="e">
        <f>AND(#REF!,"AAAAAF/w76Q=")</f>
        <v>#REF!</v>
      </c>
      <c r="FJ9" t="e">
        <f>AND(#REF!,"AAAAAF/w76U=")</f>
        <v>#REF!</v>
      </c>
      <c r="FK9" t="e">
        <f>AND(#REF!,"AAAAAF/w76Y=")</f>
        <v>#REF!</v>
      </c>
      <c r="FL9" t="e">
        <f>IF(#REF!,"AAAAAF/w76c=",0)</f>
        <v>#REF!</v>
      </c>
      <c r="FM9" t="e">
        <f>AND(#REF!,"AAAAAF/w76g=")</f>
        <v>#REF!</v>
      </c>
      <c r="FN9" t="e">
        <f>AND(#REF!,"AAAAAF/w76k=")</f>
        <v>#REF!</v>
      </c>
      <c r="FO9" t="e">
        <f>AND(#REF!,"AAAAAF/w76o=")</f>
        <v>#REF!</v>
      </c>
      <c r="FP9" t="e">
        <f>AND(#REF!,"AAAAAF/w76s=")</f>
        <v>#REF!</v>
      </c>
      <c r="FQ9" t="e">
        <f>AND(#REF!,"AAAAAF/w76w=")</f>
        <v>#REF!</v>
      </c>
      <c r="FR9" t="e">
        <f>AND(#REF!,"AAAAAF/w760=")</f>
        <v>#REF!</v>
      </c>
      <c r="FS9" t="e">
        <f>AND(#REF!,"AAAAAF/w764=")</f>
        <v>#REF!</v>
      </c>
      <c r="FT9" t="e">
        <f>AND(#REF!,"AAAAAF/w768=")</f>
        <v>#REF!</v>
      </c>
      <c r="FU9" t="e">
        <f>AND(#REF!,"AAAAAF/w77A=")</f>
        <v>#REF!</v>
      </c>
      <c r="FV9" t="e">
        <f>AND(#REF!,"AAAAAF/w77E=")</f>
        <v>#REF!</v>
      </c>
      <c r="FW9" t="e">
        <f>AND(#REF!,"AAAAAF/w77I=")</f>
        <v>#REF!</v>
      </c>
      <c r="FX9" t="e">
        <f>AND(#REF!,"AAAAAF/w77M=")</f>
        <v>#REF!</v>
      </c>
      <c r="FY9" t="e">
        <f>AND(#REF!,"AAAAAF/w77Q=")</f>
        <v>#REF!</v>
      </c>
      <c r="FZ9" t="e">
        <f>IF(#REF!,"AAAAAF/w77U=",0)</f>
        <v>#REF!</v>
      </c>
      <c r="GA9" t="e">
        <f>AND(#REF!,"AAAAAF/w77Y=")</f>
        <v>#REF!</v>
      </c>
      <c r="GB9" t="e">
        <f>AND(#REF!,"AAAAAF/w77c=")</f>
        <v>#REF!</v>
      </c>
      <c r="GC9" t="e">
        <f>AND(#REF!,"AAAAAF/w77g=")</f>
        <v>#REF!</v>
      </c>
      <c r="GD9" t="e">
        <f>AND(#REF!,"AAAAAF/w77k=")</f>
        <v>#REF!</v>
      </c>
      <c r="GE9" t="e">
        <f>AND(#REF!,"AAAAAF/w77o=")</f>
        <v>#REF!</v>
      </c>
      <c r="GF9" t="e">
        <f>AND(#REF!,"AAAAAF/w77s=")</f>
        <v>#REF!</v>
      </c>
      <c r="GG9" t="e">
        <f>AND(#REF!,"AAAAAF/w77w=")</f>
        <v>#REF!</v>
      </c>
      <c r="GH9" t="e">
        <f>AND(#REF!,"AAAAAF/w770=")</f>
        <v>#REF!</v>
      </c>
      <c r="GI9" t="e">
        <f>AND(#REF!,"AAAAAF/w774=")</f>
        <v>#REF!</v>
      </c>
      <c r="GJ9" t="e">
        <f>AND(#REF!,"AAAAAF/w778=")</f>
        <v>#REF!</v>
      </c>
      <c r="GK9" t="e">
        <f>AND(#REF!,"AAAAAF/w78A=")</f>
        <v>#REF!</v>
      </c>
      <c r="GL9" t="e">
        <f>AND(#REF!,"AAAAAF/w78E=")</f>
        <v>#REF!</v>
      </c>
      <c r="GM9" t="e">
        <f>AND(#REF!,"AAAAAF/w78I=")</f>
        <v>#REF!</v>
      </c>
      <c r="GN9" t="e">
        <f>IF(#REF!,"AAAAAF/w78M=",0)</f>
        <v>#REF!</v>
      </c>
      <c r="GO9" t="e">
        <f>IF(#REF!,"AAAAAF/w78Q=",0)</f>
        <v>#REF!</v>
      </c>
      <c r="GP9" t="e">
        <f>IF(#REF!,"AAAAAF/w78U=",0)</f>
        <v>#REF!</v>
      </c>
      <c r="GQ9" t="e">
        <f>IF(#REF!,"AAAAAF/w78Y=",0)</f>
        <v>#REF!</v>
      </c>
      <c r="GR9" t="e">
        <f>IF(#REF!,"AAAAAF/w78c=",0)</f>
        <v>#REF!</v>
      </c>
      <c r="GS9" t="e">
        <f>IF(#REF!,"AAAAAF/w78g=",0)</f>
        <v>#REF!</v>
      </c>
      <c r="GT9" t="e">
        <f>IF(#REF!,"AAAAAF/w78k=",0)</f>
        <v>#REF!</v>
      </c>
      <c r="GU9" t="e">
        <f>IF(#REF!,"AAAAAF/w78o=",0)</f>
        <v>#REF!</v>
      </c>
      <c r="GV9" t="e">
        <f>IF(#REF!,"AAAAAF/w78s=",0)</f>
        <v>#REF!</v>
      </c>
      <c r="GW9" t="e">
        <f>IF(#REF!,"AAAAAF/w78w=",0)</f>
        <v>#REF!</v>
      </c>
      <c r="GX9" t="e">
        <f>IF(#REF!,"AAAAAF/w780=",0)</f>
        <v>#REF!</v>
      </c>
      <c r="GY9" t="e">
        <f>IF(#REF!,"AAAAAF/w784=",0)</f>
        <v>#REF!</v>
      </c>
      <c r="GZ9" t="e">
        <f>IF(#REF!,"AAAAAF/w788=",0)</f>
        <v>#REF!</v>
      </c>
      <c r="HA9" t="e">
        <f>IF(#REF!,"AAAAAF/w79A=",0)</f>
        <v>#REF!</v>
      </c>
      <c r="HB9" t="e">
        <f>AND(#REF!,"AAAAAF/w79E=")</f>
        <v>#REF!</v>
      </c>
      <c r="HC9" t="e">
        <f>AND(#REF!,"AAAAAF/w79I=")</f>
        <v>#REF!</v>
      </c>
      <c r="HD9" t="e">
        <f>AND(#REF!,"AAAAAF/w79M=")</f>
        <v>#REF!</v>
      </c>
      <c r="HE9" t="e">
        <f>AND(#REF!,"AAAAAF/w79Q=")</f>
        <v>#REF!</v>
      </c>
      <c r="HF9" t="e">
        <f>AND(#REF!,"AAAAAF/w79U=")</f>
        <v>#REF!</v>
      </c>
      <c r="HG9" t="e">
        <f>IF(#REF!,"AAAAAF/w79Y=",0)</f>
        <v>#REF!</v>
      </c>
      <c r="HH9" t="e">
        <f>AND(#REF!,"AAAAAF/w79c=")</f>
        <v>#REF!</v>
      </c>
      <c r="HI9" t="e">
        <f>AND(#REF!,"AAAAAF/w79g=")</f>
        <v>#REF!</v>
      </c>
      <c r="HJ9" t="e">
        <f>AND(#REF!,"AAAAAF/w79k=")</f>
        <v>#REF!</v>
      </c>
      <c r="HK9" t="e">
        <f>AND(#REF!,"AAAAAF/w79o=")</f>
        <v>#REF!</v>
      </c>
      <c r="HL9" t="e">
        <f>AND(#REF!,"AAAAAF/w79s=")</f>
        <v>#REF!</v>
      </c>
      <c r="HM9" t="e">
        <f>IF(#REF!,"AAAAAF/w79w=",0)</f>
        <v>#REF!</v>
      </c>
      <c r="HN9" t="e">
        <f>AND(#REF!,"AAAAAF/w790=")</f>
        <v>#REF!</v>
      </c>
      <c r="HO9" t="e">
        <f>AND(#REF!,"AAAAAF/w794=")</f>
        <v>#REF!</v>
      </c>
      <c r="HP9" t="e">
        <f>AND(#REF!,"AAAAAF/w798=")</f>
        <v>#REF!</v>
      </c>
      <c r="HQ9" t="e">
        <f>AND(#REF!,"AAAAAF/w7+A=")</f>
        <v>#REF!</v>
      </c>
      <c r="HR9" t="e">
        <f>AND(#REF!,"AAAAAF/w7+E=")</f>
        <v>#REF!</v>
      </c>
      <c r="HS9" t="e">
        <f>IF(#REF!,"AAAAAF/w7+I=",0)</f>
        <v>#REF!</v>
      </c>
      <c r="HT9" t="e">
        <f>AND(#REF!,"AAAAAF/w7+M=")</f>
        <v>#REF!</v>
      </c>
      <c r="HU9" t="e">
        <f>AND(#REF!,"AAAAAF/w7+Q=")</f>
        <v>#REF!</v>
      </c>
      <c r="HV9" t="e">
        <f>AND(#REF!,"AAAAAF/w7+U=")</f>
        <v>#REF!</v>
      </c>
      <c r="HW9" t="e">
        <f>AND(#REF!,"AAAAAF/w7+Y=")</f>
        <v>#REF!</v>
      </c>
      <c r="HX9" t="e">
        <f>AND(#REF!,"AAAAAF/w7+c=")</f>
        <v>#REF!</v>
      </c>
      <c r="HY9" t="e">
        <f>IF(#REF!,"AAAAAF/w7+g=",0)</f>
        <v>#REF!</v>
      </c>
      <c r="HZ9" t="e">
        <f>AND(#REF!,"AAAAAF/w7+k=")</f>
        <v>#REF!</v>
      </c>
      <c r="IA9" t="e">
        <f>AND(#REF!,"AAAAAF/w7+o=")</f>
        <v>#REF!</v>
      </c>
      <c r="IB9" t="e">
        <f>AND(#REF!,"AAAAAF/w7+s=")</f>
        <v>#REF!</v>
      </c>
      <c r="IC9" t="e">
        <f>AND(#REF!,"AAAAAF/w7+w=")</f>
        <v>#REF!</v>
      </c>
      <c r="ID9" t="e">
        <f>AND(#REF!,"AAAAAF/w7+0=")</f>
        <v>#REF!</v>
      </c>
      <c r="IE9" t="e">
        <f>IF(#REF!,"AAAAAF/w7+4=",0)</f>
        <v>#REF!</v>
      </c>
      <c r="IF9" t="e">
        <f>AND(#REF!,"AAAAAF/w7+8=")</f>
        <v>#REF!</v>
      </c>
      <c r="IG9" t="e">
        <f>AND(#REF!,"AAAAAF/w7/A=")</f>
        <v>#REF!</v>
      </c>
      <c r="IH9" t="e">
        <f>AND(#REF!,"AAAAAF/w7/E=")</f>
        <v>#REF!</v>
      </c>
      <c r="II9" t="e">
        <f>AND(#REF!,"AAAAAF/w7/I=")</f>
        <v>#REF!</v>
      </c>
      <c r="IJ9" t="e">
        <f>AND(#REF!,"AAAAAF/w7/M=")</f>
        <v>#REF!</v>
      </c>
      <c r="IK9" t="e">
        <f>IF(#REF!,"AAAAAF/w7/Q=",0)</f>
        <v>#REF!</v>
      </c>
      <c r="IL9" t="e">
        <f>AND(#REF!,"AAAAAF/w7/U=")</f>
        <v>#REF!</v>
      </c>
      <c r="IM9" t="e">
        <f>AND(#REF!,"AAAAAF/w7/Y=")</f>
        <v>#REF!</v>
      </c>
      <c r="IN9" t="e">
        <f>AND(#REF!,"AAAAAF/w7/c=")</f>
        <v>#REF!</v>
      </c>
      <c r="IO9" t="e">
        <f>AND(#REF!,"AAAAAF/w7/g=")</f>
        <v>#REF!</v>
      </c>
      <c r="IP9" t="e">
        <f>AND(#REF!,"AAAAAF/w7/k=")</f>
        <v>#REF!</v>
      </c>
      <c r="IQ9" t="e">
        <f>IF(#REF!,"AAAAAF/w7/o=",0)</f>
        <v>#REF!</v>
      </c>
      <c r="IR9" t="e">
        <f>AND(#REF!,"AAAAAF/w7/s=")</f>
        <v>#REF!</v>
      </c>
      <c r="IS9" t="e">
        <f>AND(#REF!,"AAAAAF/w7/w=")</f>
        <v>#REF!</v>
      </c>
      <c r="IT9" t="e">
        <f>AND(#REF!,"AAAAAF/w7/0=")</f>
        <v>#REF!</v>
      </c>
      <c r="IU9" t="e">
        <f>AND(#REF!,"AAAAAF/w7/4=")</f>
        <v>#REF!</v>
      </c>
      <c r="IV9" t="e">
        <f>AND(#REF!,"AAAAAF/w7/8=")</f>
        <v>#REF!</v>
      </c>
    </row>
    <row r="10" spans="1:256">
      <c r="A10" t="e">
        <f>IF(#REF!,"AAAAAHf/vwA=",0)</f>
        <v>#REF!</v>
      </c>
      <c r="B10" t="e">
        <f>AND(#REF!,"AAAAAHf/vwE=")</f>
        <v>#REF!</v>
      </c>
      <c r="C10" t="e">
        <f>AND(#REF!,"AAAAAHf/vwI=")</f>
        <v>#REF!</v>
      </c>
      <c r="D10" t="e">
        <f>AND(#REF!,"AAAAAHf/vwM=")</f>
        <v>#REF!</v>
      </c>
      <c r="E10" t="e">
        <f>AND(#REF!,"AAAAAHf/vwQ=")</f>
        <v>#REF!</v>
      </c>
      <c r="F10" t="e">
        <f>AND(#REF!,"AAAAAHf/vwU=")</f>
        <v>#REF!</v>
      </c>
      <c r="G10" t="e">
        <f>IF(#REF!,"AAAAAHf/vwY=",0)</f>
        <v>#REF!</v>
      </c>
      <c r="H10" t="e">
        <f>AND(#REF!,"AAAAAHf/vwc=")</f>
        <v>#REF!</v>
      </c>
      <c r="I10" t="e">
        <f>AND(#REF!,"AAAAAHf/vwg=")</f>
        <v>#REF!</v>
      </c>
      <c r="J10" t="e">
        <f>AND(#REF!,"AAAAAHf/vwk=")</f>
        <v>#REF!</v>
      </c>
      <c r="K10" t="e">
        <f>AND(#REF!,"AAAAAHf/vwo=")</f>
        <v>#REF!</v>
      </c>
      <c r="L10" t="e">
        <f>AND(#REF!,"AAAAAHf/vws=")</f>
        <v>#REF!</v>
      </c>
      <c r="M10" t="e">
        <f>IF(#REF!,"AAAAAHf/vww=",0)</f>
        <v>#REF!</v>
      </c>
      <c r="N10" t="e">
        <f>AND(#REF!,"AAAAAHf/vw0=")</f>
        <v>#REF!</v>
      </c>
      <c r="O10" t="e">
        <f>AND(#REF!,"AAAAAHf/vw4=")</f>
        <v>#REF!</v>
      </c>
      <c r="P10" t="e">
        <f>AND(#REF!,"AAAAAHf/vw8=")</f>
        <v>#REF!</v>
      </c>
      <c r="Q10" t="e">
        <f>AND(#REF!,"AAAAAHf/vxA=")</f>
        <v>#REF!</v>
      </c>
      <c r="R10" t="e">
        <f>AND(#REF!,"AAAAAHf/vxE=")</f>
        <v>#REF!</v>
      </c>
      <c r="S10" t="e">
        <f>IF(#REF!,"AAAAAHf/vxI=",0)</f>
        <v>#REF!</v>
      </c>
      <c r="T10" t="e">
        <f>AND(#REF!,"AAAAAHf/vxM=")</f>
        <v>#REF!</v>
      </c>
      <c r="U10" t="e">
        <f>AND(#REF!,"AAAAAHf/vxQ=")</f>
        <v>#REF!</v>
      </c>
      <c r="V10" t="e">
        <f>AND(#REF!,"AAAAAHf/vxU=")</f>
        <v>#REF!</v>
      </c>
      <c r="W10" t="e">
        <f>AND(#REF!,"AAAAAHf/vxY=")</f>
        <v>#REF!</v>
      </c>
      <c r="X10" t="e">
        <f>AND(#REF!,"AAAAAHf/vxc=")</f>
        <v>#REF!</v>
      </c>
      <c r="Y10" t="e">
        <f>IF(#REF!,"AAAAAHf/vxg=",0)</f>
        <v>#REF!</v>
      </c>
      <c r="Z10" t="e">
        <f>AND(#REF!,"AAAAAHf/vxk=")</f>
        <v>#REF!</v>
      </c>
      <c r="AA10" t="e">
        <f>AND(#REF!,"AAAAAHf/vxo=")</f>
        <v>#REF!</v>
      </c>
      <c r="AB10" t="e">
        <f>AND(#REF!,"AAAAAHf/vxs=")</f>
        <v>#REF!</v>
      </c>
      <c r="AC10" t="e">
        <f>AND(#REF!,"AAAAAHf/vxw=")</f>
        <v>#REF!</v>
      </c>
      <c r="AD10" t="e">
        <f>AND(#REF!,"AAAAAHf/vx0=")</f>
        <v>#REF!</v>
      </c>
      <c r="AE10" t="e">
        <f>IF(#REF!,"AAAAAHf/vx4=",0)</f>
        <v>#REF!</v>
      </c>
      <c r="AF10" t="e">
        <f>AND(#REF!,"AAAAAHf/vx8=")</f>
        <v>#REF!</v>
      </c>
      <c r="AG10" t="e">
        <f>AND(#REF!,"AAAAAHf/vyA=")</f>
        <v>#REF!</v>
      </c>
      <c r="AH10" t="e">
        <f>AND(#REF!,"AAAAAHf/vyE=")</f>
        <v>#REF!</v>
      </c>
      <c r="AI10" t="e">
        <f>AND(#REF!,"AAAAAHf/vyI=")</f>
        <v>#REF!</v>
      </c>
      <c r="AJ10" t="e">
        <f>AND(#REF!,"AAAAAHf/vyM=")</f>
        <v>#REF!</v>
      </c>
      <c r="AK10" t="e">
        <f>IF(#REF!,"AAAAAHf/vyQ=",0)</f>
        <v>#REF!</v>
      </c>
      <c r="AL10" t="e">
        <f>AND(#REF!,"AAAAAHf/vyU=")</f>
        <v>#REF!</v>
      </c>
      <c r="AM10" t="e">
        <f>AND(#REF!,"AAAAAHf/vyY=")</f>
        <v>#REF!</v>
      </c>
      <c r="AN10" t="e">
        <f>AND(#REF!,"AAAAAHf/vyc=")</f>
        <v>#REF!</v>
      </c>
      <c r="AO10" t="e">
        <f>AND(#REF!,"AAAAAHf/vyg=")</f>
        <v>#REF!</v>
      </c>
      <c r="AP10" t="e">
        <f>AND(#REF!,"AAAAAHf/vyk=")</f>
        <v>#REF!</v>
      </c>
      <c r="AQ10" t="e">
        <f>IF(#REF!,"AAAAAHf/vyo=",0)</f>
        <v>#REF!</v>
      </c>
      <c r="AR10" t="e">
        <f>AND(#REF!,"AAAAAHf/vys=")</f>
        <v>#REF!</v>
      </c>
      <c r="AS10" t="e">
        <f>AND(#REF!,"AAAAAHf/vyw=")</f>
        <v>#REF!</v>
      </c>
      <c r="AT10" t="e">
        <f>AND(#REF!,"AAAAAHf/vy0=")</f>
        <v>#REF!</v>
      </c>
      <c r="AU10" t="e">
        <f>AND(#REF!,"AAAAAHf/vy4=")</f>
        <v>#REF!</v>
      </c>
      <c r="AV10" t="e">
        <f>AND(#REF!,"AAAAAHf/vy8=")</f>
        <v>#REF!</v>
      </c>
      <c r="AW10" t="e">
        <f>IF(#REF!,"AAAAAHf/vzA=",0)</f>
        <v>#REF!</v>
      </c>
      <c r="AX10" t="e">
        <f>AND(#REF!,"AAAAAHf/vzE=")</f>
        <v>#REF!</v>
      </c>
      <c r="AY10" t="e">
        <f>AND(#REF!,"AAAAAHf/vzI=")</f>
        <v>#REF!</v>
      </c>
      <c r="AZ10" t="e">
        <f>AND(#REF!,"AAAAAHf/vzM=")</f>
        <v>#REF!</v>
      </c>
      <c r="BA10" t="e">
        <f>AND(#REF!,"AAAAAHf/vzQ=")</f>
        <v>#REF!</v>
      </c>
      <c r="BB10" t="e">
        <f>AND(#REF!,"AAAAAHf/vzU=")</f>
        <v>#REF!</v>
      </c>
      <c r="BC10" t="e">
        <f>IF(#REF!,"AAAAAHf/vzY=",0)</f>
        <v>#REF!</v>
      </c>
      <c r="BD10" t="e">
        <f>AND(#REF!,"AAAAAHf/vzc=")</f>
        <v>#REF!</v>
      </c>
      <c r="BE10" t="e">
        <f>AND(#REF!,"AAAAAHf/vzg=")</f>
        <v>#REF!</v>
      </c>
      <c r="BF10" t="e">
        <f>AND(#REF!,"AAAAAHf/vzk=")</f>
        <v>#REF!</v>
      </c>
      <c r="BG10" t="e">
        <f>AND(#REF!,"AAAAAHf/vzo=")</f>
        <v>#REF!</v>
      </c>
      <c r="BH10" t="e">
        <f>AND(#REF!,"AAAAAHf/vzs=")</f>
        <v>#REF!</v>
      </c>
      <c r="BI10" t="e">
        <f>IF(#REF!,"AAAAAHf/vzw=",0)</f>
        <v>#REF!</v>
      </c>
      <c r="BJ10" t="e">
        <f>AND(#REF!,"AAAAAHf/vz0=")</f>
        <v>#REF!</v>
      </c>
      <c r="BK10" t="e">
        <f>AND(#REF!,"AAAAAHf/vz4=")</f>
        <v>#REF!</v>
      </c>
      <c r="BL10" t="e">
        <f>AND(#REF!,"AAAAAHf/vz8=")</f>
        <v>#REF!</v>
      </c>
      <c r="BM10" t="e">
        <f>AND(#REF!,"AAAAAHf/v0A=")</f>
        <v>#REF!</v>
      </c>
      <c r="BN10" t="e">
        <f>AND(#REF!,"AAAAAHf/v0E=")</f>
        <v>#REF!</v>
      </c>
      <c r="BO10" t="e">
        <f>IF(#REF!,"AAAAAHf/v0I=",0)</f>
        <v>#REF!</v>
      </c>
      <c r="BP10" t="e">
        <f>AND(#REF!,"AAAAAHf/v0M=")</f>
        <v>#REF!</v>
      </c>
      <c r="BQ10" t="e">
        <f>AND(#REF!,"AAAAAHf/v0Q=")</f>
        <v>#REF!</v>
      </c>
      <c r="BR10" t="e">
        <f>AND(#REF!,"AAAAAHf/v0U=")</f>
        <v>#REF!</v>
      </c>
      <c r="BS10" t="e">
        <f>AND(#REF!,"AAAAAHf/v0Y=")</f>
        <v>#REF!</v>
      </c>
      <c r="BT10" t="e">
        <f>AND(#REF!,"AAAAAHf/v0c=")</f>
        <v>#REF!</v>
      </c>
      <c r="BU10" t="e">
        <f>IF(#REF!,"AAAAAHf/v0g=",0)</f>
        <v>#REF!</v>
      </c>
      <c r="BV10" t="e">
        <f>AND(#REF!,"AAAAAHf/v0k=")</f>
        <v>#REF!</v>
      </c>
      <c r="BW10" t="e">
        <f>AND(#REF!,"AAAAAHf/v0o=")</f>
        <v>#REF!</v>
      </c>
      <c r="BX10" t="e">
        <f>AND(#REF!,"AAAAAHf/v0s=")</f>
        <v>#REF!</v>
      </c>
      <c r="BY10" t="e">
        <f>AND(#REF!,"AAAAAHf/v0w=")</f>
        <v>#REF!</v>
      </c>
      <c r="BZ10" t="e">
        <f>AND(#REF!,"AAAAAHf/v00=")</f>
        <v>#REF!</v>
      </c>
      <c r="CA10" t="e">
        <f>IF(#REF!,"AAAAAHf/v04=",0)</f>
        <v>#REF!</v>
      </c>
      <c r="CB10" t="e">
        <f>AND(#REF!,"AAAAAHf/v08=")</f>
        <v>#REF!</v>
      </c>
      <c r="CC10" t="e">
        <f>AND(#REF!,"AAAAAHf/v1A=")</f>
        <v>#REF!</v>
      </c>
      <c r="CD10" t="e">
        <f>AND(#REF!,"AAAAAHf/v1E=")</f>
        <v>#REF!</v>
      </c>
      <c r="CE10" t="e">
        <f>AND(#REF!,"AAAAAHf/v1I=")</f>
        <v>#REF!</v>
      </c>
      <c r="CF10" t="e">
        <f>AND(#REF!,"AAAAAHf/v1M=")</f>
        <v>#REF!</v>
      </c>
      <c r="CG10" t="e">
        <f>IF(#REF!,"AAAAAHf/v1Q=",0)</f>
        <v>#REF!</v>
      </c>
      <c r="CH10" t="e">
        <f>AND(#REF!,"AAAAAHf/v1U=")</f>
        <v>#REF!</v>
      </c>
      <c r="CI10" t="e">
        <f>AND(#REF!,"AAAAAHf/v1Y=")</f>
        <v>#REF!</v>
      </c>
      <c r="CJ10" t="e">
        <f>AND(#REF!,"AAAAAHf/v1c=")</f>
        <v>#REF!</v>
      </c>
      <c r="CK10" t="e">
        <f>AND(#REF!,"AAAAAHf/v1g=")</f>
        <v>#REF!</v>
      </c>
      <c r="CL10" t="e">
        <f>AND(#REF!,"AAAAAHf/v1k=")</f>
        <v>#REF!</v>
      </c>
      <c r="CM10" t="e">
        <f>IF(#REF!,"AAAAAHf/v1o=",0)</f>
        <v>#REF!</v>
      </c>
      <c r="CN10" t="e">
        <f>AND(#REF!,"AAAAAHf/v1s=")</f>
        <v>#REF!</v>
      </c>
      <c r="CO10" t="e">
        <f>AND(#REF!,"AAAAAHf/v1w=")</f>
        <v>#REF!</v>
      </c>
      <c r="CP10" t="e">
        <f>AND(#REF!,"AAAAAHf/v10=")</f>
        <v>#REF!</v>
      </c>
      <c r="CQ10" t="e">
        <f>AND(#REF!,"AAAAAHf/v14=")</f>
        <v>#REF!</v>
      </c>
      <c r="CR10" t="e">
        <f>AND(#REF!,"AAAAAHf/v18=")</f>
        <v>#REF!</v>
      </c>
      <c r="CS10" t="e">
        <f>IF(#REF!,"AAAAAHf/v2A=",0)</f>
        <v>#REF!</v>
      </c>
      <c r="CT10" t="e">
        <f>AND(#REF!,"AAAAAHf/v2E=")</f>
        <v>#REF!</v>
      </c>
      <c r="CU10" t="e">
        <f>AND(#REF!,"AAAAAHf/v2I=")</f>
        <v>#REF!</v>
      </c>
      <c r="CV10" t="e">
        <f>AND(#REF!,"AAAAAHf/v2M=")</f>
        <v>#REF!</v>
      </c>
      <c r="CW10" t="e">
        <f>AND(#REF!,"AAAAAHf/v2Q=")</f>
        <v>#REF!</v>
      </c>
      <c r="CX10" t="e">
        <f>AND(#REF!,"AAAAAHf/v2U=")</f>
        <v>#REF!</v>
      </c>
      <c r="CY10" t="e">
        <f>IF(#REF!,"AAAAAHf/v2Y=",0)</f>
        <v>#REF!</v>
      </c>
      <c r="CZ10" t="e">
        <f>AND(#REF!,"AAAAAHf/v2c=")</f>
        <v>#REF!</v>
      </c>
      <c r="DA10" t="e">
        <f>AND(#REF!,"AAAAAHf/v2g=")</f>
        <v>#REF!</v>
      </c>
      <c r="DB10" t="e">
        <f>AND(#REF!,"AAAAAHf/v2k=")</f>
        <v>#REF!</v>
      </c>
      <c r="DC10" t="e">
        <f>AND(#REF!,"AAAAAHf/v2o=")</f>
        <v>#REF!</v>
      </c>
      <c r="DD10" t="e">
        <f>AND(#REF!,"AAAAAHf/v2s=")</f>
        <v>#REF!</v>
      </c>
      <c r="DE10" t="e">
        <f>IF(#REF!,"AAAAAHf/v2w=",0)</f>
        <v>#REF!</v>
      </c>
      <c r="DF10" t="e">
        <f>AND(#REF!,"AAAAAHf/v20=")</f>
        <v>#REF!</v>
      </c>
      <c r="DG10" t="e">
        <f>AND(#REF!,"AAAAAHf/v24=")</f>
        <v>#REF!</v>
      </c>
      <c r="DH10" t="e">
        <f>AND(#REF!,"AAAAAHf/v28=")</f>
        <v>#REF!</v>
      </c>
      <c r="DI10" t="e">
        <f>AND(#REF!,"AAAAAHf/v3A=")</f>
        <v>#REF!</v>
      </c>
      <c r="DJ10" t="e">
        <f>AND(#REF!,"AAAAAHf/v3E=")</f>
        <v>#REF!</v>
      </c>
      <c r="DK10" t="e">
        <f>IF(#REF!,"AAAAAHf/v3I=",0)</f>
        <v>#REF!</v>
      </c>
      <c r="DL10" t="e">
        <f>AND(#REF!,"AAAAAHf/v3M=")</f>
        <v>#REF!</v>
      </c>
      <c r="DM10" t="e">
        <f>AND(#REF!,"AAAAAHf/v3Q=")</f>
        <v>#REF!</v>
      </c>
      <c r="DN10" t="e">
        <f>AND(#REF!,"AAAAAHf/v3U=")</f>
        <v>#REF!</v>
      </c>
      <c r="DO10" t="e">
        <f>AND(#REF!,"AAAAAHf/v3Y=")</f>
        <v>#REF!</v>
      </c>
      <c r="DP10" t="e">
        <f>AND(#REF!,"AAAAAHf/v3c=")</f>
        <v>#REF!</v>
      </c>
      <c r="DQ10" t="e">
        <f>IF(#REF!,"AAAAAHf/v3g=",0)</f>
        <v>#REF!</v>
      </c>
      <c r="DR10" t="e">
        <f>AND(#REF!,"AAAAAHf/v3k=")</f>
        <v>#REF!</v>
      </c>
      <c r="DS10" t="e">
        <f>AND(#REF!,"AAAAAHf/v3o=")</f>
        <v>#REF!</v>
      </c>
      <c r="DT10" t="e">
        <f>AND(#REF!,"AAAAAHf/v3s=")</f>
        <v>#REF!</v>
      </c>
      <c r="DU10" t="e">
        <f>AND(#REF!,"AAAAAHf/v3w=")</f>
        <v>#REF!</v>
      </c>
      <c r="DV10" t="e">
        <f>AND(#REF!,"AAAAAHf/v30=")</f>
        <v>#REF!</v>
      </c>
      <c r="DW10" t="e">
        <f>IF(#REF!,"AAAAAHf/v34=",0)</f>
        <v>#REF!</v>
      </c>
      <c r="DX10" t="e">
        <f>AND(#REF!,"AAAAAHf/v38=")</f>
        <v>#REF!</v>
      </c>
      <c r="DY10" t="e">
        <f>AND(#REF!,"AAAAAHf/v4A=")</f>
        <v>#REF!</v>
      </c>
      <c r="DZ10" t="e">
        <f>AND(#REF!,"AAAAAHf/v4E=")</f>
        <v>#REF!</v>
      </c>
      <c r="EA10" t="e">
        <f>AND(#REF!,"AAAAAHf/v4I=")</f>
        <v>#REF!</v>
      </c>
      <c r="EB10" t="e">
        <f>AND(#REF!,"AAAAAHf/v4M=")</f>
        <v>#REF!</v>
      </c>
      <c r="EC10" t="e">
        <f>IF(#REF!,"AAAAAHf/v4Q=",0)</f>
        <v>#REF!</v>
      </c>
      <c r="ED10" t="e">
        <f>AND(#REF!,"AAAAAHf/v4U=")</f>
        <v>#REF!</v>
      </c>
      <c r="EE10" t="e">
        <f>AND(#REF!,"AAAAAHf/v4Y=")</f>
        <v>#REF!</v>
      </c>
      <c r="EF10" t="e">
        <f>AND(#REF!,"AAAAAHf/v4c=")</f>
        <v>#REF!</v>
      </c>
      <c r="EG10" t="e">
        <f>AND(#REF!,"AAAAAHf/v4g=")</f>
        <v>#REF!</v>
      </c>
      <c r="EH10" t="e">
        <f>AND(#REF!,"AAAAAHf/v4k=")</f>
        <v>#REF!</v>
      </c>
      <c r="EI10" t="e">
        <f>IF(#REF!,"AAAAAHf/v4o=",0)</f>
        <v>#REF!</v>
      </c>
      <c r="EJ10" t="e">
        <f>AND(#REF!,"AAAAAHf/v4s=")</f>
        <v>#REF!</v>
      </c>
      <c r="EK10" t="e">
        <f>AND(#REF!,"AAAAAHf/v4w=")</f>
        <v>#REF!</v>
      </c>
      <c r="EL10" t="e">
        <f>AND(#REF!,"AAAAAHf/v40=")</f>
        <v>#REF!</v>
      </c>
      <c r="EM10" t="e">
        <f>AND(#REF!,"AAAAAHf/v44=")</f>
        <v>#REF!</v>
      </c>
      <c r="EN10" t="e">
        <f>AND(#REF!,"AAAAAHf/v48=")</f>
        <v>#REF!</v>
      </c>
      <c r="EO10" t="e">
        <f>IF(#REF!,"AAAAAHf/v5A=",0)</f>
        <v>#REF!</v>
      </c>
      <c r="EP10" t="e">
        <f>AND(#REF!,"AAAAAHf/v5E=")</f>
        <v>#REF!</v>
      </c>
      <c r="EQ10" t="e">
        <f>AND(#REF!,"AAAAAHf/v5I=")</f>
        <v>#REF!</v>
      </c>
      <c r="ER10" t="e">
        <f>AND(#REF!,"AAAAAHf/v5M=")</f>
        <v>#REF!</v>
      </c>
      <c r="ES10" t="e">
        <f>AND(#REF!,"AAAAAHf/v5Q=")</f>
        <v>#REF!</v>
      </c>
      <c r="ET10" t="e">
        <f>AND(#REF!,"AAAAAHf/v5U=")</f>
        <v>#REF!</v>
      </c>
      <c r="EU10" t="e">
        <f>IF(#REF!,"AAAAAHf/v5Y=",0)</f>
        <v>#REF!</v>
      </c>
      <c r="EV10" t="e">
        <f>AND(#REF!,"AAAAAHf/v5c=")</f>
        <v>#REF!</v>
      </c>
      <c r="EW10" t="e">
        <f>AND(#REF!,"AAAAAHf/v5g=")</f>
        <v>#REF!</v>
      </c>
      <c r="EX10" t="e">
        <f>AND(#REF!,"AAAAAHf/v5k=")</f>
        <v>#REF!</v>
      </c>
      <c r="EY10" t="e">
        <f>AND(#REF!,"AAAAAHf/v5o=")</f>
        <v>#REF!</v>
      </c>
      <c r="EZ10" t="e">
        <f>AND(#REF!,"AAAAAHf/v5s=")</f>
        <v>#REF!</v>
      </c>
      <c r="FA10" t="e">
        <f>IF(#REF!,"AAAAAHf/v5w=",0)</f>
        <v>#REF!</v>
      </c>
      <c r="FB10" t="e">
        <f>AND(#REF!,"AAAAAHf/v50=")</f>
        <v>#REF!</v>
      </c>
      <c r="FC10" t="e">
        <f>AND(#REF!,"AAAAAHf/v54=")</f>
        <v>#REF!</v>
      </c>
      <c r="FD10" t="e">
        <f>AND(#REF!,"AAAAAHf/v58=")</f>
        <v>#REF!</v>
      </c>
      <c r="FE10" t="e">
        <f>AND(#REF!,"AAAAAHf/v6A=")</f>
        <v>#REF!</v>
      </c>
      <c r="FF10" t="e">
        <f>AND(#REF!,"AAAAAHf/v6E=")</f>
        <v>#REF!</v>
      </c>
      <c r="FG10" t="e">
        <f>IF(#REF!,"AAAAAHf/v6I=",0)</f>
        <v>#REF!</v>
      </c>
      <c r="FH10" t="e">
        <f>AND(#REF!,"AAAAAHf/v6M=")</f>
        <v>#REF!</v>
      </c>
      <c r="FI10" t="e">
        <f>AND(#REF!,"AAAAAHf/v6Q=")</f>
        <v>#REF!</v>
      </c>
      <c r="FJ10" t="e">
        <f>AND(#REF!,"AAAAAHf/v6U=")</f>
        <v>#REF!</v>
      </c>
      <c r="FK10" t="e">
        <f>AND(#REF!,"AAAAAHf/v6Y=")</f>
        <v>#REF!</v>
      </c>
      <c r="FL10" t="e">
        <f>AND(#REF!,"AAAAAHf/v6c=")</f>
        <v>#REF!</v>
      </c>
      <c r="FM10" t="e">
        <f>IF(#REF!,"AAAAAHf/v6g=",0)</f>
        <v>#REF!</v>
      </c>
      <c r="FN10" t="e">
        <f>AND(#REF!,"AAAAAHf/v6k=")</f>
        <v>#REF!</v>
      </c>
      <c r="FO10" t="e">
        <f>AND(#REF!,"AAAAAHf/v6o=")</f>
        <v>#REF!</v>
      </c>
      <c r="FP10" t="e">
        <f>AND(#REF!,"AAAAAHf/v6s=")</f>
        <v>#REF!</v>
      </c>
      <c r="FQ10" t="e">
        <f>AND(#REF!,"AAAAAHf/v6w=")</f>
        <v>#REF!</v>
      </c>
      <c r="FR10" t="e">
        <f>AND(#REF!,"AAAAAHf/v60=")</f>
        <v>#REF!</v>
      </c>
      <c r="FS10" t="e">
        <f>IF(#REF!,"AAAAAHf/v64=",0)</f>
        <v>#REF!</v>
      </c>
      <c r="FT10" t="e">
        <f>AND(#REF!,"AAAAAHf/v68=")</f>
        <v>#REF!</v>
      </c>
      <c r="FU10" t="e">
        <f>AND(#REF!,"AAAAAHf/v7A=")</f>
        <v>#REF!</v>
      </c>
      <c r="FV10" t="e">
        <f>AND(#REF!,"AAAAAHf/v7E=")</f>
        <v>#REF!</v>
      </c>
      <c r="FW10" t="e">
        <f>AND(#REF!,"AAAAAHf/v7I=")</f>
        <v>#REF!</v>
      </c>
      <c r="FX10" t="e">
        <f>AND(#REF!,"AAAAAHf/v7M=")</f>
        <v>#REF!</v>
      </c>
      <c r="FY10" t="e">
        <f>IF(#REF!,"AAAAAHf/v7Q=",0)</f>
        <v>#REF!</v>
      </c>
      <c r="FZ10" t="e">
        <f>AND(#REF!,"AAAAAHf/v7U=")</f>
        <v>#REF!</v>
      </c>
      <c r="GA10" t="e">
        <f>AND(#REF!,"AAAAAHf/v7Y=")</f>
        <v>#REF!</v>
      </c>
      <c r="GB10" t="e">
        <f>AND(#REF!,"AAAAAHf/v7c=")</f>
        <v>#REF!</v>
      </c>
      <c r="GC10" t="e">
        <f>AND(#REF!,"AAAAAHf/v7g=")</f>
        <v>#REF!</v>
      </c>
      <c r="GD10" t="e">
        <f>AND(#REF!,"AAAAAHf/v7k=")</f>
        <v>#REF!</v>
      </c>
      <c r="GE10" t="e">
        <f>IF(#REF!,"AAAAAHf/v7o=",0)</f>
        <v>#REF!</v>
      </c>
      <c r="GF10" t="e">
        <f>AND(#REF!,"AAAAAHf/v7s=")</f>
        <v>#REF!</v>
      </c>
      <c r="GG10" t="e">
        <f>AND(#REF!,"AAAAAHf/v7w=")</f>
        <v>#REF!</v>
      </c>
      <c r="GH10" t="e">
        <f>AND(#REF!,"AAAAAHf/v70=")</f>
        <v>#REF!</v>
      </c>
      <c r="GI10" t="e">
        <f>AND(#REF!,"AAAAAHf/v74=")</f>
        <v>#REF!</v>
      </c>
      <c r="GJ10" t="e">
        <f>AND(#REF!,"AAAAAHf/v78=")</f>
        <v>#REF!</v>
      </c>
      <c r="GK10" t="e">
        <f>IF(#REF!,"AAAAAHf/v8A=",0)</f>
        <v>#REF!</v>
      </c>
      <c r="GL10" t="e">
        <f>AND(#REF!,"AAAAAHf/v8E=")</f>
        <v>#REF!</v>
      </c>
      <c r="GM10" t="e">
        <f>AND(#REF!,"AAAAAHf/v8I=")</f>
        <v>#REF!</v>
      </c>
      <c r="GN10" t="e">
        <f>AND(#REF!,"AAAAAHf/v8M=")</f>
        <v>#REF!</v>
      </c>
      <c r="GO10" t="e">
        <f>AND(#REF!,"AAAAAHf/v8Q=")</f>
        <v>#REF!</v>
      </c>
      <c r="GP10" t="e">
        <f>AND(#REF!,"AAAAAHf/v8U=")</f>
        <v>#REF!</v>
      </c>
      <c r="GQ10" t="e">
        <f>IF(#REF!,"AAAAAHf/v8Y=",0)</f>
        <v>#REF!</v>
      </c>
      <c r="GR10" t="e">
        <f>AND(#REF!,"AAAAAHf/v8c=")</f>
        <v>#REF!</v>
      </c>
      <c r="GS10" t="e">
        <f>AND(#REF!,"AAAAAHf/v8g=")</f>
        <v>#REF!</v>
      </c>
      <c r="GT10" t="e">
        <f>AND(#REF!,"AAAAAHf/v8k=")</f>
        <v>#REF!</v>
      </c>
      <c r="GU10" t="e">
        <f>AND(#REF!,"AAAAAHf/v8o=")</f>
        <v>#REF!</v>
      </c>
      <c r="GV10" t="e">
        <f>AND(#REF!,"AAAAAHf/v8s=")</f>
        <v>#REF!</v>
      </c>
      <c r="GW10" t="e">
        <f>IF(#REF!,"AAAAAHf/v8w=",0)</f>
        <v>#REF!</v>
      </c>
      <c r="GX10" t="e">
        <f>AND(#REF!,"AAAAAHf/v80=")</f>
        <v>#REF!</v>
      </c>
      <c r="GY10" t="e">
        <f>AND(#REF!,"AAAAAHf/v84=")</f>
        <v>#REF!</v>
      </c>
      <c r="GZ10" t="e">
        <f>AND(#REF!,"AAAAAHf/v88=")</f>
        <v>#REF!</v>
      </c>
      <c r="HA10" t="e">
        <f>AND(#REF!,"AAAAAHf/v9A=")</f>
        <v>#REF!</v>
      </c>
      <c r="HB10" t="e">
        <f>AND(#REF!,"AAAAAHf/v9E=")</f>
        <v>#REF!</v>
      </c>
      <c r="HC10" t="e">
        <f>IF(#REF!,"AAAAAHf/v9I=",0)</f>
        <v>#REF!</v>
      </c>
      <c r="HD10" t="e">
        <f>AND(#REF!,"AAAAAHf/v9M=")</f>
        <v>#REF!</v>
      </c>
      <c r="HE10" t="e">
        <f>AND(#REF!,"AAAAAHf/v9Q=")</f>
        <v>#REF!</v>
      </c>
      <c r="HF10" t="e">
        <f>AND(#REF!,"AAAAAHf/v9U=")</f>
        <v>#REF!</v>
      </c>
      <c r="HG10" t="e">
        <f>AND(#REF!,"AAAAAHf/v9Y=")</f>
        <v>#REF!</v>
      </c>
      <c r="HH10" t="e">
        <f>AND(#REF!,"AAAAAHf/v9c=")</f>
        <v>#REF!</v>
      </c>
      <c r="HI10" t="e">
        <f>IF(#REF!,"AAAAAHf/v9g=",0)</f>
        <v>#REF!</v>
      </c>
      <c r="HJ10" t="e">
        <f>AND(#REF!,"AAAAAHf/v9k=")</f>
        <v>#REF!</v>
      </c>
      <c r="HK10" t="e">
        <f>AND(#REF!,"AAAAAHf/v9o=")</f>
        <v>#REF!</v>
      </c>
      <c r="HL10" t="e">
        <f>AND(#REF!,"AAAAAHf/v9s=")</f>
        <v>#REF!</v>
      </c>
      <c r="HM10" t="e">
        <f>AND(#REF!,"AAAAAHf/v9w=")</f>
        <v>#REF!</v>
      </c>
      <c r="HN10" t="e">
        <f>AND(#REF!,"AAAAAHf/v90=")</f>
        <v>#REF!</v>
      </c>
      <c r="HO10" t="e">
        <f>IF(#REF!,"AAAAAHf/v94=",0)</f>
        <v>#REF!</v>
      </c>
      <c r="HP10" t="e">
        <f>AND(#REF!,"AAAAAHf/v98=")</f>
        <v>#REF!</v>
      </c>
      <c r="HQ10" t="e">
        <f>AND(#REF!,"AAAAAHf/v+A=")</f>
        <v>#REF!</v>
      </c>
      <c r="HR10" t="e">
        <f>AND(#REF!,"AAAAAHf/v+E=")</f>
        <v>#REF!</v>
      </c>
      <c r="HS10" t="e">
        <f>AND(#REF!,"AAAAAHf/v+I=")</f>
        <v>#REF!</v>
      </c>
      <c r="HT10" t="e">
        <f>AND(#REF!,"AAAAAHf/v+M=")</f>
        <v>#REF!</v>
      </c>
      <c r="HU10" t="e">
        <f>IF(#REF!,"AAAAAHf/v+Q=",0)</f>
        <v>#REF!</v>
      </c>
      <c r="HV10" t="e">
        <f>AND(#REF!,"AAAAAHf/v+U=")</f>
        <v>#REF!</v>
      </c>
      <c r="HW10" t="e">
        <f>AND(#REF!,"AAAAAHf/v+Y=")</f>
        <v>#REF!</v>
      </c>
      <c r="HX10" t="e">
        <f>AND(#REF!,"AAAAAHf/v+c=")</f>
        <v>#REF!</v>
      </c>
      <c r="HY10" t="e">
        <f>AND(#REF!,"AAAAAHf/v+g=")</f>
        <v>#REF!</v>
      </c>
      <c r="HZ10" t="e">
        <f>AND(#REF!,"AAAAAHf/v+k=")</f>
        <v>#REF!</v>
      </c>
      <c r="IA10" t="e">
        <f>IF(#REF!,"AAAAAHf/v+o=",0)</f>
        <v>#REF!</v>
      </c>
      <c r="IB10" t="e">
        <f>AND(#REF!,"AAAAAHf/v+s=")</f>
        <v>#REF!</v>
      </c>
      <c r="IC10" t="e">
        <f>AND(#REF!,"AAAAAHf/v+w=")</f>
        <v>#REF!</v>
      </c>
      <c r="ID10" t="e">
        <f>AND(#REF!,"AAAAAHf/v+0=")</f>
        <v>#REF!</v>
      </c>
      <c r="IE10" t="e">
        <f>AND(#REF!,"AAAAAHf/v+4=")</f>
        <v>#REF!</v>
      </c>
      <c r="IF10" t="e">
        <f>AND(#REF!,"AAAAAHf/v+8=")</f>
        <v>#REF!</v>
      </c>
      <c r="IG10" t="e">
        <f>IF(#REF!,"AAAAAHf/v/A=",0)</f>
        <v>#REF!</v>
      </c>
      <c r="IH10" t="e">
        <f>AND(#REF!,"AAAAAHf/v/E=")</f>
        <v>#REF!</v>
      </c>
      <c r="II10" t="e">
        <f>AND(#REF!,"AAAAAHf/v/I=")</f>
        <v>#REF!</v>
      </c>
      <c r="IJ10" t="e">
        <f>AND(#REF!,"AAAAAHf/v/M=")</f>
        <v>#REF!</v>
      </c>
      <c r="IK10" t="e">
        <f>AND(#REF!,"AAAAAHf/v/Q=")</f>
        <v>#REF!</v>
      </c>
      <c r="IL10" t="e">
        <f>AND(#REF!,"AAAAAHf/v/U=")</f>
        <v>#REF!</v>
      </c>
      <c r="IM10" t="e">
        <f>IF(#REF!,"AAAAAHf/v/Y=",0)</f>
        <v>#REF!</v>
      </c>
      <c r="IN10" t="e">
        <f>AND(#REF!,"AAAAAHf/v/c=")</f>
        <v>#REF!</v>
      </c>
      <c r="IO10" t="e">
        <f>AND(#REF!,"AAAAAHf/v/g=")</f>
        <v>#REF!</v>
      </c>
      <c r="IP10" t="e">
        <f>AND(#REF!,"AAAAAHf/v/k=")</f>
        <v>#REF!</v>
      </c>
      <c r="IQ10" t="e">
        <f>AND(#REF!,"AAAAAHf/v/o=")</f>
        <v>#REF!</v>
      </c>
      <c r="IR10" t="e">
        <f>AND(#REF!,"AAAAAHf/v/s=")</f>
        <v>#REF!</v>
      </c>
      <c r="IS10" t="e">
        <f>IF(#REF!,"AAAAAHf/v/w=",0)</f>
        <v>#REF!</v>
      </c>
      <c r="IT10" t="e">
        <f>AND(#REF!,"AAAAAHf/v/0=")</f>
        <v>#REF!</v>
      </c>
      <c r="IU10" t="e">
        <f>AND(#REF!,"AAAAAHf/v/4=")</f>
        <v>#REF!</v>
      </c>
      <c r="IV10" t="e">
        <f>AND(#REF!,"AAAAAHf/v/8=")</f>
        <v>#REF!</v>
      </c>
    </row>
    <row r="11" spans="1:256">
      <c r="A11" t="e">
        <f>AND(#REF!,"AAAAAH9y/wA=")</f>
        <v>#REF!</v>
      </c>
      <c r="B11" t="e">
        <f>AND(#REF!,"AAAAAH9y/wE=")</f>
        <v>#REF!</v>
      </c>
      <c r="C11" t="e">
        <f>IF(#REF!,"AAAAAH9y/wI=",0)</f>
        <v>#REF!</v>
      </c>
      <c r="D11" t="e">
        <f>AND(#REF!,"AAAAAH9y/wM=")</f>
        <v>#REF!</v>
      </c>
      <c r="E11" t="e">
        <f>AND(#REF!,"AAAAAH9y/wQ=")</f>
        <v>#REF!</v>
      </c>
      <c r="F11" t="e">
        <f>AND(#REF!,"AAAAAH9y/wU=")</f>
        <v>#REF!</v>
      </c>
      <c r="G11" t="e">
        <f>AND(#REF!,"AAAAAH9y/wY=")</f>
        <v>#REF!</v>
      </c>
      <c r="H11" t="e">
        <f>AND(#REF!,"AAAAAH9y/wc=")</f>
        <v>#REF!</v>
      </c>
      <c r="I11" t="e">
        <f>IF(#REF!,"AAAAAH9y/wg=",0)</f>
        <v>#REF!</v>
      </c>
      <c r="J11" t="e">
        <f>AND(#REF!,"AAAAAH9y/wk=")</f>
        <v>#REF!</v>
      </c>
      <c r="K11" t="e">
        <f>AND(#REF!,"AAAAAH9y/wo=")</f>
        <v>#REF!</v>
      </c>
      <c r="L11" t="e">
        <f>AND(#REF!,"AAAAAH9y/ws=")</f>
        <v>#REF!</v>
      </c>
      <c r="M11" t="e">
        <f>AND(#REF!,"AAAAAH9y/ww=")</f>
        <v>#REF!</v>
      </c>
      <c r="N11" t="e">
        <f>AND(#REF!,"AAAAAH9y/w0=")</f>
        <v>#REF!</v>
      </c>
      <c r="O11" t="e">
        <f>IF(#REF!,"AAAAAH9y/w4=",0)</f>
        <v>#REF!</v>
      </c>
      <c r="P11" t="e">
        <f>AND(#REF!,"AAAAAH9y/w8=")</f>
        <v>#REF!</v>
      </c>
      <c r="Q11" t="e">
        <f>AND(#REF!,"AAAAAH9y/xA=")</f>
        <v>#REF!</v>
      </c>
      <c r="R11" t="e">
        <f>AND(#REF!,"AAAAAH9y/xE=")</f>
        <v>#REF!</v>
      </c>
      <c r="S11" t="e">
        <f>AND(#REF!,"AAAAAH9y/xI=")</f>
        <v>#REF!</v>
      </c>
      <c r="T11" t="e">
        <f>AND(#REF!,"AAAAAH9y/xM=")</f>
        <v>#REF!</v>
      </c>
      <c r="U11" t="e">
        <f>IF(#REF!,"AAAAAH9y/xQ=",0)</f>
        <v>#REF!</v>
      </c>
      <c r="V11" t="e">
        <f>AND(#REF!,"AAAAAH9y/xU=")</f>
        <v>#REF!</v>
      </c>
      <c r="W11" t="e">
        <f>AND(#REF!,"AAAAAH9y/xY=")</f>
        <v>#REF!</v>
      </c>
      <c r="X11" t="e">
        <f>AND(#REF!,"AAAAAH9y/xc=")</f>
        <v>#REF!</v>
      </c>
      <c r="Y11" t="e">
        <f>AND(#REF!,"AAAAAH9y/xg=")</f>
        <v>#REF!</v>
      </c>
      <c r="Z11" t="e">
        <f>AND(#REF!,"AAAAAH9y/xk=")</f>
        <v>#REF!</v>
      </c>
      <c r="AA11" t="e">
        <f>IF(#REF!,"AAAAAH9y/xo=",0)</f>
        <v>#REF!</v>
      </c>
      <c r="AB11" t="e">
        <f>AND(#REF!,"AAAAAH9y/xs=")</f>
        <v>#REF!</v>
      </c>
      <c r="AC11" t="e">
        <f>AND(#REF!,"AAAAAH9y/xw=")</f>
        <v>#REF!</v>
      </c>
      <c r="AD11" t="e">
        <f>AND(#REF!,"AAAAAH9y/x0=")</f>
        <v>#REF!</v>
      </c>
      <c r="AE11" t="e">
        <f>AND(#REF!,"AAAAAH9y/x4=")</f>
        <v>#REF!</v>
      </c>
      <c r="AF11" t="e">
        <f>AND(#REF!,"AAAAAH9y/x8=")</f>
        <v>#REF!</v>
      </c>
      <c r="AG11" t="e">
        <f>IF(#REF!,"AAAAAH9y/yA=",0)</f>
        <v>#REF!</v>
      </c>
      <c r="AH11" t="e">
        <f>AND(#REF!,"AAAAAH9y/yE=")</f>
        <v>#REF!</v>
      </c>
      <c r="AI11" t="e">
        <f>AND(#REF!,"AAAAAH9y/yI=")</f>
        <v>#REF!</v>
      </c>
      <c r="AJ11" t="e">
        <f>AND(#REF!,"AAAAAH9y/yM=")</f>
        <v>#REF!</v>
      </c>
      <c r="AK11" t="e">
        <f>AND(#REF!,"AAAAAH9y/yQ=")</f>
        <v>#REF!</v>
      </c>
      <c r="AL11" t="e">
        <f>AND(#REF!,"AAAAAH9y/yU=")</f>
        <v>#REF!</v>
      </c>
      <c r="AM11" t="e">
        <f>IF(#REF!,"AAAAAH9y/yY=",0)</f>
        <v>#REF!</v>
      </c>
      <c r="AN11" t="e">
        <f>IF(#REF!,"AAAAAH9y/yc=",0)</f>
        <v>#REF!</v>
      </c>
      <c r="AO11" t="e">
        <f>IF(#REF!,"AAAAAH9y/yg=",0)</f>
        <v>#REF!</v>
      </c>
      <c r="AP11" t="e">
        <f>IF(#REF!,"AAAAAH9y/yk=",0)</f>
        <v>#REF!</v>
      </c>
      <c r="AQ11" t="e">
        <f>IF(#REF!,"AAAAAH9y/yo=",0)</f>
        <v>#REF!</v>
      </c>
      <c r="AR11" s="1" t="s">
        <v>13</v>
      </c>
      <c r="AS11" t="s">
        <v>14</v>
      </c>
      <c r="AT11" s="2" t="s">
        <v>15</v>
      </c>
      <c r="AU11" t="e">
        <f>IF("N",[0]!__PA3,"AAAAAH9y/y4=")</f>
        <v>#VALUE!</v>
      </c>
      <c r="AV11" t="e">
        <f>IF("N",__PA3,"AAAAAH9y/y8=")</f>
        <v>#VALUE!</v>
      </c>
      <c r="AW11" t="e">
        <f>IF("N",[0]!_a1,"AAAAAH9y/zA=")</f>
        <v>#VALUE!</v>
      </c>
      <c r="AX11" t="e">
        <f>IF("N",_a1,"AAAAAH9y/zE=")</f>
        <v>#VALUE!</v>
      </c>
      <c r="AY11" t="e">
        <f>IF("N",_Fill,"AAAAAH9y/zI=")</f>
        <v>#VALUE!</v>
      </c>
      <c r="AZ11" t="e">
        <f>IF("N",[0]!_xlnm._FilterDatabase,"AAAAAH9y/zM=")</f>
        <v>#VALUE!</v>
      </c>
      <c r="BA11" t="e">
        <f>IF("N",[0]!_xlnm._FilterDatabase,"AAAAAH9y/zQ=")</f>
        <v>#VALUE!</v>
      </c>
      <c r="BB11" t="e">
        <f>IF("N",_Key1,"AAAAAH9y/zU=")</f>
        <v>#VALUE!</v>
      </c>
      <c r="BC11" t="e">
        <f>IF("N",_Key2,"AAAAAH9y/zY=")</f>
        <v>#VALUE!</v>
      </c>
      <c r="BD11" t="e">
        <f>IF("N",_Order1,"AAAAAH9y/zc=")</f>
        <v>#VALUE!</v>
      </c>
      <c r="BE11" t="e">
        <f>IF("N",_Order2,"AAAAAH9y/zg=")</f>
        <v>#VALUE!</v>
      </c>
      <c r="BF11" t="e">
        <f>IF("N",[0]!_PA3,"AAAAAH9y/zk=")</f>
        <v>#VALUE!</v>
      </c>
      <c r="BG11" t="e">
        <f>IF("N",_PA3,"AAAAAH9y/zo=")</f>
        <v>#VALUE!</v>
      </c>
      <c r="BH11" t="e">
        <f>IF("N",_Sort,"AAAAAH9y/zs=")</f>
        <v>#VALUE!</v>
      </c>
      <c r="BI11" t="e">
        <f>IF("N",[0]!_SU15,"AAAAAH9y/zw=")</f>
        <v>#VALUE!</v>
      </c>
      <c r="BJ11" t="e">
        <f>IF("N",_SU15,"AAAAAH9y/z0=")</f>
        <v>#VALUE!</v>
      </c>
      <c r="BK11" t="e">
        <f>IF("N",[0]!CTCT1,"AAAAAH9y/z4=")</f>
        <v>#VALUE!</v>
      </c>
      <c r="BL11" t="e">
        <f>IF("N",CTCT1,"AAAAAH9y/z8=")</f>
        <v>#VALUE!</v>
      </c>
      <c r="BM11" t="e">
        <f>IF("N",[0]!h,"AAAAAH9y/0A=")</f>
        <v>#VALUE!</v>
      </c>
      <c r="BN11" t="e">
        <f>IF("N",h,"AAAAAH9y/0E=")</f>
        <v>#VALUE!</v>
      </c>
      <c r="BO11" t="e">
        <f>IF("N",HTML_CodePage,"AAAAAH9y/0I=")</f>
        <v>#VALUE!</v>
      </c>
      <c r="BP11" t="e">
        <f>IF("N",[0]!HTML_Control,"AAAAAH9y/0M=")</f>
        <v>#VALUE!</v>
      </c>
      <c r="BQ11" t="e">
        <f>IF("N",HTML_Control,"AAAAAH9y/0Q=")</f>
        <v>#VALUE!</v>
      </c>
      <c r="BR11" t="e">
        <f>IF("N",HTML_Description,"AAAAAH9y/0U=")</f>
        <v>#VALUE!</v>
      </c>
      <c r="BS11" t="e">
        <f>IF("N",HTML_Email,"AAAAAH9y/0Y=")</f>
        <v>#VALUE!</v>
      </c>
      <c r="BT11" t="e">
        <f>IF("N",HTML_Header,"AAAAAH9y/0c=")</f>
        <v>#VALUE!</v>
      </c>
      <c r="BU11" t="e">
        <f>IF("N",HTML_LastUpdate,"AAAAAH9y/0g=")</f>
        <v>#VALUE!</v>
      </c>
      <c r="BV11" t="e">
        <f>IF("N",HTML_LineAfter,"AAAAAH9y/0k=")</f>
        <v>#VALUE!</v>
      </c>
      <c r="BW11" t="e">
        <f>IF("N",HTML_LineBefore,"AAAAAH9y/0o=")</f>
        <v>#VALUE!</v>
      </c>
      <c r="BX11" t="e">
        <f>IF("N",HTML_Name,"AAAAAH9y/0s=")</f>
        <v>#VALUE!</v>
      </c>
      <c r="BY11" t="e">
        <f>IF("N",HTML_OBDlg2,"AAAAAH9y/0w=")</f>
        <v>#VALUE!</v>
      </c>
      <c r="BZ11" t="e">
        <f>IF("N",HTML_OBDlg4,"AAAAAH9y/00=")</f>
        <v>#VALUE!</v>
      </c>
      <c r="CA11" t="e">
        <f>IF("N",HTML_OS,"AAAAAH9y/04=")</f>
        <v>#VALUE!</v>
      </c>
      <c r="CB11" t="e">
        <f>IF("N",HTML_PathFile,"AAAAAH9y/08=")</f>
        <v>#VALUE!</v>
      </c>
      <c r="CC11" t="e">
        <f>IF("N",HTML_Title,"AAAAAH9y/1A=")</f>
        <v>#VALUE!</v>
      </c>
      <c r="CD11" t="e">
        <f>IF("N",[0]!huy,"AAAAAH9y/1E=")</f>
        <v>#VALUE!</v>
      </c>
      <c r="CE11" t="e">
        <f>IF("N",huy,"AAAAAH9y/1I=")</f>
        <v>#VALUE!</v>
      </c>
      <c r="CF11" t="e">
        <f>IF("N",[0]!_xlnm.Print_Area,"AAAAAH9y/1M=")</f>
        <v>#VALUE!</v>
      </c>
      <c r="CG11" t="e">
        <f>IF("N",[0]!wrn.chi._.tiÆt.,"AAAAAH9y/1Q=")</f>
        <v>#VALUE!</v>
      </c>
      <c r="CH11" t="e">
        <f>IF("N",wrn.chi._.tiÆt.,"AAAAAH9y/1U=")</f>
        <v>#VALUE!</v>
      </c>
    </row>
  </sheetData>
  <phoneticPr fontId="1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zoomScaleNormal="100" workbookViewId="0">
      <pane ySplit="5" topLeftCell="A11" activePane="bottomLeft" state="frozen"/>
      <selection pane="bottomLeft" activeCell="D15" sqref="D15"/>
    </sheetView>
  </sheetViews>
  <sheetFormatPr defaultColWidth="9.140625" defaultRowHeight="15"/>
  <cols>
    <col min="1" max="1" width="7" style="6" bestFit="1" customWidth="1"/>
    <col min="2" max="2" width="11.5703125" style="6" customWidth="1"/>
    <col min="3" max="3" width="18" style="6" customWidth="1"/>
    <col min="4" max="4" width="41.5703125" style="6" customWidth="1"/>
    <col min="5" max="5" width="24.85546875" style="6" customWidth="1"/>
    <col min="6" max="16384" width="9.140625" style="6"/>
  </cols>
  <sheetData>
    <row r="2" spans="1:5">
      <c r="A2" s="13"/>
      <c r="B2" s="14" t="s">
        <v>16</v>
      </c>
      <c r="C2" s="13"/>
      <c r="D2" s="13"/>
      <c r="E2" s="13"/>
    </row>
    <row r="3" spans="1:5">
      <c r="A3" s="13"/>
      <c r="B3" s="13" t="s">
        <v>24</v>
      </c>
      <c r="C3" s="13"/>
      <c r="D3" s="13"/>
      <c r="E3" s="13"/>
    </row>
    <row r="4" spans="1:5">
      <c r="A4" s="13"/>
      <c r="B4" s="13"/>
      <c r="C4" s="13"/>
      <c r="D4" s="13"/>
      <c r="E4" s="13"/>
    </row>
    <row r="5" spans="1:5" s="7" customFormat="1">
      <c r="A5" s="62" t="s">
        <v>38</v>
      </c>
      <c r="B5" s="63" t="s">
        <v>39</v>
      </c>
      <c r="C5" s="63" t="s">
        <v>0</v>
      </c>
      <c r="D5" s="63" t="s">
        <v>40</v>
      </c>
      <c r="E5" s="64" t="s">
        <v>41</v>
      </c>
    </row>
    <row r="6" spans="1:5" ht="84.75" customHeight="1">
      <c r="A6" s="57" t="s">
        <v>1</v>
      </c>
      <c r="B6" s="57" t="s">
        <v>2</v>
      </c>
      <c r="C6" s="57" t="s">
        <v>17</v>
      </c>
      <c r="D6" s="58" t="s">
        <v>18</v>
      </c>
      <c r="E6" s="57" t="s">
        <v>19</v>
      </c>
    </row>
    <row r="7" spans="1:5" ht="48">
      <c r="A7" s="57" t="s">
        <v>3</v>
      </c>
      <c r="B7" s="57" t="s">
        <v>2</v>
      </c>
      <c r="C7" s="57" t="s">
        <v>4</v>
      </c>
      <c r="D7" s="57" t="s">
        <v>20</v>
      </c>
      <c r="E7" s="57" t="s">
        <v>5</v>
      </c>
    </row>
    <row r="8" spans="1:5" ht="72">
      <c r="A8" s="57" t="s">
        <v>6</v>
      </c>
      <c r="B8" s="57" t="s">
        <v>2</v>
      </c>
      <c r="C8" s="57" t="s">
        <v>21</v>
      </c>
      <c r="D8" s="57" t="s">
        <v>22</v>
      </c>
      <c r="E8" s="57" t="s">
        <v>23</v>
      </c>
    </row>
    <row r="9" spans="1:5" ht="48">
      <c r="A9" s="57" t="s">
        <v>105</v>
      </c>
      <c r="B9" s="57" t="s">
        <v>2</v>
      </c>
      <c r="C9" s="57" t="s">
        <v>7</v>
      </c>
      <c r="D9" s="58" t="s">
        <v>109</v>
      </c>
      <c r="E9" s="57"/>
    </row>
    <row r="10" spans="1:5" ht="72">
      <c r="A10" s="57" t="s">
        <v>8</v>
      </c>
      <c r="B10" s="57" t="s">
        <v>9</v>
      </c>
      <c r="C10" s="57" t="s">
        <v>96</v>
      </c>
      <c r="D10" s="57" t="s">
        <v>102</v>
      </c>
      <c r="E10" s="57" t="s">
        <v>104</v>
      </c>
    </row>
    <row r="11" spans="1:5" ht="72">
      <c r="A11" s="56" t="s">
        <v>10</v>
      </c>
      <c r="B11" s="56" t="s">
        <v>9</v>
      </c>
      <c r="C11" s="56" t="s">
        <v>97</v>
      </c>
      <c r="D11" s="57" t="s">
        <v>103</v>
      </c>
      <c r="E11" s="56" t="s">
        <v>113</v>
      </c>
    </row>
    <row r="12" spans="1:5" ht="48">
      <c r="A12" s="56" t="s">
        <v>106</v>
      </c>
      <c r="B12" s="57" t="s">
        <v>11</v>
      </c>
      <c r="C12" s="57" t="s">
        <v>99</v>
      </c>
      <c r="D12" s="59" t="s">
        <v>111</v>
      </c>
      <c r="E12" s="58" t="s">
        <v>114</v>
      </c>
    </row>
    <row r="13" spans="1:5" ht="60">
      <c r="A13" s="56" t="s">
        <v>107</v>
      </c>
      <c r="B13" s="57" t="s">
        <v>11</v>
      </c>
      <c r="C13" s="57" t="s">
        <v>98</v>
      </c>
      <c r="D13" s="59" t="s">
        <v>112</v>
      </c>
      <c r="E13" s="58" t="s">
        <v>114</v>
      </c>
    </row>
    <row r="14" spans="1:5">
      <c r="A14" s="56" t="s">
        <v>108</v>
      </c>
      <c r="B14" s="57" t="s">
        <v>11</v>
      </c>
      <c r="C14" s="57" t="s">
        <v>100</v>
      </c>
      <c r="D14" s="57"/>
      <c r="E14" s="57"/>
    </row>
    <row r="15" spans="1:5" s="8" customFormat="1">
      <c r="A15" s="56"/>
      <c r="B15" s="57"/>
      <c r="C15" s="57"/>
      <c r="D15" s="57"/>
      <c r="E15" s="57"/>
    </row>
    <row r="16" spans="1:5" s="8" customFormat="1">
      <c r="A16" s="56"/>
      <c r="B16" s="57"/>
      <c r="C16" s="57"/>
      <c r="D16" s="57"/>
      <c r="E16" s="57"/>
    </row>
    <row r="17" spans="1:5">
      <c r="A17" s="60"/>
      <c r="B17" s="61"/>
      <c r="C17" s="61"/>
      <c r="D17" s="61"/>
      <c r="E17" s="61"/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Normal="100" workbookViewId="0">
      <pane ySplit="2" topLeftCell="A3" activePane="bottomLeft" state="frozen"/>
      <selection pane="bottomLeft" activeCell="C8" sqref="C8"/>
    </sheetView>
  </sheetViews>
  <sheetFormatPr defaultColWidth="9.140625" defaultRowHeight="15"/>
  <cols>
    <col min="1" max="1" width="6.28515625" customWidth="1"/>
    <col min="2" max="2" width="31.140625" customWidth="1"/>
    <col min="3" max="3" width="9.85546875" customWidth="1"/>
    <col min="4" max="4" width="8.7109375" customWidth="1"/>
    <col min="5" max="6" width="9.7109375" customWidth="1"/>
    <col min="7" max="7" width="12.5703125" style="68" customWidth="1"/>
    <col min="8" max="16384" width="9.140625" style="15"/>
  </cols>
  <sheetData>
    <row r="1" spans="1:8" ht="15" customHeight="1"/>
    <row r="2" spans="1:8" ht="18.75">
      <c r="A2" s="69" t="s">
        <v>58</v>
      </c>
    </row>
    <row r="3" spans="1:8" s="67" customFormat="1" ht="15" customHeight="1">
      <c r="A3"/>
      <c r="B3"/>
      <c r="C3"/>
      <c r="D3"/>
      <c r="E3"/>
      <c r="F3"/>
      <c r="G3" s="68"/>
    </row>
    <row r="4" spans="1:8">
      <c r="A4" s="70" t="s">
        <v>59</v>
      </c>
      <c r="B4" s="71"/>
      <c r="D4" s="71"/>
    </row>
    <row r="5" spans="1:8" customFormat="1">
      <c r="A5" s="72" t="s">
        <v>60</v>
      </c>
      <c r="B5" s="72" t="s">
        <v>61</v>
      </c>
      <c r="C5" s="73" t="s">
        <v>62</v>
      </c>
      <c r="D5" s="73" t="s">
        <v>63</v>
      </c>
      <c r="E5" s="73" t="s">
        <v>64</v>
      </c>
      <c r="F5" s="73" t="s">
        <v>65</v>
      </c>
      <c r="G5" s="74" t="s">
        <v>66</v>
      </c>
      <c r="H5" t="s">
        <v>12</v>
      </c>
    </row>
    <row r="6" spans="1:8" customFormat="1">
      <c r="A6" s="75"/>
      <c r="B6" s="76" t="s">
        <v>67</v>
      </c>
      <c r="C6" s="77">
        <f>SUM(C7:C13)</f>
        <v>16</v>
      </c>
      <c r="D6" s="77">
        <f t="shared" ref="D6:F6" si="0">SUM(D7:D13)</f>
        <v>114</v>
      </c>
      <c r="E6" s="77">
        <f t="shared" si="0"/>
        <v>156</v>
      </c>
      <c r="F6" s="77">
        <f t="shared" si="0"/>
        <v>310</v>
      </c>
      <c r="G6" s="78"/>
    </row>
    <row r="7" spans="1:8" customFormat="1">
      <c r="A7" s="75" t="s">
        <v>46</v>
      </c>
      <c r="B7" s="75" t="s">
        <v>68</v>
      </c>
      <c r="C7" s="79">
        <v>2</v>
      </c>
      <c r="D7" s="79">
        <v>10</v>
      </c>
      <c r="E7" s="79">
        <f>#REF!-#REF!</f>
        <v>25</v>
      </c>
      <c r="F7" s="79">
        <f t="shared" ref="F7" si="1">5*4 + 5*3</f>
        <v>35</v>
      </c>
      <c r="G7" s="80" t="s">
        <v>69</v>
      </c>
      <c r="H7" t="s">
        <v>115</v>
      </c>
    </row>
    <row r="8" spans="1:8" customFormat="1">
      <c r="A8" s="75" t="s">
        <v>47</v>
      </c>
      <c r="B8" s="75" t="s">
        <v>70</v>
      </c>
      <c r="C8" s="79">
        <v>3</v>
      </c>
      <c r="D8" s="79">
        <v>20</v>
      </c>
      <c r="E8" s="79">
        <f>#REF!-#REF!</f>
        <v>25</v>
      </c>
      <c r="F8" s="79">
        <f>3*3*5</f>
        <v>45</v>
      </c>
      <c r="G8" s="80" t="s">
        <v>71</v>
      </c>
      <c r="H8" t="s">
        <v>116</v>
      </c>
    </row>
    <row r="9" spans="1:8" customFormat="1">
      <c r="A9" s="75" t="s">
        <v>48</v>
      </c>
      <c r="B9" s="75" t="s">
        <v>52</v>
      </c>
      <c r="C9" s="79">
        <v>4</v>
      </c>
      <c r="D9" s="79">
        <v>16</v>
      </c>
      <c r="E9" s="79">
        <f>#REF!-#REF!</f>
        <v>44</v>
      </c>
      <c r="F9" s="79">
        <f>4*3*5</f>
        <v>60</v>
      </c>
      <c r="G9" s="80" t="s">
        <v>72</v>
      </c>
    </row>
    <row r="10" spans="1:8" customFormat="1">
      <c r="A10" s="75" t="s">
        <v>49</v>
      </c>
      <c r="B10" s="75" t="s">
        <v>53</v>
      </c>
      <c r="C10" s="79">
        <v>6</v>
      </c>
      <c r="D10" s="79">
        <v>20</v>
      </c>
      <c r="E10" s="79">
        <f>#REF!-#REF!</f>
        <v>55</v>
      </c>
      <c r="F10" s="79">
        <f>5*5*3</f>
        <v>75</v>
      </c>
      <c r="G10" s="80" t="s">
        <v>73</v>
      </c>
    </row>
    <row r="11" spans="1:8" customFormat="1">
      <c r="A11" s="75" t="s">
        <v>54</v>
      </c>
      <c r="B11" s="75" t="s">
        <v>55</v>
      </c>
      <c r="C11" s="81"/>
      <c r="D11" s="81">
        <v>20</v>
      </c>
      <c r="E11" s="81"/>
      <c r="F11" s="79">
        <f>4*5</f>
        <v>20</v>
      </c>
      <c r="G11" s="80" t="s">
        <v>74</v>
      </c>
    </row>
    <row r="12" spans="1:8">
      <c r="A12" s="75" t="s">
        <v>56</v>
      </c>
      <c r="B12" s="75" t="s">
        <v>57</v>
      </c>
      <c r="C12" s="81"/>
      <c r="D12" s="81">
        <v>20</v>
      </c>
      <c r="E12" s="81"/>
      <c r="F12" s="79">
        <f>12*5</f>
        <v>60</v>
      </c>
      <c r="G12" s="80" t="s">
        <v>75</v>
      </c>
    </row>
    <row r="13" spans="1:8" customFormat="1">
      <c r="A13" s="75"/>
      <c r="B13" s="75" t="s">
        <v>76</v>
      </c>
      <c r="C13" s="77">
        <v>1</v>
      </c>
      <c r="D13" s="77">
        <v>8</v>
      </c>
      <c r="E13" s="77">
        <f>#REF!-#REF!</f>
        <v>7</v>
      </c>
      <c r="F13" s="77">
        <v>15</v>
      </c>
      <c r="G13" s="78" t="s">
        <v>77</v>
      </c>
    </row>
    <row r="14" spans="1:8" customFormat="1">
      <c r="A14" s="75"/>
      <c r="B14" s="75" t="s">
        <v>78</v>
      </c>
      <c r="C14" s="77">
        <f>SUM(C15:C19)</f>
        <v>16</v>
      </c>
      <c r="D14" s="77">
        <f t="shared" ref="D14:F14" si="2">SUM(D15:D19)</f>
        <v>80</v>
      </c>
      <c r="E14" s="77">
        <f t="shared" si="2"/>
        <v>188</v>
      </c>
      <c r="F14" s="77">
        <f t="shared" si="2"/>
        <v>290</v>
      </c>
      <c r="G14" s="82"/>
    </row>
    <row r="15" spans="1:8" customFormat="1">
      <c r="A15" s="75" t="s">
        <v>50</v>
      </c>
      <c r="B15" s="75" t="s">
        <v>79</v>
      </c>
      <c r="C15" s="79">
        <v>6</v>
      </c>
      <c r="D15" s="79">
        <v>20</v>
      </c>
      <c r="E15" s="79">
        <f>#REF!-#REF!</f>
        <v>70</v>
      </c>
      <c r="F15" s="79">
        <f>#REF!*3*5</f>
        <v>90</v>
      </c>
      <c r="G15" s="83"/>
    </row>
    <row r="16" spans="1:8" customFormat="1">
      <c r="A16" s="75" t="s">
        <v>110</v>
      </c>
      <c r="B16" s="75" t="s">
        <v>80</v>
      </c>
      <c r="C16" s="79">
        <v>6</v>
      </c>
      <c r="D16" s="79">
        <v>20</v>
      </c>
      <c r="E16" s="79">
        <f>#REF!-#REF!</f>
        <v>70</v>
      </c>
      <c r="F16" s="79">
        <f>#REF!*3*5</f>
        <v>90</v>
      </c>
      <c r="G16" s="83"/>
    </row>
    <row r="17" spans="1:7" customFormat="1">
      <c r="A17" s="75" t="s">
        <v>81</v>
      </c>
      <c r="B17" s="75" t="s">
        <v>82</v>
      </c>
      <c r="C17" s="79"/>
      <c r="D17" s="79">
        <v>24</v>
      </c>
      <c r="E17" s="79">
        <f>#REF!-#REF!</f>
        <v>41</v>
      </c>
      <c r="F17" s="79">
        <f>13*5</f>
        <v>65</v>
      </c>
      <c r="G17" s="83"/>
    </row>
    <row r="18" spans="1:7" customFormat="1">
      <c r="A18" s="75" t="s">
        <v>51</v>
      </c>
      <c r="B18" s="75" t="s">
        <v>83</v>
      </c>
      <c r="C18" s="81">
        <v>2</v>
      </c>
      <c r="D18" s="81">
        <v>8</v>
      </c>
      <c r="E18" s="81"/>
      <c r="F18" s="79">
        <f>#REF!*3*5</f>
        <v>30</v>
      </c>
      <c r="G18" s="80" t="s">
        <v>84</v>
      </c>
    </row>
    <row r="19" spans="1:7" customFormat="1">
      <c r="A19" s="75"/>
      <c r="B19" s="84" t="s">
        <v>85</v>
      </c>
      <c r="C19" s="77">
        <v>2</v>
      </c>
      <c r="D19" s="77">
        <v>8</v>
      </c>
      <c r="E19" s="77">
        <f>#REF!-#REF!</f>
        <v>7</v>
      </c>
      <c r="F19" s="77">
        <v>15</v>
      </c>
      <c r="G19" s="78" t="s">
        <v>77</v>
      </c>
    </row>
    <row r="20" spans="1:7" customFormat="1">
      <c r="A20" s="75"/>
      <c r="B20" s="76" t="s">
        <v>86</v>
      </c>
      <c r="C20" s="79"/>
      <c r="D20" s="79"/>
      <c r="E20" s="79"/>
      <c r="F20" s="79"/>
      <c r="G20" s="83"/>
    </row>
    <row r="21" spans="1:7" customFormat="1">
      <c r="A21" s="75" t="s">
        <v>87</v>
      </c>
      <c r="B21" s="75" t="s">
        <v>88</v>
      </c>
      <c r="C21" s="79">
        <v>2</v>
      </c>
      <c r="D21" s="79"/>
      <c r="E21" s="79"/>
      <c r="F21" s="79"/>
      <c r="G21" s="80" t="s">
        <v>89</v>
      </c>
    </row>
    <row r="22" spans="1:7">
      <c r="A22" s="75" t="s">
        <v>90</v>
      </c>
      <c r="B22" s="75" t="s">
        <v>90</v>
      </c>
      <c r="C22" s="79"/>
      <c r="D22" s="79"/>
      <c r="E22" s="79"/>
      <c r="F22" s="79"/>
      <c r="G22" s="83"/>
    </row>
    <row r="23" spans="1:7">
      <c r="A23" s="75" t="s">
        <v>91</v>
      </c>
      <c r="B23" s="75" t="s">
        <v>92</v>
      </c>
      <c r="C23" s="79">
        <v>8</v>
      </c>
      <c r="D23" s="79"/>
      <c r="E23" s="79"/>
      <c r="F23" s="79"/>
      <c r="G23" s="83"/>
    </row>
    <row r="24" spans="1:7">
      <c r="A24" s="75" t="s">
        <v>93</v>
      </c>
      <c r="B24" s="75" t="s">
        <v>94</v>
      </c>
      <c r="C24" s="79"/>
      <c r="D24" s="79">
        <v>12</v>
      </c>
      <c r="E24" s="79">
        <f>#REF!-#REF!</f>
        <v>63</v>
      </c>
      <c r="F24" s="79">
        <v>75</v>
      </c>
      <c r="G24" s="83" t="s">
        <v>95</v>
      </c>
    </row>
    <row r="25" spans="1:7">
      <c r="A25" s="75"/>
      <c r="B25" s="75"/>
      <c r="C25" s="79"/>
      <c r="D25" s="79"/>
      <c r="E25" s="79"/>
      <c r="F25" s="79"/>
      <c r="G25" s="83"/>
    </row>
    <row r="26" spans="1:7">
      <c r="A26" s="75"/>
      <c r="B26" s="75"/>
      <c r="C26" s="79"/>
      <c r="D26" s="79"/>
      <c r="E26" s="79"/>
      <c r="F26" s="79"/>
      <c r="G26" s="83"/>
    </row>
    <row r="27" spans="1:7" customFormat="1">
      <c r="A27" s="75"/>
      <c r="B27" s="75"/>
      <c r="C27" s="79"/>
      <c r="D27" s="79"/>
      <c r="E27" s="79"/>
      <c r="F27" s="79"/>
      <c r="G27" s="83"/>
    </row>
    <row r="28" spans="1:7">
      <c r="A28" s="75"/>
      <c r="B28" s="75"/>
      <c r="C28" s="79"/>
      <c r="D28" s="79"/>
      <c r="E28" s="79"/>
      <c r="F28" s="79"/>
      <c r="G28" s="83"/>
    </row>
    <row r="29" spans="1:7">
      <c r="A29" s="75"/>
      <c r="B29" s="75"/>
      <c r="C29" s="79"/>
      <c r="D29" s="79"/>
      <c r="E29" s="79"/>
      <c r="F29" s="79"/>
      <c r="G29" s="83"/>
    </row>
    <row r="30" spans="1:7">
      <c r="A30" s="75"/>
      <c r="B30" s="75"/>
      <c r="C30" s="79"/>
      <c r="D30" s="79"/>
      <c r="E30" s="79"/>
      <c r="F30" s="79"/>
      <c r="G30" s="83"/>
    </row>
    <row r="31" spans="1:7">
      <c r="A31" s="75"/>
      <c r="B31" s="75"/>
      <c r="C31" s="79"/>
      <c r="D31" s="79"/>
      <c r="E31" s="79"/>
      <c r="F31" s="79"/>
      <c r="G31" s="83"/>
    </row>
    <row r="32" spans="1:7">
      <c r="A32" s="85"/>
      <c r="B32" s="85"/>
      <c r="C32" s="86"/>
      <c r="D32" s="86"/>
      <c r="E32" s="86"/>
      <c r="F32" s="86"/>
      <c r="G32" s="83"/>
    </row>
    <row r="33" spans="1:7">
      <c r="A33" s="85"/>
      <c r="B33" s="85"/>
      <c r="C33" s="85"/>
      <c r="D33" s="87"/>
      <c r="E33" s="87"/>
      <c r="F33" s="87"/>
      <c r="G33" s="83"/>
    </row>
  </sheetData>
  <autoFilter ref="A2:E34"/>
  <pageMargins left="0.76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Master Sched</vt:lpstr>
      <vt:lpstr>Trn-Output Mapping</vt:lpstr>
      <vt:lpstr>Topics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Bao</cp:lastModifiedBy>
  <cp:lastPrinted>2015-07-01T02:31:01Z</cp:lastPrinted>
  <dcterms:created xsi:type="dcterms:W3CDTF">2012-06-27T01:55:39Z</dcterms:created>
  <dcterms:modified xsi:type="dcterms:W3CDTF">2017-12-09T03:52:15Z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1wkpoo1WfLEmCr-OsDANVX8pIKJG9sgkEVhT4N1QFbN8</vt:lpwstr>
  </property>
  <property fmtid="{D5CDD505-2E9C-101B-9397-08002B2CF9AE}" pid="4" name="Google.Documents.RevisionId">
    <vt:lpwstr>09994919432196301908</vt:lpwstr>
  </property>
  <property fmtid="{D5CDD505-2E9C-101B-9397-08002B2CF9AE}" pid="5" name="Google.Documents.PluginVersion">
    <vt:lpwstr>2.0.2662.553</vt:lpwstr>
  </property>
  <property fmtid="{D5CDD505-2E9C-101B-9397-08002B2CF9AE}" pid="6" name="Google.Documents.MergeIncapabilityFlags">
    <vt:i4>0</vt:i4>
  </property>
</Properties>
</file>