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8800" windowHeight="12300"/>
  </bookViews>
  <sheets>
    <sheet name="PA 2PN" sheetId="5" r:id="rId1"/>
    <sheet name="PLHĐ" sheetId="8" r:id="rId2"/>
  </sheets>
  <definedNames>
    <definedName name="_xlnm.Print_Titles" localSheetId="1">PLHĐ!$3:$3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5" i="5" l="1"/>
  <c r="D52" i="5"/>
  <c r="D35" i="5"/>
  <c r="D67" i="5"/>
  <c r="D66" i="5"/>
  <c r="D64" i="5"/>
  <c r="D63" i="5"/>
  <c r="D62" i="5"/>
  <c r="D61" i="5"/>
  <c r="D60" i="5"/>
  <c r="D59" i="5"/>
  <c r="D58" i="5"/>
  <c r="D57" i="5"/>
  <c r="D56" i="5"/>
  <c r="D55" i="5"/>
  <c r="D54" i="5"/>
  <c r="D53" i="5"/>
  <c r="D51" i="5"/>
  <c r="D50" i="5"/>
  <c r="D49" i="5"/>
  <c r="D48" i="5"/>
  <c r="D46" i="5"/>
  <c r="D45" i="5"/>
  <c r="D44" i="5"/>
  <c r="D43" i="5"/>
  <c r="D42" i="5"/>
  <c r="D41" i="5"/>
  <c r="D38" i="5"/>
  <c r="D36" i="5"/>
  <c r="D34" i="5"/>
  <c r="D33" i="5"/>
  <c r="D32" i="5"/>
  <c r="D31" i="5"/>
  <c r="D30" i="5"/>
  <c r="D29" i="5"/>
  <c r="D27" i="5"/>
  <c r="D26" i="5"/>
  <c r="D25" i="5"/>
  <c r="D24" i="5"/>
  <c r="D23" i="5"/>
  <c r="D22" i="5"/>
  <c r="D20" i="5"/>
  <c r="J20" i="5" l="1"/>
  <c r="I68" i="5" l="1"/>
  <c r="I65" i="5"/>
  <c r="I35" i="5" l="1"/>
  <c r="I40" i="5" l="1"/>
  <c r="I41" i="5"/>
  <c r="I42" i="5"/>
  <c r="I43" i="5"/>
  <c r="I44" i="5"/>
  <c r="I45" i="5"/>
  <c r="I46" i="5"/>
  <c r="C8" i="8" l="1"/>
  <c r="C7" i="8" l="1"/>
  <c r="C6" i="8"/>
  <c r="C5" i="8"/>
  <c r="C11" i="5" l="1"/>
  <c r="C12" i="5"/>
  <c r="I19" i="5" l="1"/>
  <c r="I37" i="5"/>
  <c r="I67" i="5"/>
  <c r="I66" i="5"/>
  <c r="I64" i="5"/>
  <c r="I62" i="5"/>
  <c r="I61" i="5"/>
  <c r="I63" i="5"/>
  <c r="I60" i="5"/>
  <c r="I56" i="5"/>
  <c r="I59" i="5"/>
  <c r="I57" i="5"/>
  <c r="I58" i="5"/>
  <c r="I55" i="5"/>
  <c r="I48" i="5"/>
  <c r="I49" i="5"/>
  <c r="I51" i="5"/>
  <c r="I54" i="5"/>
  <c r="I52" i="5"/>
  <c r="I50" i="5"/>
  <c r="I53" i="5"/>
  <c r="C10" i="5" l="1"/>
  <c r="N10" i="5" s="1"/>
  <c r="D5" i="8" s="1"/>
  <c r="N12" i="5" l="1"/>
  <c r="N9" i="5"/>
  <c r="H10" i="5"/>
  <c r="H11" i="5"/>
  <c r="G21" i="5"/>
  <c r="I34" i="5"/>
  <c r="I26" i="5"/>
  <c r="N13" i="5"/>
  <c r="G40" i="5" s="1"/>
  <c r="I22" i="5"/>
  <c r="I39" i="5"/>
  <c r="I38" i="5"/>
  <c r="I33" i="5"/>
  <c r="I29" i="5"/>
  <c r="I25" i="5"/>
  <c r="I21" i="5"/>
  <c r="I31" i="5"/>
  <c r="I27" i="5"/>
  <c r="I23" i="5"/>
  <c r="I36" i="5"/>
  <c r="I32" i="5"/>
  <c r="I28" i="5"/>
  <c r="I24" i="5"/>
  <c r="I20" i="5"/>
  <c r="H9" i="5"/>
  <c r="N11" i="5"/>
  <c r="D6" i="8" s="1"/>
  <c r="I30" i="5"/>
  <c r="N14" i="5" l="1"/>
  <c r="G19" i="5"/>
  <c r="D4" i="8"/>
  <c r="G37" i="5"/>
  <c r="D8" i="8"/>
  <c r="D7" i="8"/>
  <c r="D19" i="5"/>
  <c r="D69" i="5" s="1"/>
  <c r="G28" i="5"/>
  <c r="E4" i="8" l="1"/>
  <c r="E5" i="8" s="1"/>
  <c r="E19" i="5"/>
  <c r="E20" i="5" s="1"/>
  <c r="E21" i="5" s="1"/>
  <c r="F21" i="5" s="1"/>
  <c r="E6" i="8" l="1"/>
  <c r="E7" i="8" s="1"/>
  <c r="E8" i="8" s="1"/>
  <c r="E10" i="8" s="1"/>
  <c r="F19" i="5"/>
  <c r="H19" i="5"/>
  <c r="K19" i="5" s="1"/>
  <c r="K20" i="5" s="1"/>
  <c r="J21" i="5" s="1"/>
  <c r="F20" i="5"/>
  <c r="E22" i="5"/>
  <c r="H20" i="5" l="1"/>
  <c r="H21" i="5" s="1"/>
  <c r="H22" i="5" s="1"/>
  <c r="K21" i="5"/>
  <c r="J22" i="5" s="1"/>
  <c r="F22" i="5"/>
  <c r="E23" i="5"/>
  <c r="K22" i="5" l="1"/>
  <c r="J23" i="5" s="1"/>
  <c r="H23" i="5"/>
  <c r="F23" i="5"/>
  <c r="E24" i="5"/>
  <c r="G69" i="5"/>
  <c r="K23" i="5" l="1"/>
  <c r="J24" i="5" s="1"/>
  <c r="H24" i="5"/>
  <c r="F24" i="5"/>
  <c r="E25" i="5"/>
  <c r="K24" i="5" l="1"/>
  <c r="H25" i="5"/>
  <c r="F25" i="5"/>
  <c r="E26" i="5"/>
  <c r="J25" i="5" l="1"/>
  <c r="K25" i="5" s="1"/>
  <c r="H26" i="5"/>
  <c r="F26" i="5"/>
  <c r="E27" i="5"/>
  <c r="J26" i="5" l="1"/>
  <c r="K26" i="5" s="1"/>
  <c r="H27" i="5"/>
  <c r="F27" i="5"/>
  <c r="E28" i="5"/>
  <c r="J27" i="5" l="1"/>
  <c r="K27" i="5" s="1"/>
  <c r="H28" i="5"/>
  <c r="F28" i="5"/>
  <c r="E29" i="5"/>
  <c r="J28" i="5" l="1"/>
  <c r="K28" i="5" s="1"/>
  <c r="H29" i="5"/>
  <c r="F29" i="5"/>
  <c r="E30" i="5"/>
  <c r="J29" i="5" l="1"/>
  <c r="K29" i="5" s="1"/>
  <c r="H30" i="5"/>
  <c r="F30" i="5"/>
  <c r="E31" i="5"/>
  <c r="J30" i="5" l="1"/>
  <c r="K30" i="5" s="1"/>
  <c r="H31" i="5"/>
  <c r="F31" i="5"/>
  <c r="E32" i="5"/>
  <c r="J31" i="5" l="1"/>
  <c r="K31" i="5" s="1"/>
  <c r="J32" i="5" s="1"/>
  <c r="H32" i="5"/>
  <c r="E33" i="5"/>
  <c r="F32" i="5"/>
  <c r="K32" i="5" l="1"/>
  <c r="J33" i="5" s="1"/>
  <c r="H33" i="5"/>
  <c r="F33" i="5"/>
  <c r="E34" i="5"/>
  <c r="E35" i="5" s="1"/>
  <c r="F35" i="5" s="1"/>
  <c r="K33" i="5" l="1"/>
  <c r="J34" i="5" s="1"/>
  <c r="K34" i="5" s="1"/>
  <c r="J35" i="5" s="1"/>
  <c r="H34" i="5"/>
  <c r="H35" i="5" s="1"/>
  <c r="F34" i="5"/>
  <c r="K35" i="5" l="1"/>
  <c r="J36" i="5" s="1"/>
  <c r="H36" i="5"/>
  <c r="H37" i="5" s="1"/>
  <c r="H38" i="5" s="1"/>
  <c r="E36" i="5"/>
  <c r="E37" i="5" s="1"/>
  <c r="F37" i="5" s="1"/>
  <c r="K36" i="5" l="1"/>
  <c r="J37" i="5" s="1"/>
  <c r="F36" i="5"/>
  <c r="E38" i="5"/>
  <c r="K37" i="5" l="1"/>
  <c r="J38" i="5" s="1"/>
  <c r="F38" i="5"/>
  <c r="E39" i="5"/>
  <c r="E40" i="5" l="1"/>
  <c r="E41" i="5" s="1"/>
  <c r="K38" i="5"/>
  <c r="J39" i="5" s="1"/>
  <c r="H39" i="5"/>
  <c r="H40" i="5" s="1"/>
  <c r="H41" i="5" s="1"/>
  <c r="F39" i="5"/>
  <c r="F41" i="5" l="1"/>
  <c r="E42" i="5"/>
  <c r="F40" i="5"/>
  <c r="K39" i="5"/>
  <c r="J40" i="5" s="1"/>
  <c r="K40" i="5" l="1"/>
  <c r="J41" i="5" s="1"/>
  <c r="H42" i="5"/>
  <c r="F42" i="5"/>
  <c r="E43" i="5"/>
  <c r="K41" i="5" l="1"/>
  <c r="H43" i="5"/>
  <c r="F43" i="5"/>
  <c r="E44" i="5"/>
  <c r="J42" i="5" l="1"/>
  <c r="K42" i="5" s="1"/>
  <c r="H44" i="5"/>
  <c r="F44" i="5"/>
  <c r="E45" i="5"/>
  <c r="J43" i="5" l="1"/>
  <c r="K43" i="5" s="1"/>
  <c r="H45" i="5"/>
  <c r="F45" i="5"/>
  <c r="E46" i="5"/>
  <c r="J44" i="5" l="1"/>
  <c r="K44" i="5" s="1"/>
  <c r="E47" i="5"/>
  <c r="H46" i="5"/>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F46" i="5"/>
  <c r="F47" i="5" l="1"/>
  <c r="E48" i="5"/>
  <c r="E49" i="5" s="1"/>
  <c r="J45" i="5"/>
  <c r="K45" i="5" s="1"/>
  <c r="J46" i="5" l="1"/>
  <c r="K46" i="5" s="1"/>
  <c r="J47" i="5" s="1"/>
  <c r="F48" i="5"/>
  <c r="K47" i="5" l="1"/>
  <c r="J48" i="5" s="1"/>
  <c r="F49" i="5"/>
  <c r="E50" i="5"/>
  <c r="K48" i="5" l="1"/>
  <c r="J49" i="5" s="1"/>
  <c r="F50" i="5"/>
  <c r="E51" i="5"/>
  <c r="E52" i="5" s="1"/>
  <c r="E53" i="5" s="1"/>
  <c r="K49" i="5" l="1"/>
  <c r="J50" i="5" s="1"/>
  <c r="K50" i="5" s="1"/>
  <c r="J51" i="5" s="1"/>
  <c r="F51" i="5"/>
  <c r="K51" i="5" l="1"/>
  <c r="J52" i="5" s="1"/>
  <c r="F52" i="5"/>
  <c r="K52" i="5" l="1"/>
  <c r="J53" i="5" s="1"/>
  <c r="F53" i="5"/>
  <c r="E54" i="5"/>
  <c r="E55" i="5" s="1"/>
  <c r="K53" i="5" l="1"/>
  <c r="J54" i="5" s="1"/>
  <c r="F55" i="5"/>
  <c r="E56" i="5"/>
  <c r="F54" i="5"/>
  <c r="K54" i="5" l="1"/>
  <c r="J55" i="5" s="1"/>
  <c r="E57" i="5"/>
  <c r="F56" i="5"/>
  <c r="K55" i="5" l="1"/>
  <c r="J56" i="5" s="1"/>
  <c r="F57" i="5"/>
  <c r="E58" i="5"/>
  <c r="K56" i="5" l="1"/>
  <c r="J57" i="5" s="1"/>
  <c r="F58" i="5"/>
  <c r="E59" i="5"/>
  <c r="K57" i="5" l="1"/>
  <c r="F59" i="5"/>
  <c r="E60" i="5"/>
  <c r="J58" i="5" l="1"/>
  <c r="K58" i="5" s="1"/>
  <c r="F60" i="5"/>
  <c r="E61" i="5"/>
  <c r="J59" i="5" l="1"/>
  <c r="K59" i="5" s="1"/>
  <c r="F61" i="5"/>
  <c r="E62" i="5"/>
  <c r="J60" i="5" l="1"/>
  <c r="K60" i="5" s="1"/>
  <c r="E63" i="5"/>
  <c r="F62" i="5"/>
  <c r="J61" i="5" l="1"/>
  <c r="K61" i="5" s="1"/>
  <c r="E64" i="5"/>
  <c r="E65" i="5" s="1"/>
  <c r="F65" i="5" s="1"/>
  <c r="F63" i="5"/>
  <c r="J62" i="5" l="1"/>
  <c r="K62" i="5" s="1"/>
  <c r="F64" i="5"/>
  <c r="J63" i="5" l="1"/>
  <c r="K63" i="5" s="1"/>
  <c r="E66" i="5"/>
  <c r="J64" i="5" l="1"/>
  <c r="K64" i="5" s="1"/>
  <c r="F66" i="5"/>
  <c r="E67" i="5"/>
  <c r="E68" i="5" s="1"/>
  <c r="F68" i="5" s="1"/>
  <c r="J65" i="5" l="1"/>
  <c r="K65" i="5" s="1"/>
  <c r="F67" i="5"/>
  <c r="J66" i="5" l="1"/>
  <c r="K66" i="5" s="1"/>
  <c r="J67" i="5" l="1"/>
  <c r="K67" i="5" s="1"/>
  <c r="J68" i="5" l="1"/>
  <c r="J69" i="5" s="1"/>
  <c r="K68" i="5" l="1"/>
  <c r="G71" i="5" s="1"/>
  <c r="G72" i="5" s="1"/>
  <c r="M14" i="5"/>
</calcChain>
</file>

<file path=xl/sharedStrings.xml><?xml version="1.0" encoding="utf-8"?>
<sst xmlns="http://schemas.openxmlformats.org/spreadsheetml/2006/main" count="67" uniqueCount="63">
  <si>
    <t>Số tiền phải đóng</t>
  </si>
  <si>
    <t>STT</t>
  </si>
  <si>
    <t>Ghi chú</t>
  </si>
  <si>
    <t>Thời gian đóng</t>
  </si>
  <si>
    <t>Lãi suất áp dụng nếu đóng thiếu</t>
  </si>
  <si>
    <t>Tiền lãi phải trả hàng tháng</t>
  </si>
  <si>
    <t>Dư nợ (gộp lãi vào gốc)</t>
  </si>
  <si>
    <t>Deadline</t>
  </si>
  <si>
    <t>Lần</t>
  </si>
  <si>
    <t>Tổng</t>
  </si>
  <si>
    <t>Số gốc còn thiếu so với số FSOFT đã đóng</t>
  </si>
  <si>
    <t>Ngày FSOFT trả cho Fcity</t>
  </si>
  <si>
    <t>Đến 31/03/2021 thì nhân viên phải đóng tối thiểu 30%</t>
  </si>
  <si>
    <t>Tỉ lệ đóng</t>
  </si>
  <si>
    <t>Số tiền FSOFT trả cho Fcity</t>
  </si>
  <si>
    <t>Số NV đóng lũy kế</t>
  </si>
  <si>
    <t>Số NV đóng hàng tháng</t>
  </si>
  <si>
    <t>Tỉ lệ NV đóng lũy kế</t>
  </si>
  <si>
    <t>Đóng tại ngày 01.Jan.2020 tối thiểu 15%</t>
  </si>
  <si>
    <t>Diện tích (m2)</t>
  </si>
  <si>
    <t>Đơn giá (VND; đã gồm VAT)</t>
  </si>
  <si>
    <t>Ký hợp đồng mua bán. Tại thời gian này xảy ra các trường hợp:
- Nếu nhân viên trả hết tiền dư nợ gốc và lãi thì không vay ngân hàng
- Nếu nhân viên còn dư nợ gốc + lãi thì chuyển khoản này sang vay ngân hàng</t>
  </si>
  <si>
    <t>Tiền gốc FSO phải trả cho Fcity</t>
  </si>
  <si>
    <t>Số tiền trả hàng tháng</t>
  </si>
  <si>
    <t>Phương án trả gốc và lãi.</t>
  </si>
  <si>
    <t>I. Các thông số giả định</t>
  </si>
  <si>
    <t>Tỉ lệ đóng tối thiểu (tiền gốc)</t>
  </si>
  <si>
    <t>II. Bảng mốc thanh toán tối thiểu mà nhân viên cần đóng</t>
  </si>
  <si>
    <t>III. Bảng lộ trình FSO trả tiền cho FCity</t>
  </si>
  <si>
    <t>Tổng số tiền gốc lũy kế nhân viên cần đóng</t>
  </si>
  <si>
    <t>nhận bàn giao nhà</t>
  </si>
  <si>
    <t>2 năm sau nhận nhà, ký hd mua bán</t>
  </si>
  <si>
    <t>ký thỏa thuận vay vốn. Đóng tối thiểu 15%</t>
  </si>
  <si>
    <t>ô màu cam: các mốc cần lưu ý</t>
  </si>
  <si>
    <t>Tổng số tiền nhân viên phải trả</t>
  </si>
  <si>
    <t>Đợt góp vốn</t>
  </si>
  <si>
    <t>Đợt 1</t>
  </si>
  <si>
    <t>Đợt 2</t>
  </si>
  <si>
    <t>Đợt 3</t>
  </si>
  <si>
    <t>Đợt 4</t>
  </si>
  <si>
    <t>Số tiền cần góp trong đợt (VNĐ)</t>
  </si>
  <si>
    <t>Tổng tiền đã góp lũy kế (VNĐ)</t>
  </si>
  <si>
    <t>Mức lãi suất trả chậm (%/năm)</t>
  </si>
  <si>
    <t>-</t>
  </si>
  <si>
    <t>Copy phần bảng này vào file HĐ góp vốn kinh doanh</t>
  </si>
  <si>
    <t>Đợt 5</t>
  </si>
  <si>
    <t>Thời hạn hoàn thành đợt góp vốn</t>
  </si>
  <si>
    <t>8.5% được áp dụng đến hết 30/09/2021</t>
  </si>
  <si>
    <t>Lãi suất bằng mức 2.5% cộng với lãi suất tiết kiệm kỳ hạn 12 tháng do Ngân hàng TMCP Tiên Phong công bố sẽ được áp dụng sau ngày 30/09/2021</t>
  </si>
  <si>
    <t>TỔNG SỐ TIỀN GÓP VỐN</t>
  </si>
  <si>
    <t>Số tiền nhân viên phải trả theo m2</t>
  </si>
  <si>
    <t>Trích trả từ thưởng cuối năm hoặc tiền tự có của NV</t>
  </si>
  <si>
    <t>Lãi suất trả chậm sau lần thanh toán thứ 5</t>
  </si>
  <si>
    <t>Lãi suất trả chậm cố định (đến trc lần thanh toán thứ 5)</t>
  </si>
  <si>
    <t>1. Nhập chính xác diện tích căn hộ anh/chị đã chọn</t>
  </si>
  <si>
    <t>2. Nhập số tiền khấu trừ lương hàng tháng.</t>
  </si>
  <si>
    <t>Lưu ý: mốc tối thiểu 6M/ tháng</t>
  </si>
  <si>
    <r>
      <t xml:space="preserve">Ô màu vàng: nhập giá trị giả định để ra phương án, </t>
    </r>
    <r>
      <rPr>
        <sz val="11"/>
        <color rgb="FFFF0000"/>
        <rFont val="Calibri"/>
        <family val="2"/>
        <scheme val="minor"/>
      </rPr>
      <t>tất cả các ô còn lại vui lòng không nhập/ không thay đổi.</t>
    </r>
  </si>
  <si>
    <t>Thông thường tháng 2 năm sau trả khoản thưởng (đối với khối non delivery) hoặc tiền tự có đối với khối delivery. Con số 70,000,000 là tạm tính để tới tháng Mar.2021 nhân viên đóng được 30% để nhận nhà.</t>
  </si>
  <si>
    <t>Thời điểm giao nhà dự kiến</t>
  </si>
  <si>
    <t xml:space="preserve">Lãi suất tạm tính tại thời điểm sau 30 Sep 2021.
= LS tiết kiệm TPB + 2.5%
</t>
  </si>
  <si>
    <t>Trích khoản thưởng đối với khối non delivery/ tiền tự có</t>
  </si>
  <si>
    <t>Trích khoản thưởng đối với khối non delivery/ tiền tự có, đảm bảo đến tháng 3/2023 tối thiểu số tiền phải đóng đến 50%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</si>
</sst>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0.0%"/>
    <numFmt numFmtId="167" formatCode="0.0000%"/>
    <numFmt numFmtId="168" formatCode="[$-1010000]dd/mm/yyyy;@"/>
  </numFmts>
  <fonts count="11" x14ac:knownFonts="1">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sz val="11"/>
      <color rgb="FFFF0000"/>
      <name val="Calibri"/>
      <family val="2"/>
      <scheme val="minor"/>
    </font>
    <font>
      <b/>
      <sz val="11"/>
      <color theme="1"/>
      <name val="Calibri"/>
      <family val="2"/>
      <scheme val="minor"/>
    </font>
    <font>
      <b/>
      <sz val="11"/>
      <color rgb="FFFF0000"/>
      <name val="Calibri"/>
      <family val="2"/>
      <scheme val="minor"/>
    </font>
    <font>
      <sz val="11"/>
      <color rgb="FFFFFFFF"/>
      <name val="Calibri"/>
      <family val="2"/>
      <scheme val="minor"/>
    </font>
    <font>
      <sz val="11"/>
      <name val="Calibri"/>
      <family val="2"/>
      <scheme val="minor"/>
    </font>
    <font>
      <b/>
      <i/>
      <sz val="11"/>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59999389629810485"/>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92">
    <xf numFmtId="0" fontId="0" fillId="0" borderId="0" xfId="0"/>
    <xf numFmtId="0" fontId="0" fillId="3" borderId="0" xfId="0" applyFill="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166" fontId="3" fillId="0" borderId="4" xfId="0" applyNumberFormat="1" applyFont="1" applyBorder="1" applyAlignment="1">
      <alignment horizontal="center" vertical="center" wrapText="1"/>
    </xf>
    <xf numFmtId="165" fontId="2" fillId="0" borderId="4" xfId="1" applyNumberFormat="1" applyFont="1" applyBorder="1" applyAlignment="1">
      <alignment horizontal="right" vertical="center" wrapText="1"/>
    </xf>
    <xf numFmtId="0" fontId="2" fillId="0" borderId="5" xfId="0" applyFont="1" applyBorder="1" applyAlignment="1">
      <alignment horizontal="center" vertical="center" wrapText="1"/>
    </xf>
    <xf numFmtId="0" fontId="2" fillId="0" borderId="11" xfId="0" applyFont="1" applyBorder="1" applyAlignment="1">
      <alignment horizontal="center" vertical="center" wrapText="1"/>
    </xf>
    <xf numFmtId="166" fontId="3" fillId="0" borderId="4" xfId="0" applyNumberFormat="1" applyFont="1" applyBorder="1" applyAlignment="1">
      <alignment horizontal="left" vertical="center" wrapText="1"/>
    </xf>
    <xf numFmtId="168" fontId="3" fillId="0" borderId="4" xfId="0" applyNumberFormat="1" applyFont="1" applyBorder="1" applyAlignment="1">
      <alignment horizontal="center" wrapText="1"/>
    </xf>
    <xf numFmtId="166" fontId="3" fillId="0" borderId="4" xfId="0" applyNumberFormat="1" applyFont="1" applyBorder="1" applyAlignment="1">
      <alignment horizontal="center" wrapText="1"/>
    </xf>
    <xf numFmtId="168" fontId="3" fillId="0" borderId="6" xfId="0" applyNumberFormat="1" applyFont="1" applyBorder="1" applyAlignment="1">
      <alignment horizontal="center" wrapText="1"/>
    </xf>
    <xf numFmtId="168" fontId="3" fillId="0" borderId="11" xfId="0" applyNumberFormat="1" applyFont="1" applyBorder="1" applyAlignment="1">
      <alignment horizontal="center" wrapText="1"/>
    </xf>
    <xf numFmtId="165" fontId="3" fillId="0" borderId="4" xfId="1" applyNumberFormat="1" applyFont="1" applyBorder="1" applyAlignment="1">
      <alignment horizontal="right" wrapText="1"/>
    </xf>
    <xf numFmtId="165" fontId="3" fillId="0" borderId="6" xfId="1" applyNumberFormat="1" applyFont="1" applyBorder="1" applyAlignment="1">
      <alignment horizontal="right" wrapText="1"/>
    </xf>
    <xf numFmtId="165" fontId="3" fillId="0" borderId="11" xfId="1" applyNumberFormat="1" applyFont="1" applyBorder="1" applyAlignment="1">
      <alignment horizontal="right" wrapText="1"/>
    </xf>
    <xf numFmtId="165" fontId="3" fillId="0" borderId="7" xfId="1" applyNumberFormat="1" applyFont="1" applyBorder="1" applyAlignment="1">
      <alignment horizontal="right" wrapText="1"/>
    </xf>
    <xf numFmtId="165" fontId="0" fillId="0" borderId="0" xfId="1" applyNumberFormat="1" applyFont="1" applyAlignment="1">
      <alignment vertical="top"/>
    </xf>
    <xf numFmtId="0" fontId="4" fillId="4" borderId="8" xfId="0" applyFont="1" applyFill="1" applyBorder="1" applyAlignment="1">
      <alignment vertical="top" wrapText="1"/>
    </xf>
    <xf numFmtId="165" fontId="5" fillId="0" borderId="8" xfId="1" applyNumberFormat="1" applyFont="1" applyBorder="1" applyAlignment="1">
      <alignment vertical="top"/>
    </xf>
    <xf numFmtId="0" fontId="4" fillId="0" borderId="8" xfId="0" applyFont="1" applyBorder="1" applyAlignment="1">
      <alignment horizontal="center" vertical="top"/>
    </xf>
    <xf numFmtId="15" fontId="4" fillId="4" borderId="8" xfId="0" applyNumberFormat="1" applyFont="1" applyFill="1" applyBorder="1" applyAlignment="1">
      <alignment vertical="top"/>
    </xf>
    <xf numFmtId="165" fontId="6" fillId="4" borderId="8" xfId="1" applyNumberFormat="1" applyFont="1" applyFill="1" applyBorder="1" applyAlignment="1">
      <alignment vertical="top"/>
    </xf>
    <xf numFmtId="165" fontId="4" fillId="4" borderId="8" xfId="1" applyNumberFormat="1" applyFont="1" applyFill="1" applyBorder="1" applyAlignment="1">
      <alignment vertical="top"/>
    </xf>
    <xf numFmtId="10" fontId="4" fillId="4" borderId="8" xfId="2" applyNumberFormat="1" applyFont="1" applyFill="1" applyBorder="1" applyAlignment="1">
      <alignment vertical="top"/>
    </xf>
    <xf numFmtId="10" fontId="4" fillId="4" borderId="8" xfId="0" applyNumberFormat="1" applyFont="1" applyFill="1" applyBorder="1" applyAlignment="1">
      <alignment vertical="top"/>
    </xf>
    <xf numFmtId="165" fontId="4" fillId="4" borderId="8" xfId="0" applyNumberFormat="1" applyFont="1" applyFill="1" applyBorder="1" applyAlignment="1">
      <alignment vertical="top"/>
    </xf>
    <xf numFmtId="0" fontId="4" fillId="7" borderId="8" xfId="0" applyFont="1" applyFill="1" applyBorder="1" applyAlignment="1">
      <alignment vertical="top" wrapText="1"/>
    </xf>
    <xf numFmtId="0" fontId="4" fillId="4" borderId="8" xfId="0" applyFont="1" applyFill="1" applyBorder="1" applyAlignment="1">
      <alignment vertical="top"/>
    </xf>
    <xf numFmtId="0" fontId="7" fillId="0" borderId="0" xfId="0" applyFont="1" applyAlignment="1">
      <alignment horizontal="left" vertical="center"/>
    </xf>
    <xf numFmtId="0" fontId="5" fillId="0" borderId="0" xfId="0" applyFont="1" applyAlignment="1">
      <alignment vertical="top"/>
    </xf>
    <xf numFmtId="0" fontId="0" fillId="0" borderId="0" xfId="0" applyFont="1" applyAlignment="1">
      <alignment vertical="top"/>
    </xf>
    <xf numFmtId="0" fontId="0" fillId="3" borderId="0" xfId="0" applyFont="1" applyFill="1" applyAlignment="1">
      <alignment vertical="top"/>
    </xf>
    <xf numFmtId="0" fontId="8" fillId="0" borderId="0" xfId="0" applyFont="1" applyFill="1" applyAlignment="1">
      <alignment vertical="top"/>
    </xf>
    <xf numFmtId="0" fontId="0" fillId="0" borderId="0" xfId="0" applyFont="1" applyAlignment="1">
      <alignment vertical="top" wrapText="1"/>
    </xf>
    <xf numFmtId="0" fontId="0" fillId="4" borderId="0" xfId="0" applyFont="1" applyFill="1" applyAlignment="1">
      <alignment vertical="top"/>
    </xf>
    <xf numFmtId="0" fontId="0" fillId="0" borderId="0" xfId="0" applyFont="1" applyFill="1" applyAlignment="1">
      <alignment vertical="top"/>
    </xf>
    <xf numFmtId="0" fontId="9" fillId="0" borderId="0" xfId="0" applyFont="1" applyAlignment="1">
      <alignment vertical="top"/>
    </xf>
    <xf numFmtId="0" fontId="0" fillId="0" borderId="8" xfId="0" applyFont="1" applyBorder="1" applyAlignment="1">
      <alignment vertical="top" wrapText="1"/>
    </xf>
    <xf numFmtId="164" fontId="0" fillId="3" borderId="8" xfId="1" applyFont="1" applyFill="1" applyBorder="1" applyAlignment="1">
      <alignment vertical="top"/>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165" fontId="5" fillId="2" borderId="8" xfId="1" applyNumberFormat="1" applyFont="1" applyFill="1" applyBorder="1" applyAlignment="1">
      <alignment horizontal="center" vertical="top" wrapText="1"/>
    </xf>
    <xf numFmtId="165" fontId="0" fillId="0" borderId="8" xfId="1" applyNumberFormat="1" applyFont="1" applyFill="1" applyBorder="1" applyAlignment="1">
      <alignment vertical="top"/>
    </xf>
    <xf numFmtId="0" fontId="0" fillId="0" borderId="8" xfId="0" applyFont="1" applyBorder="1" applyAlignment="1">
      <alignment horizontal="center" vertical="top"/>
    </xf>
    <xf numFmtId="15" fontId="0" fillId="0" borderId="8" xfId="0" applyNumberFormat="1" applyFont="1" applyBorder="1" applyAlignment="1">
      <alignment vertical="top"/>
    </xf>
    <xf numFmtId="166" fontId="0" fillId="0" borderId="8" xfId="2" applyNumberFormat="1" applyFont="1" applyFill="1" applyBorder="1" applyAlignment="1">
      <alignment vertical="top"/>
    </xf>
    <xf numFmtId="165" fontId="0" fillId="0" borderId="8" xfId="0" applyNumberFormat="1" applyFont="1" applyBorder="1" applyAlignment="1">
      <alignment vertical="top"/>
    </xf>
    <xf numFmtId="15" fontId="0" fillId="0" borderId="8" xfId="0" applyNumberFormat="1" applyFont="1" applyBorder="1" applyAlignment="1">
      <alignment vertical="top" wrapText="1"/>
    </xf>
    <xf numFmtId="9" fontId="0" fillId="0" borderId="8" xfId="2" applyFont="1" applyBorder="1" applyAlignment="1">
      <alignment vertical="top"/>
    </xf>
    <xf numFmtId="166" fontId="0" fillId="6" borderId="8" xfId="2" applyNumberFormat="1" applyFont="1" applyFill="1" applyBorder="1" applyAlignment="1">
      <alignment vertical="top"/>
    </xf>
    <xf numFmtId="14" fontId="0" fillId="0" borderId="0" xfId="0" applyNumberFormat="1" applyFont="1" applyAlignment="1">
      <alignment vertical="top"/>
    </xf>
    <xf numFmtId="9" fontId="0" fillId="0" borderId="0" xfId="2" applyFont="1" applyAlignment="1">
      <alignment vertical="top"/>
    </xf>
    <xf numFmtId="165" fontId="0" fillId="3" borderId="8" xfId="1" applyNumberFormat="1" applyFont="1" applyFill="1" applyBorder="1" applyAlignment="1">
      <alignment vertical="top"/>
    </xf>
    <xf numFmtId="0" fontId="4" fillId="0" borderId="0" xfId="0" applyFont="1" applyAlignment="1">
      <alignment vertical="top"/>
    </xf>
    <xf numFmtId="17" fontId="5" fillId="2" borderId="8" xfId="0" applyNumberFormat="1" applyFont="1" applyFill="1" applyBorder="1" applyAlignment="1">
      <alignment horizontal="center" vertical="top"/>
    </xf>
    <xf numFmtId="165" fontId="5" fillId="2" borderId="8" xfId="0" applyNumberFormat="1" applyFont="1" applyFill="1" applyBorder="1" applyAlignment="1">
      <alignment vertical="top" wrapText="1"/>
    </xf>
    <xf numFmtId="9" fontId="5" fillId="2" borderId="8" xfId="2" applyFont="1" applyFill="1" applyBorder="1" applyAlignment="1">
      <alignment vertical="top"/>
    </xf>
    <xf numFmtId="165" fontId="5" fillId="2" borderId="8" xfId="1" applyNumberFormat="1" applyFont="1" applyFill="1" applyBorder="1" applyAlignment="1">
      <alignment vertical="top"/>
    </xf>
    <xf numFmtId="165" fontId="0" fillId="0" borderId="0" xfId="0" applyNumberFormat="1" applyFont="1" applyAlignment="1">
      <alignment vertical="top"/>
    </xf>
    <xf numFmtId="15" fontId="4" fillId="7" borderId="8" xfId="0" applyNumberFormat="1" applyFont="1" applyFill="1" applyBorder="1" applyAlignment="1">
      <alignment vertical="top"/>
    </xf>
    <xf numFmtId="165" fontId="4" fillId="7" borderId="8" xfId="1" applyNumberFormat="1" applyFont="1" applyFill="1" applyBorder="1" applyAlignment="1">
      <alignment vertical="top"/>
    </xf>
    <xf numFmtId="10" fontId="4" fillId="7" borderId="8" xfId="2" applyNumberFormat="1" applyFont="1" applyFill="1" applyBorder="1" applyAlignment="1">
      <alignment vertical="top"/>
    </xf>
    <xf numFmtId="10" fontId="4" fillId="7" borderId="8" xfId="0" applyNumberFormat="1" applyFont="1" applyFill="1" applyBorder="1" applyAlignment="1">
      <alignment vertical="top"/>
    </xf>
    <xf numFmtId="165" fontId="0" fillId="0" borderId="8" xfId="1" applyNumberFormat="1" applyFont="1" applyBorder="1" applyAlignment="1">
      <alignment vertical="top"/>
    </xf>
    <xf numFmtId="10" fontId="0" fillId="0" borderId="8" xfId="2" applyNumberFormat="1" applyFont="1" applyBorder="1" applyAlignment="1">
      <alignment vertical="top"/>
    </xf>
    <xf numFmtId="10" fontId="0" fillId="0" borderId="8" xfId="0" applyNumberFormat="1" applyFont="1" applyBorder="1" applyAlignment="1">
      <alignment vertical="top"/>
    </xf>
    <xf numFmtId="10" fontId="8" fillId="0" borderId="8" xfId="0" applyNumberFormat="1" applyFont="1" applyBorder="1" applyAlignment="1">
      <alignment vertical="top"/>
    </xf>
    <xf numFmtId="0" fontId="0" fillId="0" borderId="8" xfId="0" applyFont="1" applyFill="1" applyBorder="1" applyAlignment="1">
      <alignment horizontal="center" vertical="top"/>
    </xf>
    <xf numFmtId="15" fontId="0" fillId="0" borderId="8" xfId="0" applyNumberFormat="1" applyFont="1" applyFill="1" applyBorder="1" applyAlignment="1">
      <alignment vertical="top"/>
    </xf>
    <xf numFmtId="10" fontId="0" fillId="0" borderId="8" xfId="2" applyNumberFormat="1" applyFont="1" applyFill="1" applyBorder="1" applyAlignment="1">
      <alignment vertical="top"/>
    </xf>
    <xf numFmtId="10" fontId="8" fillId="0" borderId="8" xfId="0" applyNumberFormat="1" applyFont="1" applyFill="1" applyBorder="1" applyAlignment="1">
      <alignment vertical="top"/>
    </xf>
    <xf numFmtId="165" fontId="0" fillId="0" borderId="8" xfId="0" applyNumberFormat="1" applyFont="1" applyFill="1" applyBorder="1" applyAlignment="1">
      <alignment vertical="top"/>
    </xf>
    <xf numFmtId="0" fontId="0" fillId="0" borderId="8" xfId="0" applyFont="1" applyFill="1" applyBorder="1" applyAlignment="1">
      <alignment vertical="top" wrapText="1"/>
    </xf>
    <xf numFmtId="167" fontId="0" fillId="0" borderId="0" xfId="0" applyNumberFormat="1" applyFont="1" applyFill="1" applyAlignment="1">
      <alignment vertical="top"/>
    </xf>
    <xf numFmtId="0" fontId="0" fillId="0" borderId="8" xfId="0" applyFont="1" applyBorder="1" applyAlignment="1">
      <alignment vertical="top"/>
    </xf>
    <xf numFmtId="167" fontId="0" fillId="0" borderId="0" xfId="0" applyNumberFormat="1" applyFont="1" applyAlignment="1">
      <alignment vertical="top"/>
    </xf>
    <xf numFmtId="0" fontId="5" fillId="0" borderId="0" xfId="0" applyFont="1" applyAlignment="1">
      <alignment horizontal="center" vertical="top"/>
    </xf>
    <xf numFmtId="165" fontId="5" fillId="5" borderId="0" xfId="0" applyNumberFormat="1" applyFont="1" applyFill="1" applyAlignment="1">
      <alignment vertical="top"/>
    </xf>
    <xf numFmtId="10" fontId="0" fillId="0" borderId="0" xfId="2" applyNumberFormat="1" applyFont="1" applyAlignment="1">
      <alignment vertical="top"/>
    </xf>
    <xf numFmtId="4" fontId="0" fillId="0" borderId="0" xfId="1" applyNumberFormat="1" applyFont="1" applyAlignment="1">
      <alignment vertical="top"/>
    </xf>
    <xf numFmtId="0" fontId="10" fillId="0" borderId="0" xfId="0" applyFont="1" applyAlignment="1">
      <alignment vertical="top"/>
    </xf>
    <xf numFmtId="0" fontId="2" fillId="0" borderId="9" xfId="0" applyFont="1" applyBorder="1" applyAlignment="1">
      <alignment horizontal="right" vertical="center" wrapText="1"/>
    </xf>
    <xf numFmtId="0" fontId="2" fillId="0" borderId="10" xfId="0" applyFont="1" applyBorder="1" applyAlignment="1">
      <alignment horizontal="right" vertical="center" wrapText="1"/>
    </xf>
    <xf numFmtId="0" fontId="2" fillId="0" borderId="4" xfId="0" applyFont="1" applyBorder="1" applyAlignment="1">
      <alignment horizontal="right" vertical="center"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168" fontId="3" fillId="0" borderId="7" xfId="0" applyNumberFormat="1" applyFont="1" applyBorder="1" applyAlignment="1">
      <alignment horizontal="center" vertical="center" wrapText="1"/>
    </xf>
    <xf numFmtId="168" fontId="3" fillId="0" borderId="3" xfId="0" applyNumberFormat="1" applyFont="1" applyBorder="1" applyAlignment="1">
      <alignment horizontal="center" vertical="center" wrapText="1"/>
    </xf>
    <xf numFmtId="165" fontId="3" fillId="0" borderId="7" xfId="1" applyNumberFormat="1" applyFont="1" applyBorder="1" applyAlignment="1">
      <alignment horizontal="center" vertical="center" wrapText="1"/>
    </xf>
    <xf numFmtId="165" fontId="3" fillId="0" borderId="3" xfId="1" applyNumberFormat="1"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552790</xdr:colOff>
      <xdr:row>12</xdr:row>
      <xdr:rowOff>61232</xdr:rowOff>
    </xdr:from>
    <xdr:to>
      <xdr:col>6</xdr:col>
      <xdr:colOff>939800</xdr:colOff>
      <xdr:row>13</xdr:row>
      <xdr:rowOff>95250</xdr:rowOff>
    </xdr:to>
    <xdr:sp macro="" textlink="">
      <xdr:nvSpPr>
        <xdr:cNvPr id="3" name="Rectangular Callout 2"/>
        <xdr:cNvSpPr/>
      </xdr:nvSpPr>
      <xdr:spPr>
        <a:xfrm>
          <a:off x="3245190" y="4976132"/>
          <a:ext cx="3917610" cy="542018"/>
        </a:xfrm>
        <a:prstGeom prst="wedgeRectCallout">
          <a:avLst>
            <a:gd name="adj1" fmla="val -67568"/>
            <a:gd name="adj2" fmla="val -37665"/>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r>
            <a:rPr lang="en-US" sz="1200">
              <a:solidFill>
                <a:schemeClr val="lt1"/>
              </a:solidFill>
              <a:effectLst/>
              <a:latin typeface="+mn-lt"/>
              <a:ea typeface="+mn-ea"/>
              <a:cs typeface="+mn-cs"/>
            </a:rPr>
            <a:t>2. Nhập</a:t>
          </a:r>
          <a:r>
            <a:rPr lang="en-US" sz="1200" baseline="0">
              <a:solidFill>
                <a:schemeClr val="lt1"/>
              </a:solidFill>
              <a:effectLst/>
              <a:latin typeface="+mn-lt"/>
              <a:ea typeface="+mn-ea"/>
              <a:cs typeface="+mn-cs"/>
            </a:rPr>
            <a:t> số tiền khấu trừ lương hàng tháng.</a:t>
          </a:r>
          <a:endParaRPr lang="en-US" sz="1200">
            <a:effectLst/>
          </a:endParaRPr>
        </a:p>
        <a:p>
          <a:r>
            <a:rPr lang="en-US" sz="1200" baseline="0">
              <a:solidFill>
                <a:schemeClr val="lt1"/>
              </a:solidFill>
              <a:effectLst/>
              <a:latin typeface="+mn-lt"/>
              <a:ea typeface="+mn-ea"/>
              <a:cs typeface="+mn-cs"/>
            </a:rPr>
            <a:t>Lưu ý: mốc tối thiểu 6M/ tháng</a:t>
          </a:r>
          <a:endParaRPr lang="en-US" sz="1200">
            <a:effectLst/>
          </a:endParaRPr>
        </a:p>
      </xdr:txBody>
    </xdr:sp>
    <xdr:clientData/>
  </xdr:twoCellAnchor>
  <xdr:twoCellAnchor>
    <xdr:from>
      <xdr:col>3</xdr:col>
      <xdr:colOff>558800</xdr:colOff>
      <xdr:row>11</xdr:row>
      <xdr:rowOff>81643</xdr:rowOff>
    </xdr:from>
    <xdr:to>
      <xdr:col>6</xdr:col>
      <xdr:colOff>939800</xdr:colOff>
      <xdr:row>12</xdr:row>
      <xdr:rowOff>27215</xdr:rowOff>
    </xdr:to>
    <xdr:sp macro="" textlink="">
      <xdr:nvSpPr>
        <xdr:cNvPr id="6" name="Rectangular Callout 5"/>
        <xdr:cNvSpPr/>
      </xdr:nvSpPr>
      <xdr:spPr>
        <a:xfrm>
          <a:off x="3251200" y="4336143"/>
          <a:ext cx="3911600" cy="605972"/>
        </a:xfrm>
        <a:prstGeom prst="wedgeRectCallout">
          <a:avLst>
            <a:gd name="adj1" fmla="val -70594"/>
            <a:gd name="adj2" fmla="val -125559"/>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Lãi</a:t>
          </a:r>
          <a:r>
            <a:rPr lang="en-US" sz="1100" baseline="0">
              <a:solidFill>
                <a:schemeClr val="lt1"/>
              </a:solidFill>
              <a:effectLst/>
              <a:latin typeface="+mn-lt"/>
              <a:ea typeface="+mn-ea"/>
              <a:cs typeface="+mn-cs"/>
            </a:rPr>
            <a:t> suất tạm tính tại thời điểm sau 30 Sep 2021.</a:t>
          </a:r>
          <a:endParaRPr lang="en-US" sz="1200">
            <a:effectLst/>
          </a:endParaRPr>
        </a:p>
        <a:p>
          <a:r>
            <a:rPr lang="en-US" sz="1100" baseline="0">
              <a:solidFill>
                <a:schemeClr val="lt1"/>
              </a:solidFill>
              <a:effectLst/>
              <a:latin typeface="+mn-lt"/>
              <a:ea typeface="+mn-ea"/>
              <a:cs typeface="+mn-cs"/>
            </a:rPr>
            <a:t>= LS </a:t>
          </a:r>
          <a:r>
            <a:rPr lang="en-US" sz="1200" baseline="0">
              <a:solidFill>
                <a:schemeClr val="lt1"/>
              </a:solidFill>
              <a:effectLst/>
              <a:latin typeface="+mn-lt"/>
              <a:ea typeface="+mn-ea"/>
              <a:cs typeface="+mn-cs"/>
            </a:rPr>
            <a:t>tiết</a:t>
          </a:r>
          <a:r>
            <a:rPr lang="en-US" sz="1100" baseline="0">
              <a:solidFill>
                <a:schemeClr val="lt1"/>
              </a:solidFill>
              <a:effectLst/>
              <a:latin typeface="+mn-lt"/>
              <a:ea typeface="+mn-ea"/>
              <a:cs typeface="+mn-cs"/>
            </a:rPr>
            <a:t> kiệm TPB + 2.5%</a:t>
          </a:r>
          <a:endParaRPr lang="en-US" sz="1200">
            <a:effectLst/>
          </a:endParaRPr>
        </a:p>
      </xdr:txBody>
    </xdr:sp>
    <xdr:clientData/>
  </xdr:twoCellAnchor>
  <xdr:twoCellAnchor>
    <xdr:from>
      <xdr:col>3</xdr:col>
      <xdr:colOff>585107</xdr:colOff>
      <xdr:row>13</xdr:row>
      <xdr:rowOff>340177</xdr:rowOff>
    </xdr:from>
    <xdr:to>
      <xdr:col>6</xdr:col>
      <xdr:colOff>965200</xdr:colOff>
      <xdr:row>15</xdr:row>
      <xdr:rowOff>258535</xdr:rowOff>
    </xdr:to>
    <xdr:sp macro="" textlink="">
      <xdr:nvSpPr>
        <xdr:cNvPr id="9" name="Rectangular Callout 8"/>
        <xdr:cNvSpPr/>
      </xdr:nvSpPr>
      <xdr:spPr>
        <a:xfrm>
          <a:off x="3277507" y="5763077"/>
          <a:ext cx="3910693" cy="858158"/>
        </a:xfrm>
        <a:prstGeom prst="wedgeRectCallout">
          <a:avLst>
            <a:gd name="adj1" fmla="val -67568"/>
            <a:gd name="adj2" fmla="val -37665"/>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r>
            <a:rPr lang="en-US" sz="1200">
              <a:solidFill>
                <a:schemeClr val="lt1"/>
              </a:solidFill>
              <a:effectLst/>
              <a:latin typeface="+mn-lt"/>
              <a:ea typeface="+mn-ea"/>
              <a:cs typeface="+mn-cs"/>
            </a:rPr>
            <a:t>3. Nhập</a:t>
          </a:r>
          <a:r>
            <a:rPr lang="en-US" sz="1200" baseline="0">
              <a:solidFill>
                <a:schemeClr val="lt1"/>
              </a:solidFill>
              <a:effectLst/>
              <a:latin typeface="+mn-lt"/>
              <a:ea typeface="+mn-ea"/>
              <a:cs typeface="+mn-cs"/>
            </a:rPr>
            <a:t> số tiền dự kiến trích từ thưởng cuối năm hoặc tiền tự có, đảm bảo mức tối thiểu tại các đợt đóng, tham khảo bảng II. Bảng mốc thanh toán, số đã nhập là số tam tính tối thiểu.</a:t>
          </a:r>
          <a:endParaRPr lang="en-US" sz="1200">
            <a:effectLst/>
          </a:endParaRPr>
        </a:p>
      </xdr:txBody>
    </xdr:sp>
    <xdr:clientData/>
  </xdr:twoCellAnchor>
  <xdr:twoCellAnchor>
    <xdr:from>
      <xdr:col>3</xdr:col>
      <xdr:colOff>635000</xdr:colOff>
      <xdr:row>2</xdr:row>
      <xdr:rowOff>254001</xdr:rowOff>
    </xdr:from>
    <xdr:to>
      <xdr:col>6</xdr:col>
      <xdr:colOff>927100</xdr:colOff>
      <xdr:row>4</xdr:row>
      <xdr:rowOff>220701</xdr:rowOff>
    </xdr:to>
    <xdr:sp macro="" textlink="">
      <xdr:nvSpPr>
        <xdr:cNvPr id="10" name="Rectangular Callout 9"/>
        <xdr:cNvSpPr/>
      </xdr:nvSpPr>
      <xdr:spPr>
        <a:xfrm>
          <a:off x="3318262" y="788330"/>
          <a:ext cx="3823320" cy="501030"/>
        </a:xfrm>
        <a:prstGeom prst="wedgeRectCallout">
          <a:avLst>
            <a:gd name="adj1" fmla="val -66960"/>
            <a:gd name="adj2" fmla="val 172992"/>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200">
              <a:solidFill>
                <a:schemeClr val="bg1"/>
              </a:solidFill>
            </a:rPr>
            <a:t>1. Nhập</a:t>
          </a:r>
          <a:r>
            <a:rPr lang="en-US" sz="1200" baseline="0">
              <a:solidFill>
                <a:schemeClr val="bg1"/>
              </a:solidFill>
            </a:rPr>
            <a:t> chính xác diện tích căn hộ anh/chị đã chọn</a:t>
          </a:r>
          <a:endParaRPr lang="en-US" sz="1200">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5"/>
  <sheetViews>
    <sheetView tabSelected="1" view="pageBreakPreview" zoomScale="82" zoomScaleNormal="98" zoomScaleSheetLayoutView="82" workbookViewId="0">
      <selection activeCell="G8" sqref="G8"/>
    </sheetView>
  </sheetViews>
  <sheetFormatPr defaultRowHeight="21" customHeight="1" x14ac:dyDescent="0.25"/>
  <cols>
    <col min="1" max="1" width="1.85546875" style="32" customWidth="1"/>
    <col min="2" max="2" width="20.28515625" style="32" customWidth="1"/>
    <col min="3" max="3" width="18.140625" style="32" bestFit="1" customWidth="1"/>
    <col min="4" max="4" width="16.85546875" style="32" customWidth="1"/>
    <col min="5" max="5" width="17.7109375" style="32" customWidth="1"/>
    <col min="6" max="6" width="18.28515625" style="32" customWidth="1"/>
    <col min="7" max="7" width="20.5703125" style="18" bestFit="1" customWidth="1"/>
    <col min="8" max="8" width="17.5703125" style="32" customWidth="1"/>
    <col min="9" max="9" width="16.85546875" style="32" customWidth="1"/>
    <col min="10" max="10" width="19.140625" style="32" bestFit="1" customWidth="1"/>
    <col min="11" max="11" width="15.85546875" style="32" customWidth="1"/>
    <col min="12" max="12" width="30.28515625" style="35" customWidth="1"/>
    <col min="13" max="14" width="20.28515625" style="32" customWidth="1"/>
    <col min="15" max="16384" width="9.140625" style="32"/>
  </cols>
  <sheetData>
    <row r="1" spans="2:14" ht="21" customHeight="1" x14ac:dyDescent="0.25">
      <c r="B1" s="82" t="s">
        <v>24</v>
      </c>
      <c r="D1" s="33" t="s">
        <v>57</v>
      </c>
      <c r="E1" s="34"/>
      <c r="F1" s="34"/>
      <c r="G1" s="34"/>
      <c r="H1" s="34"/>
      <c r="I1" s="34"/>
      <c r="J1" s="34"/>
    </row>
    <row r="2" spans="2:14" ht="21" customHeight="1" x14ac:dyDescent="0.25">
      <c r="B2" s="31"/>
      <c r="D2" s="36" t="s">
        <v>33</v>
      </c>
    </row>
    <row r="3" spans="2:14" ht="21" customHeight="1" x14ac:dyDescent="0.25">
      <c r="B3" s="31"/>
      <c r="D3" s="37"/>
    </row>
    <row r="4" spans="2:14" ht="21" customHeight="1" x14ac:dyDescent="0.25">
      <c r="B4" s="31"/>
      <c r="D4" s="37"/>
    </row>
    <row r="5" spans="2:14" ht="21" customHeight="1" x14ac:dyDescent="0.25">
      <c r="B5" s="31"/>
      <c r="D5" s="37"/>
    </row>
    <row r="6" spans="2:14" ht="21" customHeight="1" x14ac:dyDescent="0.25">
      <c r="B6" s="31"/>
    </row>
    <row r="7" spans="2:14" ht="21" customHeight="1" x14ac:dyDescent="0.25">
      <c r="B7" s="38" t="s">
        <v>25</v>
      </c>
      <c r="E7" s="38" t="s">
        <v>27</v>
      </c>
      <c r="K7" s="38" t="s">
        <v>28</v>
      </c>
    </row>
    <row r="8" spans="2:14" ht="47.25" customHeight="1" x14ac:dyDescent="0.25">
      <c r="B8" s="39" t="s">
        <v>19</v>
      </c>
      <c r="C8" s="40">
        <v>68.31</v>
      </c>
      <c r="D8" s="30" t="s">
        <v>54</v>
      </c>
      <c r="E8" s="41" t="s">
        <v>8</v>
      </c>
      <c r="F8" s="41" t="s">
        <v>7</v>
      </c>
      <c r="G8" s="41" t="s">
        <v>26</v>
      </c>
      <c r="H8" s="41" t="s">
        <v>29</v>
      </c>
      <c r="I8" s="41" t="s">
        <v>2</v>
      </c>
      <c r="K8" s="42" t="s">
        <v>8</v>
      </c>
      <c r="L8" s="41" t="s">
        <v>7</v>
      </c>
      <c r="M8" s="43" t="s">
        <v>13</v>
      </c>
      <c r="N8" s="41" t="s">
        <v>22</v>
      </c>
    </row>
    <row r="9" spans="2:14" ht="41.25" customHeight="1" x14ac:dyDescent="0.25">
      <c r="B9" s="39" t="s">
        <v>20</v>
      </c>
      <c r="C9" s="44">
        <v>14300000</v>
      </c>
      <c r="E9" s="45">
        <v>1</v>
      </c>
      <c r="F9" s="46">
        <v>43831</v>
      </c>
      <c r="G9" s="47">
        <v>0.15</v>
      </c>
      <c r="H9" s="48">
        <f>G9*C10</f>
        <v>146524950</v>
      </c>
      <c r="I9" s="39" t="s">
        <v>32</v>
      </c>
      <c r="K9" s="45">
        <v>1</v>
      </c>
      <c r="L9" s="49">
        <v>43692</v>
      </c>
      <c r="M9" s="50">
        <v>0.3</v>
      </c>
      <c r="N9" s="48">
        <f>M9*$C$10</f>
        <v>293049900</v>
      </c>
    </row>
    <row r="10" spans="2:14" ht="46.5" customHeight="1" x14ac:dyDescent="0.25">
      <c r="B10" s="39" t="s">
        <v>0</v>
      </c>
      <c r="C10" s="20">
        <f>C8*C9</f>
        <v>976833000</v>
      </c>
      <c r="E10" s="45">
        <v>2</v>
      </c>
      <c r="F10" s="46">
        <v>44286</v>
      </c>
      <c r="G10" s="50">
        <v>0.3</v>
      </c>
      <c r="H10" s="48">
        <f>G10*C10</f>
        <v>293049900</v>
      </c>
      <c r="I10" s="39" t="s">
        <v>30</v>
      </c>
      <c r="K10" s="45">
        <v>2</v>
      </c>
      <c r="L10" s="49">
        <v>43876</v>
      </c>
      <c r="M10" s="50">
        <v>0.05</v>
      </c>
      <c r="N10" s="48">
        <f>M10*$C$10</f>
        <v>48841650</v>
      </c>
    </row>
    <row r="11" spans="2:14" ht="52.5" customHeight="1" x14ac:dyDescent="0.25">
      <c r="B11" s="39" t="s">
        <v>52</v>
      </c>
      <c r="C11" s="51">
        <f>7.5%+2.5%</f>
        <v>0.1</v>
      </c>
      <c r="E11" s="45">
        <v>3</v>
      </c>
      <c r="F11" s="46">
        <v>45016</v>
      </c>
      <c r="G11" s="50">
        <v>0.5</v>
      </c>
      <c r="H11" s="48">
        <f>G11*C10</f>
        <v>488416500</v>
      </c>
      <c r="I11" s="39" t="s">
        <v>31</v>
      </c>
      <c r="K11" s="45">
        <v>3</v>
      </c>
      <c r="L11" s="49">
        <v>44058</v>
      </c>
      <c r="M11" s="50">
        <v>0.05</v>
      </c>
      <c r="N11" s="48">
        <f>M11*$C$10</f>
        <v>48841650</v>
      </c>
    </row>
    <row r="12" spans="2:14" ht="51.75" customHeight="1" x14ac:dyDescent="0.25">
      <c r="B12" s="39" t="s">
        <v>53</v>
      </c>
      <c r="C12" s="47">
        <f>8.5%</f>
        <v>8.5000000000000006E-2</v>
      </c>
      <c r="D12" s="52"/>
      <c r="G12" s="53"/>
      <c r="K12" s="45">
        <v>4</v>
      </c>
      <c r="L12" s="49">
        <v>44270</v>
      </c>
      <c r="M12" s="50">
        <v>0.05</v>
      </c>
      <c r="N12" s="48">
        <f>M12*$C$10</f>
        <v>48841650</v>
      </c>
    </row>
    <row r="13" spans="2:14" ht="39.75" customHeight="1" x14ac:dyDescent="0.25">
      <c r="B13" s="39" t="s">
        <v>23</v>
      </c>
      <c r="C13" s="54">
        <v>6000000</v>
      </c>
      <c r="D13" s="52"/>
      <c r="E13" s="55"/>
      <c r="G13" s="53"/>
      <c r="K13" s="45">
        <v>5</v>
      </c>
      <c r="L13" s="49">
        <v>44286</v>
      </c>
      <c r="M13" s="50">
        <v>0.55000000000000004</v>
      </c>
      <c r="N13" s="48">
        <f t="shared" ref="N13" si="0">M13*$C$10</f>
        <v>537258150</v>
      </c>
    </row>
    <row r="14" spans="2:14" ht="52.5" customHeight="1" x14ac:dyDescent="0.25">
      <c r="B14" s="39" t="s">
        <v>51</v>
      </c>
      <c r="C14" s="54">
        <v>70000000</v>
      </c>
      <c r="D14" s="52"/>
      <c r="G14" s="53"/>
      <c r="K14" s="56" t="s">
        <v>9</v>
      </c>
      <c r="L14" s="57"/>
      <c r="M14" s="58">
        <f ca="1">SUM(M9:M14)</f>
        <v>1</v>
      </c>
      <c r="N14" s="59">
        <f>SUM(N9:N13)</f>
        <v>976833000</v>
      </c>
    </row>
    <row r="15" spans="2:14" ht="21" customHeight="1" x14ac:dyDescent="0.25">
      <c r="B15" s="35"/>
      <c r="C15" s="60"/>
      <c r="D15" s="30" t="s">
        <v>55</v>
      </c>
    </row>
    <row r="16" spans="2:14" ht="21" customHeight="1" x14ac:dyDescent="0.25">
      <c r="B16" s="35"/>
      <c r="C16" s="60"/>
      <c r="D16" s="30" t="s">
        <v>56</v>
      </c>
    </row>
    <row r="17" spans="2:12" ht="21" customHeight="1" x14ac:dyDescent="0.25">
      <c r="C17" s="60"/>
    </row>
    <row r="18" spans="2:12" ht="79.5" customHeight="1" x14ac:dyDescent="0.25">
      <c r="B18" s="41" t="s">
        <v>1</v>
      </c>
      <c r="C18" s="41" t="s">
        <v>3</v>
      </c>
      <c r="D18" s="41" t="s">
        <v>16</v>
      </c>
      <c r="E18" s="41" t="s">
        <v>15</v>
      </c>
      <c r="F18" s="41" t="s">
        <v>17</v>
      </c>
      <c r="G18" s="41" t="s">
        <v>14</v>
      </c>
      <c r="H18" s="41" t="s">
        <v>10</v>
      </c>
      <c r="I18" s="41" t="s">
        <v>4</v>
      </c>
      <c r="J18" s="43" t="s">
        <v>5</v>
      </c>
      <c r="K18" s="41" t="s">
        <v>6</v>
      </c>
      <c r="L18" s="41" t="s">
        <v>2</v>
      </c>
    </row>
    <row r="19" spans="2:12" s="55" customFormat="1" ht="32.25" customHeight="1" x14ac:dyDescent="0.25">
      <c r="B19" s="21">
        <v>1</v>
      </c>
      <c r="C19" s="61">
        <v>43831</v>
      </c>
      <c r="D19" s="62">
        <f>H9</f>
        <v>146524950</v>
      </c>
      <c r="E19" s="62">
        <f>D19</f>
        <v>146524950</v>
      </c>
      <c r="F19" s="63">
        <f t="shared" ref="F19:F54" si="1">E19/$C$10</f>
        <v>0.15</v>
      </c>
      <c r="G19" s="62">
        <f>N9</f>
        <v>293049900</v>
      </c>
      <c r="H19" s="62">
        <f>G19-E19</f>
        <v>146524950</v>
      </c>
      <c r="I19" s="64">
        <f>$C$12</f>
        <v>8.5000000000000006E-2</v>
      </c>
      <c r="J19" s="64"/>
      <c r="K19" s="62">
        <f>H19</f>
        <v>146524950</v>
      </c>
      <c r="L19" s="28" t="s">
        <v>18</v>
      </c>
    </row>
    <row r="20" spans="2:12" ht="21" customHeight="1" x14ac:dyDescent="0.25">
      <c r="B20" s="45">
        <v>2</v>
      </c>
      <c r="C20" s="46">
        <v>43849</v>
      </c>
      <c r="D20" s="65">
        <f>$C$13</f>
        <v>6000000</v>
      </c>
      <c r="E20" s="65">
        <f t="shared" ref="E20:E54" si="2">D20+E19</f>
        <v>152524950</v>
      </c>
      <c r="F20" s="66">
        <f t="shared" si="1"/>
        <v>0.15614229863241721</v>
      </c>
      <c r="G20" s="65"/>
      <c r="H20" s="65">
        <f t="shared" ref="H20:H46" si="3">H19-D20+G20</f>
        <v>140524950</v>
      </c>
      <c r="I20" s="67">
        <f t="shared" ref="I20:I46" si="4">$C$12</f>
        <v>8.5000000000000006E-2</v>
      </c>
      <c r="J20" s="65">
        <f>IF(ROUND((C20-C19)*K19*I20/365,0)&lt;0,0,ROUND((C20-C19)*K19*I20/365,0))</f>
        <v>614200</v>
      </c>
      <c r="K20" s="48">
        <f>K19-D20+G20+J20</f>
        <v>141139150</v>
      </c>
      <c r="L20" s="39"/>
    </row>
    <row r="21" spans="2:12" ht="21" customHeight="1" x14ac:dyDescent="0.25">
      <c r="B21" s="45">
        <v>3</v>
      </c>
      <c r="C21" s="46">
        <v>43876</v>
      </c>
      <c r="D21" s="65"/>
      <c r="E21" s="65">
        <f t="shared" si="2"/>
        <v>152524950</v>
      </c>
      <c r="F21" s="66">
        <f>E21/$C$10</f>
        <v>0.15614229863241721</v>
      </c>
      <c r="G21" s="65">
        <f>N10</f>
        <v>48841650</v>
      </c>
      <c r="H21" s="65">
        <f t="shared" si="3"/>
        <v>189366600</v>
      </c>
      <c r="I21" s="67">
        <f t="shared" si="4"/>
        <v>8.5000000000000006E-2</v>
      </c>
      <c r="J21" s="65">
        <f>IF(ROUND((C21-C20)*K20*I21/365,0)&lt;0,0,ROUND((C21-C20)*K20*I21/365,0))</f>
        <v>887437</v>
      </c>
      <c r="K21" s="48">
        <f t="shared" ref="K21:K45" si="5">K20-D21+G21+J21</f>
        <v>190868237</v>
      </c>
      <c r="L21" s="39" t="s">
        <v>11</v>
      </c>
    </row>
    <row r="22" spans="2:12" ht="21" customHeight="1" x14ac:dyDescent="0.25">
      <c r="B22" s="45">
        <v>4</v>
      </c>
      <c r="C22" s="46">
        <v>43880</v>
      </c>
      <c r="D22" s="65">
        <f t="shared" ref="D22:D27" si="6">$C$13</f>
        <v>6000000</v>
      </c>
      <c r="E22" s="65">
        <f t="shared" si="2"/>
        <v>158524950</v>
      </c>
      <c r="F22" s="66">
        <f t="shared" si="1"/>
        <v>0.16228459726483441</v>
      </c>
      <c r="G22" s="65"/>
      <c r="H22" s="65">
        <f t="shared" si="3"/>
        <v>183366600</v>
      </c>
      <c r="I22" s="67">
        <f t="shared" si="4"/>
        <v>8.5000000000000006E-2</v>
      </c>
      <c r="J22" s="65">
        <f>IF(ROUND((C22-C21)*K21*I22/365,0)&lt;0,0,ROUND((C22-C21)*K21*I22/365,0))</f>
        <v>177795</v>
      </c>
      <c r="K22" s="48">
        <f t="shared" si="5"/>
        <v>185046032</v>
      </c>
      <c r="L22" s="39"/>
    </row>
    <row r="23" spans="2:12" ht="21" customHeight="1" x14ac:dyDescent="0.25">
      <c r="B23" s="45">
        <v>5</v>
      </c>
      <c r="C23" s="46">
        <v>43909</v>
      </c>
      <c r="D23" s="65">
        <f t="shared" si="6"/>
        <v>6000000</v>
      </c>
      <c r="E23" s="65">
        <f t="shared" si="2"/>
        <v>164524950</v>
      </c>
      <c r="F23" s="66">
        <f t="shared" si="1"/>
        <v>0.16842689589725163</v>
      </c>
      <c r="G23" s="65"/>
      <c r="H23" s="65">
        <f t="shared" si="3"/>
        <v>177366600</v>
      </c>
      <c r="I23" s="67">
        <f t="shared" si="4"/>
        <v>8.5000000000000006E-2</v>
      </c>
      <c r="J23" s="65">
        <f>IF(ROUND((C23-C22)*K22*I23/365,0)&lt;0,0,ROUND((C23-C22)*K22*I23/365,0))</f>
        <v>1249694</v>
      </c>
      <c r="K23" s="48">
        <f t="shared" si="5"/>
        <v>180295726</v>
      </c>
      <c r="L23" s="39"/>
    </row>
    <row r="24" spans="2:12" ht="21" customHeight="1" x14ac:dyDescent="0.25">
      <c r="B24" s="45">
        <v>6</v>
      </c>
      <c r="C24" s="46">
        <v>43940</v>
      </c>
      <c r="D24" s="65">
        <f t="shared" si="6"/>
        <v>6000000</v>
      </c>
      <c r="E24" s="65">
        <f t="shared" si="2"/>
        <v>170524950</v>
      </c>
      <c r="F24" s="66">
        <f t="shared" si="1"/>
        <v>0.17456919452966885</v>
      </c>
      <c r="G24" s="65"/>
      <c r="H24" s="65">
        <f t="shared" si="3"/>
        <v>171366600</v>
      </c>
      <c r="I24" s="67">
        <f t="shared" si="4"/>
        <v>8.5000000000000006E-2</v>
      </c>
      <c r="J24" s="65">
        <f t="shared" ref="J24:J34" si="7">IF(ROUND((C24-C23)*K23*I24/365,0)&lt;0,0,ROUND((C24-C23)*K23*I24/365,0))</f>
        <v>1301587</v>
      </c>
      <c r="K24" s="48">
        <f t="shared" si="5"/>
        <v>175597313</v>
      </c>
      <c r="L24" s="39"/>
    </row>
    <row r="25" spans="2:12" ht="21" customHeight="1" x14ac:dyDescent="0.25">
      <c r="B25" s="45">
        <v>7</v>
      </c>
      <c r="C25" s="46">
        <v>43970</v>
      </c>
      <c r="D25" s="65">
        <f t="shared" si="6"/>
        <v>6000000</v>
      </c>
      <c r="E25" s="65">
        <f t="shared" si="2"/>
        <v>176524950</v>
      </c>
      <c r="F25" s="66">
        <f t="shared" si="1"/>
        <v>0.18071149316208604</v>
      </c>
      <c r="G25" s="65"/>
      <c r="H25" s="65">
        <f t="shared" si="3"/>
        <v>165366600</v>
      </c>
      <c r="I25" s="67">
        <f t="shared" si="4"/>
        <v>8.5000000000000006E-2</v>
      </c>
      <c r="J25" s="65">
        <f t="shared" si="7"/>
        <v>1226776</v>
      </c>
      <c r="K25" s="48">
        <f t="shared" si="5"/>
        <v>170824089</v>
      </c>
      <c r="L25" s="39"/>
    </row>
    <row r="26" spans="2:12" ht="21" customHeight="1" x14ac:dyDescent="0.25">
      <c r="B26" s="45">
        <v>8</v>
      </c>
      <c r="C26" s="46">
        <v>44001</v>
      </c>
      <c r="D26" s="65">
        <f t="shared" si="6"/>
        <v>6000000</v>
      </c>
      <c r="E26" s="65">
        <f t="shared" si="2"/>
        <v>182524950</v>
      </c>
      <c r="F26" s="66">
        <f t="shared" si="1"/>
        <v>0.18685379179450326</v>
      </c>
      <c r="G26" s="65"/>
      <c r="H26" s="65">
        <f t="shared" si="3"/>
        <v>159366600</v>
      </c>
      <c r="I26" s="67">
        <f t="shared" si="4"/>
        <v>8.5000000000000006E-2</v>
      </c>
      <c r="J26" s="65">
        <f t="shared" si="7"/>
        <v>1233210</v>
      </c>
      <c r="K26" s="48">
        <f t="shared" si="5"/>
        <v>166057299</v>
      </c>
      <c r="L26" s="39"/>
    </row>
    <row r="27" spans="2:12" ht="21" customHeight="1" x14ac:dyDescent="0.25">
      <c r="B27" s="45">
        <v>9</v>
      </c>
      <c r="C27" s="46">
        <v>44031</v>
      </c>
      <c r="D27" s="65">
        <f t="shared" si="6"/>
        <v>6000000</v>
      </c>
      <c r="E27" s="65">
        <f t="shared" si="2"/>
        <v>188524950</v>
      </c>
      <c r="F27" s="66">
        <f t="shared" si="1"/>
        <v>0.19299609042692048</v>
      </c>
      <c r="G27" s="65"/>
      <c r="H27" s="65">
        <f t="shared" si="3"/>
        <v>153366600</v>
      </c>
      <c r="I27" s="67">
        <f t="shared" si="4"/>
        <v>8.5000000000000006E-2</v>
      </c>
      <c r="J27" s="65">
        <f t="shared" si="7"/>
        <v>1160126</v>
      </c>
      <c r="K27" s="48">
        <f t="shared" si="5"/>
        <v>161217425</v>
      </c>
      <c r="L27" s="39"/>
    </row>
    <row r="28" spans="2:12" ht="21" customHeight="1" x14ac:dyDescent="0.25">
      <c r="B28" s="45">
        <v>10</v>
      </c>
      <c r="C28" s="46">
        <v>44058</v>
      </c>
      <c r="D28" s="65"/>
      <c r="E28" s="65">
        <f t="shared" si="2"/>
        <v>188524950</v>
      </c>
      <c r="F28" s="66">
        <f t="shared" si="1"/>
        <v>0.19299609042692048</v>
      </c>
      <c r="G28" s="65">
        <f>N11</f>
        <v>48841650</v>
      </c>
      <c r="H28" s="65">
        <f t="shared" si="3"/>
        <v>202208250</v>
      </c>
      <c r="I28" s="67">
        <f t="shared" si="4"/>
        <v>8.5000000000000006E-2</v>
      </c>
      <c r="J28" s="65">
        <f t="shared" si="7"/>
        <v>1013682</v>
      </c>
      <c r="K28" s="48">
        <f t="shared" si="5"/>
        <v>211072757</v>
      </c>
      <c r="L28" s="39" t="s">
        <v>11</v>
      </c>
    </row>
    <row r="29" spans="2:12" ht="21" customHeight="1" x14ac:dyDescent="0.25">
      <c r="B29" s="45">
        <v>11</v>
      </c>
      <c r="C29" s="46">
        <v>44062</v>
      </c>
      <c r="D29" s="65">
        <f t="shared" ref="D29:D34" si="8">$C$13</f>
        <v>6000000</v>
      </c>
      <c r="E29" s="65">
        <f>D29+E28</f>
        <v>194524950</v>
      </c>
      <c r="F29" s="66">
        <f t="shared" si="1"/>
        <v>0.19913838905933767</v>
      </c>
      <c r="G29" s="65"/>
      <c r="H29" s="65">
        <f>H28-D29+G29</f>
        <v>196208250</v>
      </c>
      <c r="I29" s="67">
        <f t="shared" si="4"/>
        <v>8.5000000000000006E-2</v>
      </c>
      <c r="J29" s="65">
        <f t="shared" si="7"/>
        <v>196616</v>
      </c>
      <c r="K29" s="48">
        <f>K28-D29+G29+J29</f>
        <v>205269373</v>
      </c>
      <c r="L29" s="39"/>
    </row>
    <row r="30" spans="2:12" ht="21" customHeight="1" x14ac:dyDescent="0.25">
      <c r="B30" s="45">
        <v>12</v>
      </c>
      <c r="C30" s="46">
        <v>44093</v>
      </c>
      <c r="D30" s="65">
        <f t="shared" si="8"/>
        <v>6000000</v>
      </c>
      <c r="E30" s="65">
        <f t="shared" si="2"/>
        <v>200524950</v>
      </c>
      <c r="F30" s="66">
        <f t="shared" si="1"/>
        <v>0.20528068769175489</v>
      </c>
      <c r="G30" s="65"/>
      <c r="H30" s="65">
        <f t="shared" si="3"/>
        <v>190208250</v>
      </c>
      <c r="I30" s="67">
        <f t="shared" si="4"/>
        <v>8.5000000000000006E-2</v>
      </c>
      <c r="J30" s="65">
        <f t="shared" si="7"/>
        <v>1481876</v>
      </c>
      <c r="K30" s="48">
        <f t="shared" si="5"/>
        <v>200751249</v>
      </c>
      <c r="L30" s="39"/>
    </row>
    <row r="31" spans="2:12" ht="21" customHeight="1" x14ac:dyDescent="0.25">
      <c r="B31" s="45">
        <v>13</v>
      </c>
      <c r="C31" s="46">
        <v>44123</v>
      </c>
      <c r="D31" s="65">
        <f t="shared" si="8"/>
        <v>6000000</v>
      </c>
      <c r="E31" s="65">
        <f t="shared" si="2"/>
        <v>206524950</v>
      </c>
      <c r="F31" s="66">
        <f t="shared" si="1"/>
        <v>0.21142298632417209</v>
      </c>
      <c r="G31" s="65"/>
      <c r="H31" s="65">
        <f t="shared" si="3"/>
        <v>184208250</v>
      </c>
      <c r="I31" s="67">
        <f t="shared" si="4"/>
        <v>8.5000000000000006E-2</v>
      </c>
      <c r="J31" s="65">
        <f t="shared" si="7"/>
        <v>1402509</v>
      </c>
      <c r="K31" s="48">
        <f t="shared" si="5"/>
        <v>196153758</v>
      </c>
      <c r="L31" s="39"/>
    </row>
    <row r="32" spans="2:12" ht="21" customHeight="1" x14ac:dyDescent="0.25">
      <c r="B32" s="45">
        <v>14</v>
      </c>
      <c r="C32" s="46">
        <v>44154</v>
      </c>
      <c r="D32" s="65">
        <f t="shared" si="8"/>
        <v>6000000</v>
      </c>
      <c r="E32" s="65">
        <f t="shared" si="2"/>
        <v>212524950</v>
      </c>
      <c r="F32" s="66">
        <f t="shared" si="1"/>
        <v>0.21756528495658931</v>
      </c>
      <c r="G32" s="65"/>
      <c r="H32" s="65">
        <f t="shared" si="3"/>
        <v>178208250</v>
      </c>
      <c r="I32" s="67">
        <f t="shared" si="4"/>
        <v>8.5000000000000006E-2</v>
      </c>
      <c r="J32" s="65">
        <f t="shared" si="7"/>
        <v>1416069</v>
      </c>
      <c r="K32" s="48">
        <f t="shared" si="5"/>
        <v>191569827</v>
      </c>
      <c r="L32" s="39"/>
    </row>
    <row r="33" spans="2:14" ht="21" customHeight="1" x14ac:dyDescent="0.25">
      <c r="B33" s="45">
        <v>15</v>
      </c>
      <c r="C33" s="46">
        <v>44184</v>
      </c>
      <c r="D33" s="65">
        <f t="shared" si="8"/>
        <v>6000000</v>
      </c>
      <c r="E33" s="65">
        <f t="shared" si="2"/>
        <v>218524950</v>
      </c>
      <c r="F33" s="66">
        <f t="shared" si="1"/>
        <v>0.22370758358900653</v>
      </c>
      <c r="G33" s="65"/>
      <c r="H33" s="65">
        <f t="shared" si="3"/>
        <v>172208250</v>
      </c>
      <c r="I33" s="67">
        <f t="shared" si="4"/>
        <v>8.5000000000000006E-2</v>
      </c>
      <c r="J33" s="65">
        <f t="shared" si="7"/>
        <v>1338365</v>
      </c>
      <c r="K33" s="48">
        <f t="shared" si="5"/>
        <v>186908192</v>
      </c>
      <c r="L33" s="39"/>
    </row>
    <row r="34" spans="2:14" ht="21" customHeight="1" x14ac:dyDescent="0.25">
      <c r="B34" s="45">
        <v>16</v>
      </c>
      <c r="C34" s="46">
        <v>44215</v>
      </c>
      <c r="D34" s="65">
        <f t="shared" si="8"/>
        <v>6000000</v>
      </c>
      <c r="E34" s="65">
        <f t="shared" si="2"/>
        <v>224524950</v>
      </c>
      <c r="F34" s="66">
        <f t="shared" si="1"/>
        <v>0.22984988222142372</v>
      </c>
      <c r="G34" s="65"/>
      <c r="H34" s="65">
        <f t="shared" si="3"/>
        <v>166208250</v>
      </c>
      <c r="I34" s="67">
        <f t="shared" si="4"/>
        <v>8.5000000000000006E-2</v>
      </c>
      <c r="J34" s="65">
        <f t="shared" si="7"/>
        <v>1349324</v>
      </c>
      <c r="K34" s="48">
        <f t="shared" si="5"/>
        <v>182257516</v>
      </c>
      <c r="L34" s="39"/>
    </row>
    <row r="35" spans="2:14" ht="112.5" customHeight="1" x14ac:dyDescent="0.25">
      <c r="B35" s="21">
        <v>17</v>
      </c>
      <c r="C35" s="22">
        <v>44237</v>
      </c>
      <c r="D35" s="23">
        <f>$C$14</f>
        <v>70000000</v>
      </c>
      <c r="E35" s="24">
        <f t="shared" si="2"/>
        <v>294524950</v>
      </c>
      <c r="F35" s="25">
        <f t="shared" si="1"/>
        <v>0.30151003293295786</v>
      </c>
      <c r="G35" s="24"/>
      <c r="H35" s="24">
        <f t="shared" si="3"/>
        <v>96208250</v>
      </c>
      <c r="I35" s="26">
        <f t="shared" si="4"/>
        <v>8.5000000000000006E-2</v>
      </c>
      <c r="J35" s="24">
        <f t="shared" ref="J35:J42" si="9">IF(ROUND((C35-C34)*K34*I35/365,0)&lt;0,0,ROUND((C35-C34)*K34*I35/365,0))</f>
        <v>933758</v>
      </c>
      <c r="K35" s="27">
        <f t="shared" si="5"/>
        <v>113191274</v>
      </c>
      <c r="L35" s="19" t="s">
        <v>58</v>
      </c>
    </row>
    <row r="36" spans="2:14" ht="21" customHeight="1" x14ac:dyDescent="0.25">
      <c r="B36" s="45">
        <v>18</v>
      </c>
      <c r="C36" s="46">
        <v>44246</v>
      </c>
      <c r="D36" s="65">
        <f>$C$13</f>
        <v>6000000</v>
      </c>
      <c r="E36" s="65">
        <f t="shared" si="2"/>
        <v>300524950</v>
      </c>
      <c r="F36" s="66">
        <f t="shared" si="1"/>
        <v>0.30765233156537503</v>
      </c>
      <c r="G36" s="65"/>
      <c r="H36" s="65">
        <f>H35-D36+G36</f>
        <v>90208250</v>
      </c>
      <c r="I36" s="67">
        <f t="shared" si="4"/>
        <v>8.5000000000000006E-2</v>
      </c>
      <c r="J36" s="65">
        <f t="shared" si="9"/>
        <v>237237</v>
      </c>
      <c r="K36" s="48">
        <f t="shared" si="5"/>
        <v>107428511</v>
      </c>
      <c r="L36" s="39"/>
    </row>
    <row r="37" spans="2:14" ht="21" customHeight="1" x14ac:dyDescent="0.25">
      <c r="B37" s="45">
        <v>19</v>
      </c>
      <c r="C37" s="46">
        <v>44270</v>
      </c>
      <c r="D37" s="65"/>
      <c r="E37" s="65">
        <f>E36</f>
        <v>300524950</v>
      </c>
      <c r="F37" s="66">
        <f t="shared" si="1"/>
        <v>0.30765233156537503</v>
      </c>
      <c r="G37" s="65">
        <f>N12</f>
        <v>48841650</v>
      </c>
      <c r="H37" s="65">
        <f>H36-D37+G37</f>
        <v>139049900</v>
      </c>
      <c r="I37" s="67">
        <f t="shared" si="4"/>
        <v>8.5000000000000006E-2</v>
      </c>
      <c r="J37" s="65">
        <f t="shared" si="9"/>
        <v>600422</v>
      </c>
      <c r="K37" s="48">
        <f t="shared" si="5"/>
        <v>156870583</v>
      </c>
      <c r="L37" s="39"/>
    </row>
    <row r="38" spans="2:14" ht="21" customHeight="1" x14ac:dyDescent="0.25">
      <c r="B38" s="45">
        <v>20</v>
      </c>
      <c r="C38" s="46">
        <v>44274</v>
      </c>
      <c r="D38" s="65">
        <f>$C$13</f>
        <v>6000000</v>
      </c>
      <c r="E38" s="65">
        <f>D38+E36</f>
        <v>306524950</v>
      </c>
      <c r="F38" s="66">
        <f t="shared" si="1"/>
        <v>0.31379463019779225</v>
      </c>
      <c r="G38" s="65"/>
      <c r="H38" s="65">
        <f>H37-D38+G38</f>
        <v>133049900</v>
      </c>
      <c r="I38" s="67">
        <f t="shared" si="4"/>
        <v>8.5000000000000006E-2</v>
      </c>
      <c r="J38" s="65">
        <f t="shared" si="9"/>
        <v>146126</v>
      </c>
      <c r="K38" s="48">
        <f t="shared" si="5"/>
        <v>151016709</v>
      </c>
      <c r="L38" s="39"/>
    </row>
    <row r="39" spans="2:14" s="55" customFormat="1" ht="33.75" customHeight="1" x14ac:dyDescent="0.25">
      <c r="B39" s="21">
        <v>21</v>
      </c>
      <c r="C39" s="22">
        <v>44286</v>
      </c>
      <c r="D39" s="24"/>
      <c r="E39" s="23">
        <f t="shared" si="2"/>
        <v>306524950</v>
      </c>
      <c r="F39" s="25">
        <f t="shared" si="1"/>
        <v>0.31379463019779225</v>
      </c>
      <c r="G39" s="24"/>
      <c r="H39" s="24">
        <f t="shared" si="3"/>
        <v>133049900</v>
      </c>
      <c r="I39" s="26">
        <f t="shared" si="4"/>
        <v>8.5000000000000006E-2</v>
      </c>
      <c r="J39" s="24">
        <f t="shared" si="9"/>
        <v>422019</v>
      </c>
      <c r="K39" s="27">
        <f t="shared" si="5"/>
        <v>151438728</v>
      </c>
      <c r="L39" s="19" t="s">
        <v>12</v>
      </c>
    </row>
    <row r="40" spans="2:14" s="55" customFormat="1" ht="27.75" customHeight="1" x14ac:dyDescent="0.25">
      <c r="B40" s="21">
        <v>22</v>
      </c>
      <c r="C40" s="22">
        <v>44287</v>
      </c>
      <c r="D40" s="24"/>
      <c r="E40" s="23">
        <f>D40+E39</f>
        <v>306524950</v>
      </c>
      <c r="F40" s="25">
        <f t="shared" si="1"/>
        <v>0.31379463019779225</v>
      </c>
      <c r="G40" s="23">
        <f>N13</f>
        <v>537258150</v>
      </c>
      <c r="H40" s="24">
        <f t="shared" si="3"/>
        <v>670308050</v>
      </c>
      <c r="I40" s="26">
        <f t="shared" si="4"/>
        <v>8.5000000000000006E-2</v>
      </c>
      <c r="J40" s="24">
        <f t="shared" si="9"/>
        <v>35267</v>
      </c>
      <c r="K40" s="27">
        <f t="shared" si="5"/>
        <v>688732145</v>
      </c>
      <c r="L40" s="19" t="s">
        <v>59</v>
      </c>
    </row>
    <row r="41" spans="2:14" ht="21" customHeight="1" x14ac:dyDescent="0.25">
      <c r="B41" s="45">
        <v>23</v>
      </c>
      <c r="C41" s="46">
        <v>44305</v>
      </c>
      <c r="D41" s="65">
        <f t="shared" ref="D41:D46" si="10">$C$13</f>
        <v>6000000</v>
      </c>
      <c r="E41" s="65">
        <f>D41+E40</f>
        <v>312524950</v>
      </c>
      <c r="F41" s="66">
        <f>E41/$C$10</f>
        <v>0.31993692883020947</v>
      </c>
      <c r="G41" s="65"/>
      <c r="H41" s="65">
        <f>H40-D41+G41</f>
        <v>664308050</v>
      </c>
      <c r="I41" s="68">
        <f t="shared" si="4"/>
        <v>8.5000000000000006E-2</v>
      </c>
      <c r="J41" s="65">
        <f t="shared" si="9"/>
        <v>2887014</v>
      </c>
      <c r="K41" s="48">
        <f>K40-D41+G41+J41</f>
        <v>685619159</v>
      </c>
      <c r="L41" s="39"/>
    </row>
    <row r="42" spans="2:14" ht="21" customHeight="1" x14ac:dyDescent="0.25">
      <c r="B42" s="45">
        <v>24</v>
      </c>
      <c r="C42" s="46">
        <v>44335</v>
      </c>
      <c r="D42" s="65">
        <f t="shared" si="10"/>
        <v>6000000</v>
      </c>
      <c r="E42" s="65">
        <f>D42+E41</f>
        <v>318524950</v>
      </c>
      <c r="F42" s="66">
        <f t="shared" si="1"/>
        <v>0.32607922746262669</v>
      </c>
      <c r="G42" s="65"/>
      <c r="H42" s="65">
        <f t="shared" si="3"/>
        <v>658308050</v>
      </c>
      <c r="I42" s="68">
        <f t="shared" si="4"/>
        <v>8.5000000000000006E-2</v>
      </c>
      <c r="J42" s="65">
        <f t="shared" si="9"/>
        <v>4789942</v>
      </c>
      <c r="K42" s="48">
        <f t="shared" si="5"/>
        <v>684409101</v>
      </c>
      <c r="L42" s="39"/>
    </row>
    <row r="43" spans="2:14" ht="21" customHeight="1" x14ac:dyDescent="0.25">
      <c r="B43" s="45">
        <v>25</v>
      </c>
      <c r="C43" s="46">
        <v>44366</v>
      </c>
      <c r="D43" s="65">
        <f t="shared" si="10"/>
        <v>6000000</v>
      </c>
      <c r="E43" s="65">
        <f t="shared" si="2"/>
        <v>324524950</v>
      </c>
      <c r="F43" s="66">
        <f t="shared" si="1"/>
        <v>0.33222152609504391</v>
      </c>
      <c r="G43" s="65"/>
      <c r="H43" s="65">
        <f t="shared" si="3"/>
        <v>652308050</v>
      </c>
      <c r="I43" s="68">
        <f t="shared" si="4"/>
        <v>8.5000000000000006E-2</v>
      </c>
      <c r="J43" s="65">
        <f t="shared" ref="J43:J46" si="11">IF(ROUND((C43-C42)*K42*I43/365,0)&lt;0,0,ROUND((C43-C42)*K42*I43/365,0))</f>
        <v>4940871</v>
      </c>
      <c r="K43" s="48">
        <f t="shared" si="5"/>
        <v>683349972</v>
      </c>
      <c r="L43" s="39"/>
    </row>
    <row r="44" spans="2:14" ht="21" customHeight="1" x14ac:dyDescent="0.25">
      <c r="B44" s="45">
        <v>26</v>
      </c>
      <c r="C44" s="46">
        <v>44396</v>
      </c>
      <c r="D44" s="65">
        <f t="shared" si="10"/>
        <v>6000000</v>
      </c>
      <c r="E44" s="65">
        <f t="shared" si="2"/>
        <v>330524950</v>
      </c>
      <c r="F44" s="66">
        <f t="shared" si="1"/>
        <v>0.33836382472746107</v>
      </c>
      <c r="G44" s="65"/>
      <c r="H44" s="65">
        <f t="shared" si="3"/>
        <v>646308050</v>
      </c>
      <c r="I44" s="68">
        <f t="shared" si="4"/>
        <v>8.5000000000000006E-2</v>
      </c>
      <c r="J44" s="65">
        <f t="shared" si="11"/>
        <v>4774089</v>
      </c>
      <c r="K44" s="48">
        <f t="shared" si="5"/>
        <v>682124061</v>
      </c>
      <c r="L44" s="39"/>
    </row>
    <row r="45" spans="2:14" ht="21" customHeight="1" x14ac:dyDescent="0.25">
      <c r="B45" s="45">
        <v>27</v>
      </c>
      <c r="C45" s="46">
        <v>44427</v>
      </c>
      <c r="D45" s="65">
        <f t="shared" si="10"/>
        <v>6000000</v>
      </c>
      <c r="E45" s="65">
        <f t="shared" si="2"/>
        <v>336524950</v>
      </c>
      <c r="F45" s="66">
        <f t="shared" si="1"/>
        <v>0.34450612335987829</v>
      </c>
      <c r="G45" s="65"/>
      <c r="H45" s="65">
        <f t="shared" si="3"/>
        <v>640308050</v>
      </c>
      <c r="I45" s="68">
        <f t="shared" si="4"/>
        <v>8.5000000000000006E-2</v>
      </c>
      <c r="J45" s="65">
        <f t="shared" si="11"/>
        <v>4924375</v>
      </c>
      <c r="K45" s="48">
        <f t="shared" si="5"/>
        <v>681048436</v>
      </c>
      <c r="L45" s="39"/>
    </row>
    <row r="46" spans="2:14" s="37" customFormat="1" ht="21" customHeight="1" x14ac:dyDescent="0.25">
      <c r="B46" s="69">
        <v>28</v>
      </c>
      <c r="C46" s="70">
        <v>44458</v>
      </c>
      <c r="D46" s="65">
        <f t="shared" si="10"/>
        <v>6000000</v>
      </c>
      <c r="E46" s="44">
        <f t="shared" si="2"/>
        <v>342524950</v>
      </c>
      <c r="F46" s="71">
        <f t="shared" si="1"/>
        <v>0.35064842199229551</v>
      </c>
      <c r="G46" s="44"/>
      <c r="H46" s="44">
        <f t="shared" si="3"/>
        <v>634308050</v>
      </c>
      <c r="I46" s="72">
        <f t="shared" si="4"/>
        <v>8.5000000000000006E-2</v>
      </c>
      <c r="J46" s="65">
        <f t="shared" si="11"/>
        <v>4916610</v>
      </c>
      <c r="K46" s="73">
        <f>K45-D46+G46+J46</f>
        <v>679965046</v>
      </c>
      <c r="L46" s="74"/>
      <c r="M46" s="75"/>
    </row>
    <row r="47" spans="2:14" s="37" customFormat="1" ht="56.25" customHeight="1" x14ac:dyDescent="0.25">
      <c r="B47" s="45">
        <v>29</v>
      </c>
      <c r="C47" s="22">
        <v>44470</v>
      </c>
      <c r="D47" s="24"/>
      <c r="E47" s="24">
        <f>D47+E46</f>
        <v>342524950</v>
      </c>
      <c r="F47" s="25">
        <f t="shared" si="1"/>
        <v>0.35064842199229551</v>
      </c>
      <c r="G47" s="23"/>
      <c r="H47" s="24">
        <f>H46-D47+G47</f>
        <v>634308050</v>
      </c>
      <c r="I47" s="26">
        <v>0.1</v>
      </c>
      <c r="J47" s="24">
        <f>IF(ROUND((C47-C46)*K46*I46/365,0)&lt;0,0,ROUND((C47-C46)*K46*I46/365,0))</f>
        <v>1900176</v>
      </c>
      <c r="K47" s="27">
        <f>K46-D47+G47+J47</f>
        <v>681865222</v>
      </c>
      <c r="L47" s="19" t="s">
        <v>60</v>
      </c>
      <c r="M47" s="75"/>
    </row>
    <row r="48" spans="2:14" ht="21" customHeight="1" x14ac:dyDescent="0.25">
      <c r="B48" s="69">
        <v>30</v>
      </c>
      <c r="C48" s="46">
        <v>44488</v>
      </c>
      <c r="D48" s="65">
        <f t="shared" ref="D48:D51" si="12">$C$13</f>
        <v>6000000</v>
      </c>
      <c r="E48" s="65">
        <f>D48+E47</f>
        <v>348524950</v>
      </c>
      <c r="F48" s="66">
        <f t="shared" si="1"/>
        <v>0.35679072062471273</v>
      </c>
      <c r="G48" s="76"/>
      <c r="H48" s="65">
        <f>H47-D48+G48</f>
        <v>628308050</v>
      </c>
      <c r="I48" s="67">
        <f t="shared" ref="I48" si="13">$C$11</f>
        <v>0.1</v>
      </c>
      <c r="J48" s="65">
        <f>IF(ROUND((C48-C47)*K47*I48/365,0)&lt;0,0,ROUND((C48-C47)*K47*I48/365,0))</f>
        <v>3362623</v>
      </c>
      <c r="K48" s="48">
        <f>K47-D48+G48+J48</f>
        <v>679227845</v>
      </c>
      <c r="L48" s="39"/>
      <c r="M48" s="77"/>
      <c r="N48" s="77"/>
    </row>
    <row r="49" spans="2:12" ht="21" customHeight="1" x14ac:dyDescent="0.25">
      <c r="B49" s="45">
        <v>31</v>
      </c>
      <c r="C49" s="46">
        <v>44519</v>
      </c>
      <c r="D49" s="65">
        <f t="shared" si="12"/>
        <v>6000000</v>
      </c>
      <c r="E49" s="65">
        <f>D49+E48</f>
        <v>354524950</v>
      </c>
      <c r="F49" s="66">
        <f t="shared" si="1"/>
        <v>0.36293301925712995</v>
      </c>
      <c r="G49" s="76"/>
      <c r="H49" s="65">
        <f t="shared" ref="H49:H68" si="14">H48-D49+G49</f>
        <v>622308050</v>
      </c>
      <c r="I49" s="67">
        <f t="shared" ref="I49:I68" si="15">$C$11</f>
        <v>0.1</v>
      </c>
      <c r="J49" s="65">
        <f>IF(ROUND((C49-C48)*K48*I49/365,0)&lt;0,0,ROUND((C49-C48)*K48*I49/365,0))</f>
        <v>5768784</v>
      </c>
      <c r="K49" s="48">
        <f>K48-D49+G49+J49</f>
        <v>678996629</v>
      </c>
      <c r="L49" s="39"/>
    </row>
    <row r="50" spans="2:12" ht="21" customHeight="1" x14ac:dyDescent="0.25">
      <c r="B50" s="69">
        <v>32</v>
      </c>
      <c r="C50" s="46">
        <v>44549</v>
      </c>
      <c r="D50" s="65">
        <f t="shared" si="12"/>
        <v>6000000</v>
      </c>
      <c r="E50" s="65">
        <f t="shared" si="2"/>
        <v>360524950</v>
      </c>
      <c r="F50" s="66">
        <f t="shared" si="1"/>
        <v>0.36907531788954712</v>
      </c>
      <c r="G50" s="76"/>
      <c r="H50" s="65">
        <f t="shared" si="14"/>
        <v>616308050</v>
      </c>
      <c r="I50" s="67">
        <f t="shared" si="15"/>
        <v>0.1</v>
      </c>
      <c r="J50" s="65">
        <f t="shared" ref="J50:J68" si="16">IF(ROUND((C50-C49)*K49*I50/365,0)&lt;0,0,ROUND((C50-C49)*K49*I50/365,0))</f>
        <v>5580794</v>
      </c>
      <c r="K50" s="48">
        <f t="shared" ref="K50:K68" si="17">K49-D50+G50+J50</f>
        <v>678577423</v>
      </c>
      <c r="L50" s="39"/>
    </row>
    <row r="51" spans="2:12" ht="21" customHeight="1" x14ac:dyDescent="0.25">
      <c r="B51" s="45">
        <v>33</v>
      </c>
      <c r="C51" s="46">
        <v>44580</v>
      </c>
      <c r="D51" s="65">
        <f t="shared" si="12"/>
        <v>6000000</v>
      </c>
      <c r="E51" s="65">
        <f t="shared" si="2"/>
        <v>366524950</v>
      </c>
      <c r="F51" s="66">
        <f t="shared" si="1"/>
        <v>0.37521761652196434</v>
      </c>
      <c r="G51" s="76"/>
      <c r="H51" s="65">
        <f t="shared" si="14"/>
        <v>610308050</v>
      </c>
      <c r="I51" s="67">
        <f t="shared" si="15"/>
        <v>0.1</v>
      </c>
      <c r="J51" s="65">
        <f t="shared" si="16"/>
        <v>5763260</v>
      </c>
      <c r="K51" s="48">
        <f t="shared" si="17"/>
        <v>678340683</v>
      </c>
      <c r="L51" s="39"/>
    </row>
    <row r="52" spans="2:12" ht="44.25" customHeight="1" x14ac:dyDescent="0.25">
      <c r="B52" s="69">
        <v>34</v>
      </c>
      <c r="C52" s="22">
        <v>44602</v>
      </c>
      <c r="D52" s="23">
        <f>$C$14</f>
        <v>70000000</v>
      </c>
      <c r="E52" s="24">
        <f>D52+E51</f>
        <v>436524950</v>
      </c>
      <c r="F52" s="25">
        <f t="shared" si="1"/>
        <v>0.44687776723349848</v>
      </c>
      <c r="G52" s="29"/>
      <c r="H52" s="24">
        <f t="shared" si="14"/>
        <v>540308050</v>
      </c>
      <c r="I52" s="26">
        <f t="shared" si="15"/>
        <v>0.1</v>
      </c>
      <c r="J52" s="24">
        <f t="shared" si="16"/>
        <v>4088629</v>
      </c>
      <c r="K52" s="27">
        <f t="shared" si="17"/>
        <v>612429312</v>
      </c>
      <c r="L52" s="19" t="s">
        <v>61</v>
      </c>
    </row>
    <row r="53" spans="2:12" ht="21" customHeight="1" x14ac:dyDescent="0.25">
      <c r="B53" s="45">
        <v>35</v>
      </c>
      <c r="C53" s="46">
        <v>44611</v>
      </c>
      <c r="D53" s="65">
        <f t="shared" ref="D53:D64" si="18">$C$13</f>
        <v>6000000</v>
      </c>
      <c r="E53" s="65">
        <f>D53+E52</f>
        <v>442524950</v>
      </c>
      <c r="F53" s="66">
        <f t="shared" si="1"/>
        <v>0.45302006586591564</v>
      </c>
      <c r="G53" s="76"/>
      <c r="H53" s="65">
        <f t="shared" si="14"/>
        <v>534308050</v>
      </c>
      <c r="I53" s="67">
        <f t="shared" si="15"/>
        <v>0.1</v>
      </c>
      <c r="J53" s="65">
        <f t="shared" si="16"/>
        <v>1510100</v>
      </c>
      <c r="K53" s="48">
        <f t="shared" si="17"/>
        <v>607939412</v>
      </c>
      <c r="L53" s="39"/>
    </row>
    <row r="54" spans="2:12" ht="21" customHeight="1" x14ac:dyDescent="0.25">
      <c r="B54" s="69">
        <v>36</v>
      </c>
      <c r="C54" s="46">
        <v>44639</v>
      </c>
      <c r="D54" s="65">
        <f t="shared" si="18"/>
        <v>6000000</v>
      </c>
      <c r="E54" s="65">
        <f t="shared" si="2"/>
        <v>448524950</v>
      </c>
      <c r="F54" s="66">
        <f t="shared" si="1"/>
        <v>0.45916236449833286</v>
      </c>
      <c r="G54" s="76"/>
      <c r="H54" s="65">
        <f t="shared" si="14"/>
        <v>528308050</v>
      </c>
      <c r="I54" s="67">
        <f t="shared" si="15"/>
        <v>0.1</v>
      </c>
      <c r="J54" s="65">
        <f t="shared" si="16"/>
        <v>4663645</v>
      </c>
      <c r="K54" s="48">
        <f t="shared" si="17"/>
        <v>606603057</v>
      </c>
      <c r="L54" s="39"/>
    </row>
    <row r="55" spans="2:12" ht="21" customHeight="1" x14ac:dyDescent="0.25">
      <c r="B55" s="45">
        <v>37</v>
      </c>
      <c r="C55" s="46">
        <v>44670</v>
      </c>
      <c r="D55" s="65">
        <f t="shared" si="18"/>
        <v>6000000</v>
      </c>
      <c r="E55" s="65">
        <f t="shared" ref="E55:E60" si="19">D55+E54</f>
        <v>454524950</v>
      </c>
      <c r="F55" s="66">
        <f t="shared" ref="F55:F60" si="20">E55/$C$10</f>
        <v>0.46530466313075008</v>
      </c>
      <c r="G55" s="76"/>
      <c r="H55" s="65">
        <f t="shared" si="14"/>
        <v>522308050</v>
      </c>
      <c r="I55" s="67">
        <f t="shared" si="15"/>
        <v>0.1</v>
      </c>
      <c r="J55" s="65">
        <f t="shared" si="16"/>
        <v>5151971</v>
      </c>
      <c r="K55" s="48">
        <f t="shared" si="17"/>
        <v>605755028</v>
      </c>
      <c r="L55" s="39"/>
    </row>
    <row r="56" spans="2:12" ht="21" customHeight="1" x14ac:dyDescent="0.25">
      <c r="B56" s="69">
        <v>38</v>
      </c>
      <c r="C56" s="46">
        <v>44700</v>
      </c>
      <c r="D56" s="65">
        <f t="shared" si="18"/>
        <v>6000000</v>
      </c>
      <c r="E56" s="65">
        <f t="shared" si="19"/>
        <v>460524950</v>
      </c>
      <c r="F56" s="66">
        <f t="shared" si="20"/>
        <v>0.4714469617631673</v>
      </c>
      <c r="G56" s="76"/>
      <c r="H56" s="65">
        <f t="shared" si="14"/>
        <v>516308050</v>
      </c>
      <c r="I56" s="67">
        <f t="shared" si="15"/>
        <v>0.1</v>
      </c>
      <c r="J56" s="65">
        <f t="shared" si="16"/>
        <v>4978808</v>
      </c>
      <c r="K56" s="48">
        <f t="shared" si="17"/>
        <v>604733836</v>
      </c>
      <c r="L56" s="39"/>
    </row>
    <row r="57" spans="2:12" ht="21" customHeight="1" x14ac:dyDescent="0.25">
      <c r="B57" s="45">
        <v>39</v>
      </c>
      <c r="C57" s="46">
        <v>44731</v>
      </c>
      <c r="D57" s="65">
        <f t="shared" si="18"/>
        <v>6000000</v>
      </c>
      <c r="E57" s="65">
        <f t="shared" si="19"/>
        <v>466524950</v>
      </c>
      <c r="F57" s="66">
        <f t="shared" si="20"/>
        <v>0.47758926039558453</v>
      </c>
      <c r="G57" s="76"/>
      <c r="H57" s="65">
        <f t="shared" si="14"/>
        <v>510308050</v>
      </c>
      <c r="I57" s="67">
        <f t="shared" si="15"/>
        <v>0.1</v>
      </c>
      <c r="J57" s="65">
        <f t="shared" si="16"/>
        <v>5136096</v>
      </c>
      <c r="K57" s="48">
        <f t="shared" si="17"/>
        <v>603869932</v>
      </c>
      <c r="L57" s="39"/>
    </row>
    <row r="58" spans="2:12" ht="21" customHeight="1" x14ac:dyDescent="0.25">
      <c r="B58" s="69">
        <v>40</v>
      </c>
      <c r="C58" s="46">
        <v>44761</v>
      </c>
      <c r="D58" s="65">
        <f t="shared" si="18"/>
        <v>6000000</v>
      </c>
      <c r="E58" s="65">
        <f t="shared" si="19"/>
        <v>472524950</v>
      </c>
      <c r="F58" s="66">
        <f t="shared" si="20"/>
        <v>0.48373155902800169</v>
      </c>
      <c r="G58" s="76"/>
      <c r="H58" s="65">
        <f t="shared" si="14"/>
        <v>504308050</v>
      </c>
      <c r="I58" s="67">
        <f t="shared" si="15"/>
        <v>0.1</v>
      </c>
      <c r="J58" s="65">
        <f t="shared" si="16"/>
        <v>4963315</v>
      </c>
      <c r="K58" s="48">
        <f t="shared" si="17"/>
        <v>602833247</v>
      </c>
      <c r="L58" s="39"/>
    </row>
    <row r="59" spans="2:12" ht="21" customHeight="1" x14ac:dyDescent="0.25">
      <c r="B59" s="45">
        <v>41</v>
      </c>
      <c r="C59" s="46">
        <v>44792</v>
      </c>
      <c r="D59" s="65">
        <f t="shared" si="18"/>
        <v>6000000</v>
      </c>
      <c r="E59" s="65">
        <f t="shared" si="19"/>
        <v>478524950</v>
      </c>
      <c r="F59" s="66">
        <f t="shared" si="20"/>
        <v>0.48987385766041891</v>
      </c>
      <c r="G59" s="76"/>
      <c r="H59" s="65">
        <f t="shared" si="14"/>
        <v>498308050</v>
      </c>
      <c r="I59" s="67">
        <f t="shared" si="15"/>
        <v>0.1</v>
      </c>
      <c r="J59" s="65">
        <f t="shared" si="16"/>
        <v>5119954</v>
      </c>
      <c r="K59" s="48">
        <f t="shared" si="17"/>
        <v>601953201</v>
      </c>
      <c r="L59" s="39"/>
    </row>
    <row r="60" spans="2:12" ht="21" customHeight="1" x14ac:dyDescent="0.25">
      <c r="B60" s="69">
        <v>42</v>
      </c>
      <c r="C60" s="46">
        <v>44823</v>
      </c>
      <c r="D60" s="65">
        <f t="shared" si="18"/>
        <v>6000000</v>
      </c>
      <c r="E60" s="65">
        <f t="shared" si="19"/>
        <v>484524950</v>
      </c>
      <c r="F60" s="66">
        <f t="shared" si="20"/>
        <v>0.49601615629283613</v>
      </c>
      <c r="G60" s="76"/>
      <c r="H60" s="65">
        <f t="shared" si="14"/>
        <v>492308050</v>
      </c>
      <c r="I60" s="67">
        <f t="shared" si="15"/>
        <v>0.1</v>
      </c>
      <c r="J60" s="65">
        <f t="shared" si="16"/>
        <v>5112479</v>
      </c>
      <c r="K60" s="48">
        <f t="shared" si="17"/>
        <v>601065680</v>
      </c>
      <c r="L60" s="39"/>
    </row>
    <row r="61" spans="2:12" ht="21" customHeight="1" x14ac:dyDescent="0.25">
      <c r="B61" s="45">
        <v>43</v>
      </c>
      <c r="C61" s="46">
        <v>44853</v>
      </c>
      <c r="D61" s="65">
        <f t="shared" si="18"/>
        <v>6000000</v>
      </c>
      <c r="E61" s="65">
        <f t="shared" ref="E61:E68" si="21">D61+E60</f>
        <v>490524950</v>
      </c>
      <c r="F61" s="66">
        <f t="shared" ref="F61:F68" si="22">E61/$C$10</f>
        <v>0.50215845492525335</v>
      </c>
      <c r="G61" s="76"/>
      <c r="H61" s="65">
        <f t="shared" si="14"/>
        <v>486308050</v>
      </c>
      <c r="I61" s="67">
        <f t="shared" si="15"/>
        <v>0.1</v>
      </c>
      <c r="J61" s="65">
        <f t="shared" si="16"/>
        <v>4940266</v>
      </c>
      <c r="K61" s="48">
        <f t="shared" si="17"/>
        <v>600005946</v>
      </c>
      <c r="L61" s="39"/>
    </row>
    <row r="62" spans="2:12" ht="21" customHeight="1" x14ac:dyDescent="0.25">
      <c r="B62" s="69">
        <v>44</v>
      </c>
      <c r="C62" s="46">
        <v>44884</v>
      </c>
      <c r="D62" s="65">
        <f t="shared" si="18"/>
        <v>6000000</v>
      </c>
      <c r="E62" s="65">
        <f t="shared" si="21"/>
        <v>496524950</v>
      </c>
      <c r="F62" s="66">
        <f t="shared" si="22"/>
        <v>0.50830075355767057</v>
      </c>
      <c r="G62" s="76"/>
      <c r="H62" s="65">
        <f t="shared" si="14"/>
        <v>480308050</v>
      </c>
      <c r="I62" s="67">
        <f t="shared" si="15"/>
        <v>0.1</v>
      </c>
      <c r="J62" s="65">
        <f t="shared" si="16"/>
        <v>5095941</v>
      </c>
      <c r="K62" s="48">
        <f t="shared" si="17"/>
        <v>599101887</v>
      </c>
      <c r="L62" s="39"/>
    </row>
    <row r="63" spans="2:12" ht="21" customHeight="1" x14ac:dyDescent="0.25">
      <c r="B63" s="45">
        <v>45</v>
      </c>
      <c r="C63" s="46">
        <v>44914</v>
      </c>
      <c r="D63" s="65">
        <f t="shared" si="18"/>
        <v>6000000</v>
      </c>
      <c r="E63" s="65">
        <f t="shared" si="21"/>
        <v>502524950</v>
      </c>
      <c r="F63" s="66">
        <f t="shared" si="22"/>
        <v>0.51444305219008779</v>
      </c>
      <c r="G63" s="76"/>
      <c r="H63" s="65">
        <f t="shared" si="14"/>
        <v>474308050</v>
      </c>
      <c r="I63" s="67">
        <f t="shared" si="15"/>
        <v>0.1</v>
      </c>
      <c r="J63" s="65">
        <f t="shared" si="16"/>
        <v>4924125</v>
      </c>
      <c r="K63" s="48">
        <f t="shared" si="17"/>
        <v>598026012</v>
      </c>
      <c r="L63" s="39"/>
    </row>
    <row r="64" spans="2:12" ht="21" customHeight="1" x14ac:dyDescent="0.25">
      <c r="B64" s="69">
        <v>46</v>
      </c>
      <c r="C64" s="46">
        <v>44945</v>
      </c>
      <c r="D64" s="65">
        <f t="shared" si="18"/>
        <v>6000000</v>
      </c>
      <c r="E64" s="65">
        <f t="shared" si="21"/>
        <v>508524950</v>
      </c>
      <c r="F64" s="66">
        <f t="shared" si="22"/>
        <v>0.52058535082250501</v>
      </c>
      <c r="G64" s="76"/>
      <c r="H64" s="65">
        <f t="shared" si="14"/>
        <v>468308050</v>
      </c>
      <c r="I64" s="67">
        <f t="shared" si="15"/>
        <v>0.1</v>
      </c>
      <c r="J64" s="65">
        <f t="shared" si="16"/>
        <v>5079125</v>
      </c>
      <c r="K64" s="48">
        <f t="shared" si="17"/>
        <v>597105137</v>
      </c>
      <c r="L64" s="39"/>
    </row>
    <row r="65" spans="2:12" ht="63.75" customHeight="1" x14ac:dyDescent="0.25">
      <c r="B65" s="45">
        <v>47</v>
      </c>
      <c r="C65" s="22">
        <v>44967</v>
      </c>
      <c r="D65" s="23">
        <f>$C$14</f>
        <v>70000000</v>
      </c>
      <c r="E65" s="24">
        <f t="shared" si="21"/>
        <v>578524950</v>
      </c>
      <c r="F65" s="25">
        <f t="shared" si="22"/>
        <v>0.5922455015340391</v>
      </c>
      <c r="G65" s="29"/>
      <c r="H65" s="24">
        <f t="shared" si="14"/>
        <v>398308050</v>
      </c>
      <c r="I65" s="26">
        <f t="shared" si="15"/>
        <v>0.1</v>
      </c>
      <c r="J65" s="24">
        <f t="shared" si="16"/>
        <v>3598990</v>
      </c>
      <c r="K65" s="24">
        <f t="shared" si="17"/>
        <v>530704127</v>
      </c>
      <c r="L65" s="19" t="s">
        <v>62</v>
      </c>
    </row>
    <row r="66" spans="2:12" ht="21" customHeight="1" x14ac:dyDescent="0.25">
      <c r="B66" s="69">
        <v>48</v>
      </c>
      <c r="C66" s="46">
        <v>44976</v>
      </c>
      <c r="D66" s="65">
        <f t="shared" ref="D66:D67" si="23">$C$13</f>
        <v>6000000</v>
      </c>
      <c r="E66" s="65">
        <f t="shared" si="21"/>
        <v>584524950</v>
      </c>
      <c r="F66" s="66">
        <f t="shared" si="22"/>
        <v>0.59838780016645632</v>
      </c>
      <c r="G66" s="76"/>
      <c r="H66" s="65">
        <f t="shared" si="14"/>
        <v>392308050</v>
      </c>
      <c r="I66" s="67">
        <f t="shared" si="15"/>
        <v>0.1</v>
      </c>
      <c r="J66" s="65">
        <f t="shared" si="16"/>
        <v>1308586</v>
      </c>
      <c r="K66" s="48">
        <f t="shared" si="17"/>
        <v>526012713</v>
      </c>
      <c r="L66" s="39"/>
    </row>
    <row r="67" spans="2:12" ht="21" customHeight="1" x14ac:dyDescent="0.25">
      <c r="B67" s="45">
        <v>49</v>
      </c>
      <c r="C67" s="46">
        <v>45004</v>
      </c>
      <c r="D67" s="65">
        <f t="shared" si="23"/>
        <v>6000000</v>
      </c>
      <c r="E67" s="65">
        <f t="shared" si="21"/>
        <v>590524950</v>
      </c>
      <c r="F67" s="66">
        <f t="shared" si="22"/>
        <v>0.60453009879887354</v>
      </c>
      <c r="G67" s="76"/>
      <c r="H67" s="65">
        <f t="shared" si="14"/>
        <v>386308050</v>
      </c>
      <c r="I67" s="67">
        <f t="shared" si="15"/>
        <v>0.1</v>
      </c>
      <c r="J67" s="65">
        <f t="shared" si="16"/>
        <v>4035166</v>
      </c>
      <c r="K67" s="48">
        <f t="shared" si="17"/>
        <v>524047879</v>
      </c>
      <c r="L67" s="39"/>
    </row>
    <row r="68" spans="2:12" ht="126.75" customHeight="1" x14ac:dyDescent="0.25">
      <c r="B68" s="69">
        <v>50</v>
      </c>
      <c r="C68" s="22">
        <v>45016</v>
      </c>
      <c r="D68" s="29"/>
      <c r="E68" s="24">
        <f t="shared" si="21"/>
        <v>590524950</v>
      </c>
      <c r="F68" s="25">
        <f t="shared" si="22"/>
        <v>0.60453009879887354</v>
      </c>
      <c r="G68" s="29"/>
      <c r="H68" s="24">
        <f t="shared" si="14"/>
        <v>386308050</v>
      </c>
      <c r="I68" s="26">
        <f t="shared" si="15"/>
        <v>0.1</v>
      </c>
      <c r="J68" s="24">
        <f t="shared" si="16"/>
        <v>1722897</v>
      </c>
      <c r="K68" s="24">
        <f t="shared" si="17"/>
        <v>525770776</v>
      </c>
      <c r="L68" s="19" t="s">
        <v>21</v>
      </c>
    </row>
    <row r="69" spans="2:12" ht="21" customHeight="1" x14ac:dyDescent="0.25">
      <c r="B69" s="45"/>
      <c r="C69" s="76"/>
      <c r="D69" s="48">
        <f>SUM(D19:D68)</f>
        <v>590524950</v>
      </c>
      <c r="E69" s="48"/>
      <c r="F69" s="71"/>
      <c r="G69" s="65">
        <f>SUM(G19:G68)</f>
        <v>976833000</v>
      </c>
      <c r="H69" s="76"/>
      <c r="I69" s="76"/>
      <c r="J69" s="65">
        <f>SUM(J19:J68)</f>
        <v>139462726</v>
      </c>
      <c r="K69" s="65"/>
      <c r="L69" s="39"/>
    </row>
    <row r="71" spans="2:12" ht="21" customHeight="1" x14ac:dyDescent="0.25">
      <c r="E71" s="78" t="s">
        <v>34</v>
      </c>
      <c r="G71" s="79">
        <f>D69+K68</f>
        <v>1116295726</v>
      </c>
    </row>
    <row r="72" spans="2:12" ht="21" customHeight="1" x14ac:dyDescent="0.25">
      <c r="E72" s="78" t="s">
        <v>50</v>
      </c>
      <c r="G72" s="79">
        <f>ROUND(G71/C8,0)</f>
        <v>16341615</v>
      </c>
    </row>
    <row r="74" spans="2:12" ht="21" customHeight="1" x14ac:dyDescent="0.25">
      <c r="G74" s="80"/>
    </row>
    <row r="75" spans="2:12" ht="21" customHeight="1" x14ac:dyDescent="0.25">
      <c r="G75" s="8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8" sqref="E8:E9"/>
    </sheetView>
  </sheetViews>
  <sheetFormatPr defaultRowHeight="15" x14ac:dyDescent="0.25"/>
  <cols>
    <col min="2" max="2" width="11.140625" customWidth="1"/>
    <col min="3" max="3" width="18.85546875" customWidth="1"/>
    <col min="4" max="5" width="19.42578125" customWidth="1"/>
    <col min="6" max="6" width="19.85546875" customWidth="1"/>
  </cols>
  <sheetData>
    <row r="1" spans="1:6" s="1" customFormat="1" x14ac:dyDescent="0.25">
      <c r="A1" s="1" t="s">
        <v>44</v>
      </c>
    </row>
    <row r="2" spans="1:6" ht="15.75" thickBot="1" x14ac:dyDescent="0.3"/>
    <row r="3" spans="1:6" ht="32.25" thickBot="1" x14ac:dyDescent="0.3">
      <c r="B3" s="2" t="s">
        <v>35</v>
      </c>
      <c r="C3" s="3" t="s">
        <v>46</v>
      </c>
      <c r="D3" s="3" t="s">
        <v>40</v>
      </c>
      <c r="E3" s="3" t="s">
        <v>41</v>
      </c>
      <c r="F3" s="3" t="s">
        <v>42</v>
      </c>
    </row>
    <row r="4" spans="1:6" ht="16.5" thickBot="1" x14ac:dyDescent="0.3">
      <c r="B4" s="4" t="s">
        <v>36</v>
      </c>
      <c r="C4" s="10">
        <v>43831</v>
      </c>
      <c r="D4" s="14">
        <f>'PA 2PN'!N9</f>
        <v>293049900</v>
      </c>
      <c r="E4" s="14">
        <f>D4</f>
        <v>293049900</v>
      </c>
      <c r="F4" s="11">
        <v>8.5000000000000006E-2</v>
      </c>
    </row>
    <row r="5" spans="1:6" ht="16.5" thickBot="1" x14ac:dyDescent="0.3">
      <c r="B5" s="4" t="s">
        <v>37</v>
      </c>
      <c r="C5" s="10">
        <f>'PA 2PN'!L10</f>
        <v>43876</v>
      </c>
      <c r="D5" s="14">
        <f>'PA 2PN'!N10</f>
        <v>48841650</v>
      </c>
      <c r="E5" s="14">
        <f>E4+D5</f>
        <v>341891550</v>
      </c>
      <c r="F5" s="11">
        <v>8.5000000000000006E-2</v>
      </c>
    </row>
    <row r="6" spans="1:6" ht="16.5" thickBot="1" x14ac:dyDescent="0.3">
      <c r="B6" s="7" t="s">
        <v>38</v>
      </c>
      <c r="C6" s="12">
        <f>'PA 2PN'!L11</f>
        <v>44058</v>
      </c>
      <c r="D6" s="15">
        <f>'PA 2PN'!N11</f>
        <v>48841650</v>
      </c>
      <c r="E6" s="15">
        <f>E5+D6</f>
        <v>390733200</v>
      </c>
      <c r="F6" s="11">
        <v>8.5000000000000006E-2</v>
      </c>
    </row>
    <row r="7" spans="1:6" ht="16.5" thickBot="1" x14ac:dyDescent="0.3">
      <c r="B7" s="8" t="s">
        <v>39</v>
      </c>
      <c r="C7" s="13">
        <f>'PA 2PN'!L12</f>
        <v>44270</v>
      </c>
      <c r="D7" s="16">
        <f>'PA 2PN'!N12</f>
        <v>48841650</v>
      </c>
      <c r="E7" s="17">
        <f>E6+D7</f>
        <v>439574850</v>
      </c>
      <c r="F7" s="11">
        <v>8.5000000000000006E-2</v>
      </c>
    </row>
    <row r="8" spans="1:6" ht="32.25" thickBot="1" x14ac:dyDescent="0.3">
      <c r="B8" s="86" t="s">
        <v>45</v>
      </c>
      <c r="C8" s="88" t="str">
        <f>"31/03/2021 hoặc khi Chủ đầu tư đủ điều kiện bàn giao căn hộ cho khách hàng"</f>
        <v>31/03/2021 hoặc khi Chủ đầu tư đủ điều kiện bàn giao căn hộ cho khách hàng</v>
      </c>
      <c r="D8" s="90">
        <f>'PA 2PN'!N13</f>
        <v>537258150</v>
      </c>
      <c r="E8" s="90">
        <f>E7+D8</f>
        <v>976833000</v>
      </c>
      <c r="F8" s="9" t="s">
        <v>47</v>
      </c>
    </row>
    <row r="9" spans="1:6" ht="126.75" thickBot="1" x14ac:dyDescent="0.3">
      <c r="B9" s="87"/>
      <c r="C9" s="89"/>
      <c r="D9" s="91"/>
      <c r="E9" s="91"/>
      <c r="F9" s="9" t="s">
        <v>48</v>
      </c>
    </row>
    <row r="10" spans="1:6" ht="16.5" thickBot="1" x14ac:dyDescent="0.3">
      <c r="B10" s="83" t="s">
        <v>49</v>
      </c>
      <c r="C10" s="84"/>
      <c r="D10" s="85"/>
      <c r="E10" s="6">
        <f>E8</f>
        <v>976833000</v>
      </c>
      <c r="F10" s="5" t="s">
        <v>43</v>
      </c>
    </row>
  </sheetData>
  <mergeCells count="5">
    <mergeCell ref="B10:D10"/>
    <mergeCell ref="B8:B9"/>
    <mergeCell ref="C8:C9"/>
    <mergeCell ref="D8:D9"/>
    <mergeCell ref="E8:E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PA 2PN</vt:lpstr>
      <vt:lpstr>PLHĐ</vt:lpstr>
      <vt:lpstr>PLHĐ!Print_Titles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Doan Tuan Anh (FIN.AF.HN)</dc:creator>
  <cp:lastModifiedBy>Trinh Minh Viet (FSU2.R70)</cp:lastModifiedBy>
  <dcterms:created xsi:type="dcterms:W3CDTF">2019-07-25T08:29:36Z</dcterms:created>
  <dcterms:modified xsi:type="dcterms:W3CDTF">2020-01-09T02:22:50Z</dcterms:modified>
</cp:coreProperties>
</file>