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Documents\Projects\dnd-shop-genenerator\"/>
    </mc:Choice>
  </mc:AlternateContent>
  <xr:revisionPtr revIDLastSave="0" documentId="13_ncr:1_{414212B2-0E78-4011-84C9-B296403F5E67}" xr6:coauthVersionLast="46" xr6:coauthVersionMax="46" xr10:uidLastSave="{00000000-0000-0000-0000-000000000000}"/>
  <bookViews>
    <workbookView xWindow="7440" yWindow="720" windowWidth="28800" windowHeight="15435" xr2:uid="{00000000-000D-0000-FFFF-FFFF00000000}"/>
  </bookViews>
  <sheets>
    <sheet name="Magic Items" sheetId="1" r:id="rId1"/>
    <sheet name="Sheet5" sheetId="2" state="hidden" r:id="rId2"/>
    <sheet name="Notes" sheetId="3" r:id="rId3"/>
    <sheet name="Mundane Items" sheetId="4" r:id="rId4"/>
    <sheet name="Auroras" sheetId="5" r:id="rId5"/>
    <sheet name="Price Ranges" sheetId="6" r:id="rId6"/>
    <sheet name="Changelog" sheetId="7" r:id="rId7"/>
  </sheets>
  <definedNames>
    <definedName name="_xlnm._FilterDatabase" localSheetId="0" hidden="1">'Magic Items'!$A$1:$J$852</definedName>
    <definedName name="_xlnm._FilterDatabase" localSheetId="3" hidden="1">'Mundane Items'!$A$1:$F$345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9" i="1" l="1"/>
  <c r="A820" i="1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E851" i="1"/>
  <c r="D851" i="1"/>
  <c r="A851" i="1"/>
  <c r="E850" i="1"/>
  <c r="D850" i="1"/>
  <c r="A850" i="1"/>
  <c r="E849" i="1"/>
  <c r="D849" i="1"/>
  <c r="A849" i="1"/>
  <c r="E848" i="1"/>
  <c r="D848" i="1"/>
  <c r="A848" i="1"/>
  <c r="E847" i="1"/>
  <c r="D847" i="1"/>
  <c r="A847" i="1"/>
  <c r="E846" i="1"/>
  <c r="D846" i="1"/>
  <c r="A846" i="1"/>
  <c r="E845" i="1"/>
  <c r="D845" i="1"/>
  <c r="A845" i="1"/>
  <c r="E844" i="1"/>
  <c r="D844" i="1"/>
  <c r="A844" i="1"/>
  <c r="E843" i="1"/>
  <c r="D843" i="1"/>
  <c r="A843" i="1"/>
  <c r="E842" i="1"/>
  <c r="D842" i="1"/>
  <c r="A842" i="1"/>
  <c r="E841" i="1"/>
  <c r="D841" i="1"/>
  <c r="A841" i="1"/>
  <c r="E840" i="1"/>
  <c r="D840" i="1"/>
  <c r="A840" i="1"/>
  <c r="E839" i="1"/>
  <c r="D839" i="1"/>
  <c r="A839" i="1"/>
  <c r="E838" i="1"/>
  <c r="D838" i="1"/>
  <c r="A838" i="1"/>
  <c r="E837" i="1"/>
  <c r="D837" i="1"/>
  <c r="A837" i="1"/>
  <c r="E836" i="1"/>
  <c r="D836" i="1"/>
  <c r="A836" i="1"/>
  <c r="E835" i="1"/>
  <c r="D835" i="1"/>
  <c r="A835" i="1"/>
  <c r="E834" i="1"/>
  <c r="D834" i="1"/>
  <c r="A834" i="1"/>
  <c r="E833" i="1"/>
  <c r="D833" i="1"/>
  <c r="A833" i="1"/>
  <c r="E832" i="1"/>
  <c r="D832" i="1"/>
  <c r="A832" i="1"/>
  <c r="E831" i="1"/>
  <c r="D831" i="1"/>
  <c r="A831" i="1"/>
  <c r="E830" i="1"/>
  <c r="D830" i="1"/>
  <c r="A830" i="1"/>
  <c r="E829" i="1"/>
  <c r="D829" i="1"/>
  <c r="A829" i="1"/>
  <c r="E828" i="1"/>
  <c r="D828" i="1"/>
  <c r="A828" i="1"/>
  <c r="E827" i="1"/>
  <c r="D827" i="1"/>
  <c r="A827" i="1"/>
  <c r="E826" i="1"/>
  <c r="D826" i="1"/>
  <c r="A826" i="1"/>
  <c r="E825" i="1"/>
  <c r="D825" i="1"/>
  <c r="A825" i="1"/>
  <c r="E824" i="1"/>
  <c r="D824" i="1"/>
  <c r="A824" i="1"/>
  <c r="E823" i="1"/>
  <c r="D823" i="1"/>
  <c r="A823" i="1"/>
  <c r="E822" i="1"/>
  <c r="D822" i="1"/>
  <c r="A822" i="1"/>
  <c r="E821" i="1"/>
  <c r="D821" i="1"/>
  <c r="A821" i="1"/>
  <c r="E820" i="1"/>
  <c r="D820" i="1"/>
  <c r="E819" i="1"/>
  <c r="D819" i="1"/>
  <c r="E812" i="1"/>
  <c r="D812" i="1"/>
  <c r="A812" i="1"/>
  <c r="E811" i="1"/>
  <c r="D811" i="1"/>
  <c r="A811" i="1"/>
  <c r="E810" i="1"/>
  <c r="D810" i="1"/>
  <c r="A810" i="1"/>
  <c r="E809" i="1"/>
  <c r="D809" i="1"/>
  <c r="A809" i="1"/>
  <c r="E808" i="1"/>
  <c r="D808" i="1"/>
  <c r="A808" i="1"/>
  <c r="E807" i="1"/>
  <c r="D807" i="1"/>
  <c r="A807" i="1"/>
  <c r="E806" i="1"/>
  <c r="D806" i="1"/>
  <c r="A806" i="1"/>
  <c r="E805" i="1"/>
  <c r="D805" i="1"/>
  <c r="A805" i="1"/>
  <c r="E804" i="1"/>
  <c r="D804" i="1"/>
  <c r="A804" i="1"/>
  <c r="E803" i="1"/>
  <c r="D803" i="1"/>
  <c r="A803" i="1"/>
  <c r="E802" i="1"/>
  <c r="D802" i="1"/>
  <c r="A802" i="1"/>
  <c r="E801" i="1"/>
  <c r="D801" i="1"/>
  <c r="A801" i="1"/>
  <c r="E800" i="1"/>
  <c r="D800" i="1"/>
  <c r="A800" i="1"/>
  <c r="E799" i="1"/>
  <c r="D799" i="1"/>
  <c r="A799" i="1"/>
  <c r="E798" i="1"/>
  <c r="D798" i="1"/>
  <c r="A798" i="1"/>
  <c r="E797" i="1"/>
  <c r="D797" i="1"/>
  <c r="A797" i="1"/>
  <c r="E796" i="1"/>
  <c r="D796" i="1"/>
  <c r="A796" i="1"/>
  <c r="E795" i="1"/>
  <c r="D795" i="1"/>
  <c r="A795" i="1"/>
  <c r="E794" i="1"/>
  <c r="D794" i="1"/>
  <c r="A794" i="1"/>
  <c r="E793" i="1"/>
  <c r="D793" i="1"/>
  <c r="A793" i="1"/>
  <c r="E792" i="1"/>
  <c r="D792" i="1"/>
  <c r="A792" i="1"/>
  <c r="E791" i="1"/>
  <c r="D791" i="1"/>
  <c r="A791" i="1"/>
  <c r="E790" i="1"/>
  <c r="D790" i="1"/>
  <c r="A790" i="1"/>
  <c r="E789" i="1"/>
  <c r="D789" i="1"/>
  <c r="A789" i="1"/>
  <c r="E788" i="1"/>
  <c r="D788" i="1"/>
  <c r="A788" i="1"/>
  <c r="E787" i="1"/>
  <c r="D787" i="1"/>
  <c r="A787" i="1"/>
  <c r="E786" i="1"/>
  <c r="D786" i="1"/>
  <c r="A786" i="1"/>
  <c r="E785" i="1"/>
  <c r="D785" i="1"/>
  <c r="A785" i="1"/>
  <c r="E784" i="1"/>
  <c r="D784" i="1"/>
  <c r="A784" i="1"/>
  <c r="E783" i="1"/>
  <c r="D783" i="1"/>
  <c r="A783" i="1"/>
  <c r="E782" i="1"/>
  <c r="D782" i="1"/>
  <c r="A782" i="1"/>
  <c r="E781" i="1"/>
  <c r="D781" i="1"/>
  <c r="A781" i="1"/>
  <c r="E780" i="1"/>
  <c r="D780" i="1"/>
  <c r="A780" i="1"/>
  <c r="E779" i="1"/>
  <c r="D779" i="1"/>
  <c r="A779" i="1"/>
  <c r="E778" i="1"/>
  <c r="D778" i="1"/>
  <c r="A778" i="1"/>
  <c r="E777" i="1"/>
  <c r="D777" i="1"/>
  <c r="A777" i="1"/>
  <c r="E776" i="1"/>
  <c r="D776" i="1"/>
  <c r="A776" i="1"/>
  <c r="E775" i="1"/>
  <c r="D775" i="1"/>
  <c r="A775" i="1"/>
  <c r="E774" i="1"/>
  <c r="D774" i="1"/>
  <c r="A774" i="1"/>
  <c r="E773" i="1"/>
  <c r="D773" i="1"/>
  <c r="A773" i="1"/>
  <c r="E772" i="1"/>
  <c r="D772" i="1"/>
  <c r="A772" i="1"/>
  <c r="E771" i="1"/>
  <c r="D771" i="1"/>
  <c r="A771" i="1"/>
  <c r="E770" i="1"/>
  <c r="D770" i="1"/>
  <c r="A770" i="1"/>
  <c r="E769" i="1"/>
  <c r="D769" i="1"/>
  <c r="A769" i="1"/>
  <c r="E768" i="1"/>
  <c r="D768" i="1"/>
  <c r="A768" i="1"/>
  <c r="E767" i="1"/>
  <c r="D767" i="1"/>
  <c r="A767" i="1"/>
  <c r="E766" i="1"/>
  <c r="D766" i="1"/>
  <c r="A766" i="1"/>
  <c r="E765" i="1"/>
  <c r="D765" i="1"/>
  <c r="A765" i="1"/>
  <c r="E764" i="1"/>
  <c r="D764" i="1"/>
  <c r="A764" i="1"/>
  <c r="E763" i="1"/>
  <c r="D763" i="1"/>
  <c r="A763" i="1"/>
  <c r="E762" i="1"/>
  <c r="D762" i="1"/>
  <c r="A762" i="1"/>
  <c r="E761" i="1"/>
  <c r="D761" i="1"/>
  <c r="A761" i="1"/>
  <c r="E760" i="1"/>
  <c r="D760" i="1"/>
  <c r="A760" i="1"/>
  <c r="E759" i="1"/>
  <c r="D759" i="1"/>
  <c r="A759" i="1"/>
  <c r="E758" i="1"/>
  <c r="D758" i="1"/>
  <c r="A758" i="1"/>
  <c r="E757" i="1"/>
  <c r="D757" i="1"/>
  <c r="A757" i="1"/>
  <c r="E756" i="1"/>
  <c r="D756" i="1"/>
  <c r="A756" i="1"/>
  <c r="E755" i="1"/>
  <c r="D755" i="1"/>
  <c r="A755" i="1"/>
  <c r="E754" i="1"/>
  <c r="D754" i="1"/>
  <c r="A754" i="1"/>
  <c r="E753" i="1"/>
  <c r="D753" i="1"/>
  <c r="A753" i="1"/>
  <c r="E752" i="1"/>
  <c r="D752" i="1"/>
  <c r="A752" i="1"/>
  <c r="E751" i="1"/>
  <c r="D751" i="1"/>
  <c r="A751" i="1"/>
  <c r="E750" i="1"/>
  <c r="D750" i="1"/>
  <c r="A750" i="1"/>
  <c r="E749" i="1"/>
  <c r="D749" i="1"/>
  <c r="A749" i="1"/>
  <c r="E748" i="1"/>
  <c r="D748" i="1"/>
  <c r="A748" i="1"/>
  <c r="E747" i="1"/>
  <c r="D747" i="1"/>
  <c r="A747" i="1"/>
  <c r="E746" i="1"/>
  <c r="D746" i="1"/>
  <c r="A746" i="1"/>
  <c r="E745" i="1"/>
  <c r="D745" i="1"/>
  <c r="A745" i="1"/>
  <c r="E744" i="1"/>
  <c r="D744" i="1"/>
  <c r="A744" i="1"/>
  <c r="E743" i="1"/>
  <c r="D743" i="1"/>
  <c r="A743" i="1"/>
  <c r="E742" i="1"/>
  <c r="D742" i="1"/>
  <c r="A742" i="1"/>
  <c r="E741" i="1"/>
  <c r="D741" i="1"/>
  <c r="A741" i="1"/>
  <c r="E740" i="1"/>
  <c r="D740" i="1"/>
  <c r="A740" i="1"/>
  <c r="E739" i="1"/>
  <c r="D739" i="1"/>
  <c r="A739" i="1"/>
  <c r="E738" i="1"/>
  <c r="D738" i="1"/>
  <c r="A738" i="1"/>
  <c r="E737" i="1"/>
  <c r="D737" i="1"/>
  <c r="A737" i="1"/>
  <c r="E736" i="1"/>
  <c r="D736" i="1"/>
  <c r="A736" i="1"/>
  <c r="E735" i="1"/>
  <c r="D735" i="1"/>
  <c r="A735" i="1"/>
  <c r="E734" i="1"/>
  <c r="D734" i="1"/>
  <c r="A734" i="1"/>
  <c r="E733" i="1"/>
  <c r="D733" i="1"/>
  <c r="A733" i="1"/>
  <c r="E732" i="1"/>
  <c r="D732" i="1"/>
  <c r="A732" i="1"/>
  <c r="E731" i="1"/>
  <c r="D731" i="1"/>
  <c r="A731" i="1"/>
  <c r="E730" i="1"/>
  <c r="D730" i="1"/>
  <c r="A730" i="1"/>
  <c r="E729" i="1"/>
  <c r="D729" i="1"/>
  <c r="A729" i="1"/>
  <c r="E728" i="1"/>
  <c r="D728" i="1"/>
  <c r="A728" i="1"/>
  <c r="E727" i="1"/>
  <c r="D727" i="1"/>
  <c r="A727" i="1"/>
  <c r="E726" i="1"/>
  <c r="D726" i="1"/>
  <c r="A726" i="1"/>
  <c r="E725" i="1"/>
  <c r="D725" i="1"/>
  <c r="A725" i="1"/>
  <c r="E724" i="1"/>
  <c r="D724" i="1"/>
  <c r="A724" i="1"/>
  <c r="E723" i="1"/>
  <c r="D723" i="1"/>
  <c r="A723" i="1"/>
  <c r="E722" i="1"/>
  <c r="D722" i="1"/>
  <c r="A722" i="1"/>
  <c r="E721" i="1"/>
  <c r="D721" i="1"/>
  <c r="A721" i="1"/>
  <c r="E720" i="1"/>
  <c r="D720" i="1"/>
  <c r="A720" i="1"/>
  <c r="E719" i="1"/>
  <c r="D719" i="1"/>
  <c r="A719" i="1"/>
  <c r="E718" i="1"/>
  <c r="D718" i="1"/>
  <c r="A718" i="1"/>
  <c r="E717" i="1"/>
  <c r="D717" i="1"/>
  <c r="A717" i="1"/>
  <c r="E716" i="1"/>
  <c r="D716" i="1"/>
  <c r="A716" i="1"/>
  <c r="E715" i="1"/>
  <c r="D715" i="1"/>
  <c r="A715" i="1"/>
  <c r="E714" i="1"/>
  <c r="D714" i="1"/>
  <c r="A714" i="1"/>
  <c r="E713" i="1"/>
  <c r="D713" i="1"/>
  <c r="A713" i="1"/>
  <c r="E712" i="1"/>
  <c r="D712" i="1"/>
  <c r="A712" i="1"/>
  <c r="E711" i="1"/>
  <c r="D711" i="1"/>
  <c r="A711" i="1"/>
  <c r="E710" i="1"/>
  <c r="D710" i="1"/>
  <c r="A710" i="1"/>
  <c r="E709" i="1"/>
  <c r="D709" i="1"/>
  <c r="A709" i="1"/>
  <c r="E708" i="1"/>
  <c r="D708" i="1"/>
  <c r="A708" i="1"/>
  <c r="E707" i="1"/>
  <c r="D707" i="1"/>
  <c r="A707" i="1"/>
  <c r="E706" i="1"/>
  <c r="D706" i="1"/>
  <c r="A706" i="1"/>
  <c r="E705" i="1"/>
  <c r="D705" i="1"/>
  <c r="A705" i="1"/>
  <c r="E704" i="1"/>
  <c r="D704" i="1"/>
  <c r="A704" i="1"/>
  <c r="E703" i="1"/>
  <c r="D703" i="1"/>
  <c r="A703" i="1"/>
  <c r="E702" i="1"/>
  <c r="D702" i="1"/>
  <c r="A702" i="1"/>
  <c r="E701" i="1"/>
  <c r="D701" i="1"/>
  <c r="A701" i="1"/>
  <c r="E700" i="1"/>
  <c r="D700" i="1"/>
  <c r="A700" i="1"/>
  <c r="E699" i="1"/>
  <c r="D699" i="1"/>
  <c r="A699" i="1"/>
  <c r="E698" i="1"/>
  <c r="D698" i="1"/>
  <c r="A698" i="1"/>
  <c r="E697" i="1"/>
  <c r="D697" i="1"/>
  <c r="A697" i="1"/>
  <c r="E696" i="1"/>
  <c r="D696" i="1"/>
  <c r="A696" i="1"/>
  <c r="E695" i="1"/>
  <c r="D695" i="1"/>
  <c r="A695" i="1"/>
  <c r="E694" i="1"/>
  <c r="D694" i="1"/>
  <c r="A694" i="1"/>
  <c r="E693" i="1"/>
  <c r="D693" i="1"/>
  <c r="A693" i="1"/>
  <c r="E692" i="1"/>
  <c r="D692" i="1"/>
  <c r="A692" i="1"/>
  <c r="E691" i="1"/>
  <c r="D691" i="1"/>
  <c r="A691" i="1"/>
  <c r="E690" i="1"/>
  <c r="D690" i="1"/>
  <c r="A690" i="1"/>
  <c r="E689" i="1"/>
  <c r="D689" i="1"/>
  <c r="A689" i="1"/>
  <c r="E688" i="1"/>
  <c r="D688" i="1"/>
  <c r="A688" i="1"/>
  <c r="E687" i="1"/>
  <c r="D687" i="1"/>
  <c r="A687" i="1"/>
  <c r="E686" i="1"/>
  <c r="D686" i="1"/>
  <c r="A686" i="1"/>
  <c r="E685" i="1"/>
  <c r="D685" i="1"/>
  <c r="A685" i="1"/>
  <c r="E684" i="1"/>
  <c r="D684" i="1"/>
  <c r="A684" i="1"/>
  <c r="E683" i="1"/>
  <c r="D683" i="1"/>
  <c r="A683" i="1"/>
  <c r="E682" i="1"/>
  <c r="D682" i="1"/>
  <c r="A682" i="1"/>
  <c r="E681" i="1"/>
  <c r="D681" i="1"/>
  <c r="A681" i="1"/>
  <c r="E680" i="1"/>
  <c r="D680" i="1"/>
  <c r="A680" i="1"/>
  <c r="E679" i="1"/>
  <c r="D679" i="1"/>
  <c r="A679" i="1"/>
  <c r="E678" i="1"/>
  <c r="D678" i="1"/>
  <c r="A678" i="1"/>
  <c r="E677" i="1"/>
  <c r="D677" i="1"/>
  <c r="A677" i="1"/>
  <c r="E676" i="1"/>
  <c r="D676" i="1"/>
  <c r="A676" i="1"/>
  <c r="E675" i="1"/>
  <c r="D675" i="1"/>
  <c r="A675" i="1"/>
  <c r="E674" i="1"/>
  <c r="D674" i="1"/>
  <c r="A674" i="1"/>
  <c r="E673" i="1"/>
  <c r="D673" i="1"/>
  <c r="A673" i="1"/>
  <c r="E672" i="1"/>
  <c r="D672" i="1"/>
  <c r="A672" i="1"/>
  <c r="E671" i="1"/>
  <c r="D671" i="1"/>
  <c r="A671" i="1"/>
  <c r="E670" i="1"/>
  <c r="D670" i="1"/>
  <c r="A670" i="1"/>
  <c r="E669" i="1"/>
  <c r="D669" i="1"/>
  <c r="A669" i="1"/>
  <c r="E668" i="1"/>
  <c r="D668" i="1"/>
  <c r="A668" i="1"/>
  <c r="E667" i="1"/>
  <c r="D667" i="1"/>
  <c r="A667" i="1"/>
  <c r="E666" i="1"/>
  <c r="D666" i="1"/>
  <c r="A666" i="1"/>
  <c r="E665" i="1"/>
  <c r="D665" i="1"/>
  <c r="A665" i="1"/>
  <c r="E664" i="1"/>
  <c r="D664" i="1"/>
  <c r="A664" i="1"/>
  <c r="E663" i="1"/>
  <c r="D663" i="1"/>
  <c r="A663" i="1"/>
  <c r="E662" i="1"/>
  <c r="D662" i="1"/>
  <c r="A662" i="1"/>
  <c r="E661" i="1"/>
  <c r="D661" i="1"/>
  <c r="A661" i="1"/>
  <c r="E660" i="1"/>
  <c r="D660" i="1"/>
  <c r="A660" i="1"/>
  <c r="E659" i="1"/>
  <c r="D659" i="1"/>
  <c r="A659" i="1"/>
  <c r="E658" i="1"/>
  <c r="D658" i="1"/>
  <c r="A658" i="1"/>
  <c r="E657" i="1"/>
  <c r="D657" i="1"/>
  <c r="A657" i="1"/>
  <c r="E656" i="1"/>
  <c r="D656" i="1"/>
  <c r="A656" i="1"/>
  <c r="E655" i="1"/>
  <c r="D655" i="1"/>
  <c r="A655" i="1"/>
  <c r="E654" i="1"/>
  <c r="D654" i="1"/>
  <c r="A654" i="1"/>
  <c r="E653" i="1"/>
  <c r="D653" i="1"/>
  <c r="A653" i="1"/>
  <c r="E652" i="1"/>
  <c r="D652" i="1"/>
  <c r="A652" i="1"/>
  <c r="E651" i="1"/>
  <c r="D651" i="1"/>
  <c r="A651" i="1"/>
  <c r="E650" i="1"/>
  <c r="D650" i="1"/>
  <c r="A650" i="1"/>
  <c r="E649" i="1"/>
  <c r="D649" i="1"/>
  <c r="A649" i="1"/>
  <c r="E648" i="1"/>
  <c r="D648" i="1"/>
  <c r="A648" i="1"/>
  <c r="E647" i="1"/>
  <c r="D647" i="1"/>
  <c r="A647" i="1"/>
  <c r="E646" i="1"/>
  <c r="D646" i="1"/>
  <c r="A646" i="1"/>
  <c r="E645" i="1"/>
  <c r="D645" i="1"/>
  <c r="A645" i="1"/>
  <c r="E644" i="1"/>
  <c r="D644" i="1"/>
  <c r="A644" i="1"/>
  <c r="E643" i="1"/>
  <c r="D643" i="1"/>
  <c r="A643" i="1"/>
  <c r="E642" i="1"/>
  <c r="D642" i="1"/>
  <c r="A642" i="1"/>
  <c r="E641" i="1"/>
  <c r="D641" i="1"/>
  <c r="A641" i="1"/>
  <c r="E640" i="1"/>
  <c r="D640" i="1"/>
  <c r="A640" i="1"/>
  <c r="E639" i="1"/>
  <c r="D639" i="1"/>
  <c r="A639" i="1"/>
  <c r="E638" i="1"/>
  <c r="D638" i="1"/>
  <c r="A638" i="1"/>
  <c r="E637" i="1"/>
  <c r="D637" i="1"/>
  <c r="A637" i="1"/>
  <c r="E636" i="1"/>
  <c r="D636" i="1"/>
  <c r="A636" i="1"/>
  <c r="E635" i="1"/>
  <c r="D635" i="1"/>
  <c r="A635" i="1"/>
  <c r="E634" i="1"/>
  <c r="D634" i="1"/>
  <c r="A634" i="1"/>
  <c r="E633" i="1"/>
  <c r="D633" i="1"/>
  <c r="A633" i="1"/>
  <c r="E632" i="1"/>
  <c r="D632" i="1"/>
  <c r="A632" i="1"/>
  <c r="E631" i="1"/>
  <c r="D631" i="1"/>
  <c r="A631" i="1"/>
  <c r="E630" i="1"/>
  <c r="D630" i="1"/>
  <c r="A630" i="1"/>
  <c r="E629" i="1"/>
  <c r="D629" i="1"/>
  <c r="A629" i="1"/>
  <c r="E628" i="1"/>
  <c r="D628" i="1"/>
  <c r="A628" i="1"/>
  <c r="E627" i="1"/>
  <c r="D627" i="1"/>
  <c r="A627" i="1"/>
  <c r="E626" i="1"/>
  <c r="D626" i="1"/>
  <c r="A626" i="1"/>
  <c r="E625" i="1"/>
  <c r="D625" i="1"/>
  <c r="A625" i="1"/>
  <c r="E624" i="1"/>
  <c r="D624" i="1"/>
  <c r="A624" i="1"/>
  <c r="E623" i="1"/>
  <c r="D623" i="1"/>
  <c r="A623" i="1"/>
  <c r="E622" i="1"/>
  <c r="D622" i="1"/>
  <c r="A622" i="1"/>
  <c r="E621" i="1"/>
  <c r="D621" i="1"/>
  <c r="A621" i="1"/>
  <c r="E620" i="1"/>
  <c r="D620" i="1"/>
  <c r="A620" i="1"/>
  <c r="E619" i="1"/>
  <c r="D619" i="1"/>
  <c r="A619" i="1"/>
  <c r="E618" i="1"/>
  <c r="D618" i="1"/>
  <c r="A618" i="1"/>
  <c r="E617" i="1"/>
  <c r="D617" i="1"/>
  <c r="A617" i="1"/>
  <c r="E616" i="1"/>
  <c r="D616" i="1"/>
  <c r="A616" i="1"/>
  <c r="E615" i="1"/>
  <c r="D615" i="1"/>
  <c r="A615" i="1"/>
  <c r="E614" i="1"/>
  <c r="D614" i="1"/>
  <c r="A614" i="1"/>
  <c r="E613" i="1"/>
  <c r="D613" i="1"/>
  <c r="A613" i="1"/>
  <c r="E612" i="1"/>
  <c r="D612" i="1"/>
  <c r="A612" i="1"/>
  <c r="E611" i="1"/>
  <c r="D611" i="1"/>
  <c r="A611" i="1"/>
  <c r="E610" i="1"/>
  <c r="D610" i="1"/>
  <c r="A610" i="1"/>
  <c r="E609" i="1"/>
  <c r="D609" i="1"/>
  <c r="A609" i="1"/>
  <c r="E608" i="1"/>
  <c r="D608" i="1"/>
  <c r="A608" i="1"/>
  <c r="E607" i="1"/>
  <c r="D607" i="1"/>
  <c r="A607" i="1"/>
  <c r="E606" i="1"/>
  <c r="D606" i="1"/>
  <c r="A606" i="1"/>
  <c r="E605" i="1"/>
  <c r="D605" i="1"/>
  <c r="A605" i="1"/>
  <c r="E604" i="1"/>
  <c r="D604" i="1"/>
  <c r="A604" i="1"/>
  <c r="E603" i="1"/>
  <c r="D603" i="1"/>
  <c r="A603" i="1"/>
  <c r="E602" i="1"/>
  <c r="D602" i="1"/>
  <c r="A602" i="1"/>
  <c r="E601" i="1"/>
  <c r="D601" i="1"/>
  <c r="A601" i="1"/>
  <c r="E600" i="1"/>
  <c r="D600" i="1"/>
  <c r="A600" i="1"/>
  <c r="E599" i="1"/>
  <c r="D599" i="1"/>
  <c r="A599" i="1"/>
  <c r="E598" i="1"/>
  <c r="D598" i="1"/>
  <c r="A598" i="1"/>
  <c r="E597" i="1"/>
  <c r="D597" i="1"/>
  <c r="A597" i="1"/>
  <c r="E596" i="1"/>
  <c r="D596" i="1"/>
  <c r="A596" i="1"/>
  <c r="E595" i="1"/>
  <c r="D595" i="1"/>
  <c r="A595" i="1"/>
  <c r="E594" i="1"/>
  <c r="D594" i="1"/>
  <c r="A594" i="1"/>
  <c r="E593" i="1"/>
  <c r="D593" i="1"/>
  <c r="A593" i="1"/>
  <c r="E592" i="1"/>
  <c r="D592" i="1"/>
  <c r="A592" i="1"/>
  <c r="E591" i="1"/>
  <c r="D591" i="1"/>
  <c r="A591" i="1"/>
  <c r="E590" i="1"/>
  <c r="D590" i="1"/>
  <c r="A590" i="1"/>
  <c r="E589" i="1"/>
  <c r="D589" i="1"/>
  <c r="A589" i="1"/>
  <c r="E588" i="1"/>
  <c r="D588" i="1"/>
  <c r="A588" i="1"/>
  <c r="E587" i="1"/>
  <c r="D587" i="1"/>
  <c r="A587" i="1"/>
  <c r="E586" i="1"/>
  <c r="D586" i="1"/>
  <c r="A586" i="1"/>
  <c r="E585" i="1"/>
  <c r="D585" i="1"/>
  <c r="A585" i="1"/>
  <c r="E584" i="1"/>
  <c r="D584" i="1"/>
  <c r="A584" i="1"/>
  <c r="E583" i="1"/>
  <c r="D583" i="1"/>
  <c r="A583" i="1"/>
  <c r="E582" i="1"/>
  <c r="D582" i="1"/>
  <c r="A582" i="1"/>
  <c r="E581" i="1"/>
  <c r="D581" i="1"/>
  <c r="A581" i="1"/>
  <c r="E580" i="1"/>
  <c r="D580" i="1"/>
  <c r="A580" i="1"/>
  <c r="E579" i="1"/>
  <c r="D579" i="1"/>
  <c r="A579" i="1"/>
  <c r="E578" i="1"/>
  <c r="D578" i="1"/>
  <c r="A578" i="1"/>
  <c r="E577" i="1"/>
  <c r="D577" i="1"/>
  <c r="A577" i="1"/>
  <c r="E576" i="1"/>
  <c r="D576" i="1"/>
  <c r="A576" i="1"/>
  <c r="E575" i="1"/>
  <c r="D575" i="1"/>
  <c r="A575" i="1"/>
  <c r="E574" i="1"/>
  <c r="D574" i="1"/>
  <c r="A574" i="1"/>
  <c r="E573" i="1"/>
  <c r="D573" i="1"/>
  <c r="A573" i="1"/>
  <c r="E572" i="1"/>
  <c r="D572" i="1"/>
  <c r="A572" i="1"/>
  <c r="E571" i="1"/>
  <c r="D571" i="1"/>
  <c r="A571" i="1"/>
  <c r="E570" i="1"/>
  <c r="D570" i="1"/>
  <c r="A570" i="1"/>
  <c r="E569" i="1"/>
  <c r="D569" i="1"/>
  <c r="A569" i="1"/>
  <c r="E568" i="1"/>
  <c r="D568" i="1"/>
  <c r="A568" i="1"/>
  <c r="E567" i="1"/>
  <c r="D567" i="1"/>
  <c r="A567" i="1"/>
  <c r="E566" i="1"/>
  <c r="D566" i="1"/>
  <c r="A566" i="1"/>
  <c r="E565" i="1"/>
  <c r="D565" i="1"/>
  <c r="A565" i="1"/>
  <c r="E564" i="1"/>
  <c r="D564" i="1"/>
  <c r="A564" i="1"/>
  <c r="E563" i="1"/>
  <c r="D563" i="1"/>
  <c r="A563" i="1"/>
  <c r="E562" i="1"/>
  <c r="D562" i="1"/>
  <c r="A562" i="1"/>
  <c r="E561" i="1"/>
  <c r="D561" i="1"/>
  <c r="A561" i="1"/>
  <c r="E560" i="1"/>
  <c r="D560" i="1"/>
  <c r="A560" i="1"/>
  <c r="E559" i="1"/>
  <c r="D559" i="1"/>
  <c r="A559" i="1"/>
  <c r="E558" i="1"/>
  <c r="D558" i="1"/>
  <c r="A558" i="1"/>
  <c r="E557" i="1"/>
  <c r="D557" i="1"/>
  <c r="A557" i="1"/>
  <c r="E556" i="1"/>
  <c r="D556" i="1"/>
  <c r="A556" i="1"/>
  <c r="E555" i="1"/>
  <c r="D555" i="1"/>
  <c r="A555" i="1"/>
  <c r="E554" i="1"/>
  <c r="D554" i="1"/>
  <c r="A554" i="1"/>
  <c r="E553" i="1"/>
  <c r="D553" i="1"/>
  <c r="A553" i="1"/>
  <c r="E552" i="1"/>
  <c r="D552" i="1"/>
  <c r="A552" i="1"/>
  <c r="E551" i="1"/>
  <c r="D551" i="1"/>
  <c r="A551" i="1"/>
  <c r="E550" i="1"/>
  <c r="D550" i="1"/>
  <c r="A550" i="1"/>
  <c r="E549" i="1"/>
  <c r="D549" i="1"/>
  <c r="A549" i="1"/>
  <c r="E548" i="1"/>
  <c r="D548" i="1"/>
  <c r="A548" i="1"/>
  <c r="E547" i="1"/>
  <c r="D547" i="1"/>
  <c r="A547" i="1"/>
  <c r="E546" i="1"/>
  <c r="D546" i="1"/>
  <c r="A546" i="1"/>
  <c r="E545" i="1"/>
  <c r="D545" i="1"/>
  <c r="A545" i="1"/>
  <c r="E544" i="1"/>
  <c r="D544" i="1"/>
  <c r="A544" i="1"/>
  <c r="E543" i="1"/>
  <c r="D543" i="1"/>
  <c r="A543" i="1"/>
  <c r="E542" i="1"/>
  <c r="D542" i="1"/>
  <c r="A542" i="1"/>
  <c r="E541" i="1"/>
  <c r="D541" i="1"/>
  <c r="A541" i="1"/>
  <c r="E540" i="1"/>
  <c r="D540" i="1"/>
  <c r="A540" i="1"/>
  <c r="E539" i="1"/>
  <c r="D539" i="1"/>
  <c r="A539" i="1"/>
  <c r="E538" i="1"/>
  <c r="D538" i="1"/>
  <c r="A538" i="1"/>
  <c r="E537" i="1"/>
  <c r="D537" i="1"/>
  <c r="A537" i="1"/>
  <c r="E536" i="1"/>
  <c r="D536" i="1"/>
  <c r="A536" i="1"/>
  <c r="E535" i="1"/>
  <c r="D535" i="1"/>
  <c r="A535" i="1"/>
  <c r="E534" i="1"/>
  <c r="D534" i="1"/>
  <c r="A534" i="1"/>
  <c r="E533" i="1"/>
  <c r="D533" i="1"/>
  <c r="A533" i="1"/>
  <c r="E532" i="1"/>
  <c r="D532" i="1"/>
  <c r="A532" i="1"/>
  <c r="E531" i="1"/>
  <c r="D531" i="1"/>
  <c r="A531" i="1"/>
  <c r="E530" i="1"/>
  <c r="D530" i="1"/>
  <c r="A530" i="1"/>
  <c r="E529" i="1"/>
  <c r="D529" i="1"/>
  <c r="A529" i="1"/>
  <c r="E528" i="1"/>
  <c r="D528" i="1"/>
  <c r="A528" i="1"/>
  <c r="E527" i="1"/>
  <c r="D527" i="1"/>
  <c r="A527" i="1"/>
  <c r="E526" i="1"/>
  <c r="D526" i="1"/>
  <c r="A526" i="1"/>
  <c r="E525" i="1"/>
  <c r="D525" i="1"/>
  <c r="A525" i="1"/>
  <c r="E524" i="1"/>
  <c r="D524" i="1"/>
  <c r="A524" i="1"/>
  <c r="E523" i="1"/>
  <c r="D523" i="1"/>
  <c r="A523" i="1"/>
  <c r="E522" i="1"/>
  <c r="D522" i="1"/>
  <c r="A522" i="1"/>
  <c r="E521" i="1"/>
  <c r="D521" i="1"/>
  <c r="A521" i="1"/>
  <c r="E520" i="1"/>
  <c r="D520" i="1"/>
  <c r="A520" i="1"/>
  <c r="E519" i="1"/>
  <c r="D519" i="1"/>
  <c r="A519" i="1"/>
  <c r="E518" i="1"/>
  <c r="D518" i="1"/>
  <c r="A518" i="1"/>
  <c r="E517" i="1"/>
  <c r="D517" i="1"/>
  <c r="A517" i="1"/>
  <c r="E516" i="1"/>
  <c r="D516" i="1"/>
  <c r="A516" i="1"/>
  <c r="E515" i="1"/>
  <c r="D515" i="1"/>
  <c r="A515" i="1"/>
  <c r="E514" i="1"/>
  <c r="D514" i="1"/>
  <c r="A514" i="1"/>
  <c r="E513" i="1"/>
  <c r="D513" i="1"/>
  <c r="A513" i="1"/>
  <c r="E512" i="1"/>
  <c r="D512" i="1"/>
  <c r="A512" i="1"/>
  <c r="E511" i="1"/>
  <c r="D511" i="1"/>
  <c r="A511" i="1"/>
  <c r="E510" i="1"/>
  <c r="D510" i="1"/>
  <c r="A510" i="1"/>
  <c r="E509" i="1"/>
  <c r="D509" i="1"/>
  <c r="A509" i="1"/>
  <c r="E508" i="1"/>
  <c r="D508" i="1"/>
  <c r="A508" i="1"/>
  <c r="E507" i="1"/>
  <c r="D507" i="1"/>
  <c r="A507" i="1"/>
  <c r="E506" i="1"/>
  <c r="D506" i="1"/>
  <c r="A506" i="1"/>
  <c r="E505" i="1"/>
  <c r="D505" i="1"/>
  <c r="A505" i="1"/>
  <c r="E504" i="1"/>
  <c r="D504" i="1"/>
  <c r="A504" i="1"/>
  <c r="E503" i="1"/>
  <c r="D503" i="1"/>
  <c r="A503" i="1"/>
  <c r="E502" i="1"/>
  <c r="D502" i="1"/>
  <c r="A502" i="1"/>
  <c r="E501" i="1"/>
  <c r="D501" i="1"/>
  <c r="A501" i="1"/>
  <c r="E500" i="1"/>
  <c r="D500" i="1"/>
  <c r="A500" i="1"/>
  <c r="E499" i="1"/>
  <c r="D499" i="1"/>
  <c r="A499" i="1"/>
  <c r="E498" i="1"/>
  <c r="D498" i="1"/>
  <c r="A498" i="1"/>
  <c r="E497" i="1"/>
  <c r="D497" i="1"/>
  <c r="A497" i="1"/>
  <c r="E496" i="1"/>
  <c r="D496" i="1"/>
  <c r="A496" i="1"/>
  <c r="E495" i="1"/>
  <c r="D495" i="1"/>
  <c r="A495" i="1"/>
  <c r="E494" i="1"/>
  <c r="D494" i="1"/>
  <c r="A494" i="1"/>
  <c r="E493" i="1"/>
  <c r="D493" i="1"/>
  <c r="A493" i="1"/>
  <c r="E492" i="1"/>
  <c r="D492" i="1"/>
  <c r="A492" i="1"/>
  <c r="E491" i="1"/>
  <c r="D491" i="1"/>
  <c r="A491" i="1"/>
  <c r="E490" i="1"/>
  <c r="D490" i="1"/>
  <c r="A490" i="1"/>
  <c r="E489" i="1"/>
  <c r="D489" i="1"/>
  <c r="A489" i="1"/>
  <c r="E488" i="1"/>
  <c r="D488" i="1"/>
  <c r="A488" i="1"/>
  <c r="E487" i="1"/>
  <c r="D487" i="1"/>
  <c r="A487" i="1"/>
  <c r="E486" i="1"/>
  <c r="D486" i="1"/>
  <c r="A486" i="1"/>
  <c r="E485" i="1"/>
  <c r="D485" i="1"/>
  <c r="A485" i="1"/>
  <c r="E484" i="1"/>
  <c r="D484" i="1"/>
  <c r="A484" i="1"/>
  <c r="E483" i="1"/>
  <c r="D483" i="1"/>
  <c r="A483" i="1"/>
  <c r="E482" i="1"/>
  <c r="D482" i="1"/>
  <c r="A482" i="1"/>
  <c r="E481" i="1"/>
  <c r="D481" i="1"/>
  <c r="A481" i="1"/>
  <c r="E480" i="1"/>
  <c r="D480" i="1"/>
  <c r="A480" i="1"/>
  <c r="E479" i="1"/>
  <c r="D479" i="1"/>
  <c r="A479" i="1"/>
  <c r="E478" i="1"/>
  <c r="D478" i="1"/>
  <c r="A478" i="1"/>
  <c r="E477" i="1"/>
  <c r="D477" i="1"/>
  <c r="A477" i="1"/>
  <c r="E476" i="1"/>
  <c r="D476" i="1"/>
  <c r="A476" i="1"/>
  <c r="E475" i="1"/>
  <c r="D475" i="1"/>
  <c r="A475" i="1"/>
  <c r="E474" i="1"/>
  <c r="D474" i="1"/>
  <c r="A474" i="1"/>
  <c r="E473" i="1"/>
  <c r="D473" i="1"/>
  <c r="A473" i="1"/>
  <c r="E472" i="1"/>
  <c r="D472" i="1"/>
  <c r="A472" i="1"/>
  <c r="E471" i="1"/>
  <c r="D471" i="1"/>
  <c r="A471" i="1"/>
  <c r="E470" i="1"/>
  <c r="D470" i="1"/>
  <c r="A470" i="1"/>
  <c r="E469" i="1"/>
  <c r="D469" i="1"/>
  <c r="A469" i="1"/>
  <c r="E468" i="1"/>
  <c r="D468" i="1"/>
  <c r="A468" i="1"/>
  <c r="E467" i="1"/>
  <c r="D467" i="1"/>
  <c r="A467" i="1"/>
  <c r="E466" i="1"/>
  <c r="D466" i="1"/>
  <c r="A466" i="1"/>
  <c r="E465" i="1"/>
  <c r="D465" i="1"/>
  <c r="A465" i="1"/>
  <c r="E464" i="1"/>
  <c r="D464" i="1"/>
  <c r="A464" i="1"/>
  <c r="E463" i="1"/>
  <c r="D463" i="1"/>
  <c r="A463" i="1"/>
  <c r="E462" i="1"/>
  <c r="D462" i="1"/>
  <c r="A462" i="1"/>
  <c r="E461" i="1"/>
  <c r="D461" i="1"/>
  <c r="A461" i="1"/>
  <c r="E460" i="1"/>
  <c r="D460" i="1"/>
  <c r="A460" i="1"/>
  <c r="E459" i="1"/>
  <c r="D459" i="1"/>
  <c r="A459" i="1"/>
  <c r="E458" i="1"/>
  <c r="D458" i="1"/>
  <c r="A458" i="1"/>
  <c r="E457" i="1"/>
  <c r="D457" i="1"/>
  <c r="A457" i="1"/>
  <c r="E456" i="1"/>
  <c r="D456" i="1"/>
  <c r="A456" i="1"/>
  <c r="E455" i="1"/>
  <c r="D455" i="1"/>
  <c r="A455" i="1"/>
  <c r="E454" i="1"/>
  <c r="D454" i="1"/>
  <c r="A454" i="1"/>
  <c r="E453" i="1"/>
  <c r="D453" i="1"/>
  <c r="A453" i="1"/>
  <c r="E452" i="1"/>
  <c r="D452" i="1"/>
  <c r="A452" i="1"/>
  <c r="E451" i="1"/>
  <c r="D451" i="1"/>
  <c r="A451" i="1"/>
  <c r="E450" i="1"/>
  <c r="D450" i="1"/>
  <c r="A450" i="1"/>
  <c r="E449" i="1"/>
  <c r="D449" i="1"/>
  <c r="A449" i="1"/>
  <c r="E448" i="1"/>
  <c r="D448" i="1"/>
  <c r="A448" i="1"/>
  <c r="E447" i="1"/>
  <c r="D447" i="1"/>
  <c r="A447" i="1"/>
  <c r="E446" i="1"/>
  <c r="D446" i="1"/>
  <c r="A446" i="1"/>
  <c r="E445" i="1"/>
  <c r="D445" i="1"/>
  <c r="A445" i="1"/>
  <c r="E444" i="1"/>
  <c r="D444" i="1"/>
  <c r="A444" i="1"/>
  <c r="E443" i="1"/>
  <c r="D443" i="1"/>
  <c r="A443" i="1"/>
  <c r="E442" i="1"/>
  <c r="D442" i="1"/>
  <c r="A442" i="1"/>
  <c r="E441" i="1"/>
  <c r="D441" i="1"/>
  <c r="A441" i="1"/>
  <c r="E440" i="1"/>
  <c r="D440" i="1"/>
  <c r="A440" i="1"/>
  <c r="E439" i="1"/>
  <c r="D439" i="1"/>
  <c r="A439" i="1"/>
  <c r="E438" i="1"/>
  <c r="D438" i="1"/>
  <c r="A438" i="1"/>
  <c r="E437" i="1"/>
  <c r="D437" i="1"/>
  <c r="A437" i="1"/>
  <c r="E436" i="1"/>
  <c r="D436" i="1"/>
  <c r="A436" i="1"/>
  <c r="E435" i="1"/>
  <c r="D435" i="1"/>
  <c r="A435" i="1"/>
  <c r="E434" i="1"/>
  <c r="D434" i="1"/>
  <c r="A434" i="1"/>
  <c r="E433" i="1"/>
  <c r="D433" i="1"/>
  <c r="A433" i="1"/>
  <c r="E432" i="1"/>
  <c r="D432" i="1"/>
  <c r="A432" i="1"/>
  <c r="E431" i="1"/>
  <c r="D431" i="1"/>
  <c r="A431" i="1"/>
  <c r="E430" i="1"/>
  <c r="D430" i="1"/>
  <c r="A430" i="1"/>
  <c r="E429" i="1"/>
  <c r="D429" i="1"/>
  <c r="A429" i="1"/>
  <c r="E428" i="1"/>
  <c r="D428" i="1"/>
  <c r="A428" i="1"/>
  <c r="E427" i="1"/>
  <c r="D427" i="1"/>
  <c r="A427" i="1"/>
  <c r="E426" i="1"/>
  <c r="D426" i="1"/>
  <c r="A426" i="1"/>
  <c r="E425" i="1"/>
  <c r="D425" i="1"/>
  <c r="A425" i="1"/>
  <c r="E424" i="1"/>
  <c r="D424" i="1"/>
  <c r="A424" i="1"/>
  <c r="E423" i="1"/>
  <c r="D423" i="1"/>
  <c r="A423" i="1"/>
  <c r="E422" i="1"/>
  <c r="D422" i="1"/>
  <c r="A422" i="1"/>
  <c r="E421" i="1"/>
  <c r="D421" i="1"/>
  <c r="A421" i="1"/>
  <c r="E420" i="1"/>
  <c r="D420" i="1"/>
  <c r="A420" i="1"/>
  <c r="E419" i="1"/>
  <c r="D419" i="1"/>
  <c r="A419" i="1"/>
  <c r="E418" i="1"/>
  <c r="D418" i="1"/>
  <c r="A418" i="1"/>
  <c r="E417" i="1"/>
  <c r="D417" i="1"/>
  <c r="A417" i="1"/>
  <c r="E416" i="1"/>
  <c r="D416" i="1"/>
  <c r="A416" i="1"/>
  <c r="E415" i="1"/>
  <c r="D415" i="1"/>
  <c r="A415" i="1"/>
  <c r="E414" i="1"/>
  <c r="D414" i="1"/>
  <c r="A414" i="1"/>
  <c r="E413" i="1"/>
  <c r="D413" i="1"/>
  <c r="A413" i="1"/>
  <c r="E412" i="1"/>
  <c r="D412" i="1"/>
  <c r="A412" i="1"/>
  <c r="E411" i="1"/>
  <c r="D411" i="1"/>
  <c r="A411" i="1"/>
  <c r="E410" i="1"/>
  <c r="D410" i="1"/>
  <c r="A410" i="1"/>
  <c r="E409" i="1"/>
  <c r="D409" i="1"/>
  <c r="A409" i="1"/>
  <c r="E408" i="1"/>
  <c r="D408" i="1"/>
  <c r="A408" i="1"/>
  <c r="E407" i="1"/>
  <c r="D407" i="1"/>
  <c r="A407" i="1"/>
  <c r="E406" i="1"/>
  <c r="D406" i="1"/>
  <c r="A406" i="1"/>
  <c r="E405" i="1"/>
  <c r="D405" i="1"/>
  <c r="A405" i="1"/>
  <c r="E404" i="1"/>
  <c r="D404" i="1"/>
  <c r="A404" i="1"/>
  <c r="E403" i="1"/>
  <c r="D403" i="1"/>
  <c r="A403" i="1"/>
  <c r="E402" i="1"/>
  <c r="D402" i="1"/>
  <c r="A402" i="1"/>
  <c r="E401" i="1"/>
  <c r="D401" i="1"/>
  <c r="A401" i="1"/>
  <c r="E400" i="1"/>
  <c r="D400" i="1"/>
  <c r="A400" i="1"/>
  <c r="E399" i="1"/>
  <c r="D399" i="1"/>
  <c r="A399" i="1"/>
  <c r="E398" i="1"/>
  <c r="D398" i="1"/>
  <c r="A398" i="1"/>
  <c r="E397" i="1"/>
  <c r="D397" i="1"/>
  <c r="A397" i="1"/>
  <c r="E396" i="1"/>
  <c r="D396" i="1"/>
  <c r="A396" i="1"/>
  <c r="E395" i="1"/>
  <c r="D395" i="1"/>
  <c r="A395" i="1"/>
  <c r="E394" i="1"/>
  <c r="D394" i="1"/>
  <c r="A394" i="1"/>
  <c r="E393" i="1"/>
  <c r="D393" i="1"/>
  <c r="A393" i="1"/>
  <c r="E392" i="1"/>
  <c r="D392" i="1"/>
  <c r="A392" i="1"/>
  <c r="E391" i="1"/>
  <c r="D391" i="1"/>
  <c r="A391" i="1"/>
  <c r="E390" i="1"/>
  <c r="D390" i="1"/>
  <c r="A390" i="1"/>
  <c r="E389" i="1"/>
  <c r="D389" i="1"/>
  <c r="A389" i="1"/>
  <c r="E388" i="1"/>
  <c r="D388" i="1"/>
  <c r="A388" i="1"/>
  <c r="E387" i="1"/>
  <c r="D387" i="1"/>
  <c r="A387" i="1"/>
  <c r="E386" i="1"/>
  <c r="D386" i="1"/>
  <c r="A386" i="1"/>
  <c r="E385" i="1"/>
  <c r="D385" i="1"/>
  <c r="A385" i="1"/>
  <c r="E384" i="1"/>
  <c r="D384" i="1"/>
  <c r="A384" i="1"/>
  <c r="E383" i="1"/>
  <c r="D383" i="1"/>
  <c r="A383" i="1"/>
  <c r="E382" i="1"/>
  <c r="D382" i="1"/>
  <c r="A382" i="1"/>
  <c r="E381" i="1"/>
  <c r="D381" i="1"/>
  <c r="A381" i="1"/>
  <c r="E380" i="1"/>
  <c r="D380" i="1"/>
  <c r="A380" i="1"/>
  <c r="E379" i="1"/>
  <c r="D379" i="1"/>
  <c r="A379" i="1"/>
  <c r="E378" i="1"/>
  <c r="D378" i="1"/>
  <c r="A378" i="1"/>
  <c r="E377" i="1"/>
  <c r="D377" i="1"/>
  <c r="A377" i="1"/>
  <c r="E376" i="1"/>
  <c r="D376" i="1"/>
  <c r="A376" i="1"/>
  <c r="E375" i="1"/>
  <c r="D375" i="1"/>
  <c r="A375" i="1"/>
  <c r="E374" i="1"/>
  <c r="D374" i="1"/>
  <c r="A374" i="1"/>
  <c r="E373" i="1"/>
  <c r="D373" i="1"/>
  <c r="A373" i="1"/>
  <c r="E372" i="1"/>
  <c r="D372" i="1"/>
  <c r="A372" i="1"/>
  <c r="E371" i="1"/>
  <c r="D371" i="1"/>
  <c r="A371" i="1"/>
  <c r="E370" i="1"/>
  <c r="D370" i="1"/>
  <c r="A370" i="1"/>
  <c r="E369" i="1"/>
  <c r="D369" i="1"/>
  <c r="A369" i="1"/>
  <c r="E368" i="1"/>
  <c r="D368" i="1"/>
  <c r="A368" i="1"/>
  <c r="E367" i="1"/>
  <c r="D367" i="1"/>
  <c r="A367" i="1"/>
  <c r="E366" i="1"/>
  <c r="D366" i="1"/>
  <c r="A366" i="1"/>
  <c r="E365" i="1"/>
  <c r="D365" i="1"/>
  <c r="A365" i="1"/>
  <c r="E364" i="1"/>
  <c r="D364" i="1"/>
  <c r="A364" i="1"/>
  <c r="E363" i="1"/>
  <c r="D363" i="1"/>
  <c r="A363" i="1"/>
  <c r="E362" i="1"/>
  <c r="D362" i="1"/>
  <c r="A362" i="1"/>
  <c r="E361" i="1"/>
  <c r="D361" i="1"/>
  <c r="A361" i="1"/>
  <c r="E360" i="1"/>
  <c r="D360" i="1"/>
  <c r="A360" i="1"/>
  <c r="E359" i="1"/>
  <c r="D359" i="1"/>
  <c r="A359" i="1"/>
  <c r="E358" i="1"/>
  <c r="D358" i="1"/>
  <c r="A358" i="1"/>
  <c r="E357" i="1"/>
  <c r="D357" i="1"/>
  <c r="A357" i="1"/>
  <c r="E356" i="1"/>
  <c r="D356" i="1"/>
  <c r="A356" i="1"/>
  <c r="E355" i="1"/>
  <c r="D355" i="1"/>
  <c r="A355" i="1"/>
  <c r="E354" i="1"/>
  <c r="D354" i="1"/>
  <c r="A354" i="1"/>
  <c r="E353" i="1"/>
  <c r="D353" i="1"/>
  <c r="A353" i="1"/>
  <c r="E352" i="1"/>
  <c r="D352" i="1"/>
  <c r="A352" i="1"/>
  <c r="E351" i="1"/>
  <c r="D351" i="1"/>
  <c r="A351" i="1"/>
  <c r="E350" i="1"/>
  <c r="D350" i="1"/>
  <c r="A350" i="1"/>
  <c r="E349" i="1"/>
  <c r="D349" i="1"/>
  <c r="A349" i="1"/>
  <c r="E348" i="1"/>
  <c r="D348" i="1"/>
  <c r="A348" i="1"/>
  <c r="E347" i="1"/>
  <c r="D347" i="1"/>
  <c r="A347" i="1"/>
  <c r="E346" i="1"/>
  <c r="D346" i="1"/>
  <c r="A346" i="1"/>
  <c r="E345" i="1"/>
  <c r="D345" i="1"/>
  <c r="A345" i="1"/>
  <c r="E344" i="1"/>
  <c r="D344" i="1"/>
  <c r="A344" i="1"/>
  <c r="E343" i="1"/>
  <c r="D343" i="1"/>
  <c r="A343" i="1"/>
  <c r="E342" i="1"/>
  <c r="D342" i="1"/>
  <c r="A342" i="1"/>
  <c r="E341" i="1"/>
  <c r="D341" i="1"/>
  <c r="A341" i="1"/>
  <c r="E340" i="1"/>
  <c r="D340" i="1"/>
  <c r="A340" i="1"/>
  <c r="E339" i="1"/>
  <c r="D339" i="1"/>
  <c r="A339" i="1"/>
  <c r="E338" i="1"/>
  <c r="D338" i="1"/>
  <c r="A338" i="1"/>
  <c r="E337" i="1"/>
  <c r="D337" i="1"/>
  <c r="A337" i="1"/>
  <c r="E336" i="1"/>
  <c r="D336" i="1"/>
  <c r="A336" i="1"/>
  <c r="E335" i="1"/>
  <c r="D335" i="1"/>
  <c r="A335" i="1"/>
  <c r="E334" i="1"/>
  <c r="D334" i="1"/>
  <c r="A334" i="1"/>
  <c r="E333" i="1"/>
  <c r="D333" i="1"/>
  <c r="A333" i="1"/>
  <c r="E332" i="1"/>
  <c r="D332" i="1"/>
  <c r="A332" i="1"/>
  <c r="E331" i="1"/>
  <c r="D331" i="1"/>
  <c r="A331" i="1"/>
  <c r="E330" i="1"/>
  <c r="D330" i="1"/>
  <c r="A330" i="1"/>
  <c r="E329" i="1"/>
  <c r="D329" i="1"/>
  <c r="A329" i="1"/>
  <c r="E328" i="1"/>
  <c r="D328" i="1"/>
  <c r="A328" i="1"/>
  <c r="E327" i="1"/>
  <c r="D327" i="1"/>
  <c r="A327" i="1"/>
  <c r="E326" i="1"/>
  <c r="D326" i="1"/>
  <c r="A326" i="1"/>
  <c r="E325" i="1"/>
  <c r="D325" i="1"/>
  <c r="A325" i="1"/>
  <c r="E324" i="1"/>
  <c r="D324" i="1"/>
  <c r="A324" i="1"/>
  <c r="E323" i="1"/>
  <c r="D323" i="1"/>
  <c r="A323" i="1"/>
  <c r="E322" i="1"/>
  <c r="D322" i="1"/>
  <c r="A322" i="1"/>
  <c r="E321" i="1"/>
  <c r="D321" i="1"/>
  <c r="A321" i="1"/>
  <c r="E320" i="1"/>
  <c r="D320" i="1"/>
  <c r="A320" i="1"/>
  <c r="E319" i="1"/>
  <c r="D319" i="1"/>
  <c r="A319" i="1"/>
  <c r="E318" i="1"/>
  <c r="D318" i="1"/>
  <c r="A318" i="1"/>
  <c r="E317" i="1"/>
  <c r="D317" i="1"/>
  <c r="A317" i="1"/>
  <c r="E316" i="1"/>
  <c r="D316" i="1"/>
  <c r="A316" i="1"/>
  <c r="E315" i="1"/>
  <c r="D315" i="1"/>
  <c r="A315" i="1"/>
  <c r="E314" i="1"/>
  <c r="D314" i="1"/>
  <c r="A314" i="1"/>
  <c r="E313" i="1"/>
  <c r="D313" i="1"/>
  <c r="A313" i="1"/>
  <c r="E312" i="1"/>
  <c r="D312" i="1"/>
  <c r="A312" i="1"/>
  <c r="E311" i="1"/>
  <c r="D311" i="1"/>
  <c r="A311" i="1"/>
  <c r="E310" i="1"/>
  <c r="D310" i="1"/>
  <c r="A310" i="1"/>
  <c r="E309" i="1"/>
  <c r="D309" i="1"/>
  <c r="A309" i="1"/>
  <c r="E308" i="1"/>
  <c r="D308" i="1"/>
  <c r="A308" i="1"/>
  <c r="E307" i="1"/>
  <c r="D307" i="1"/>
  <c r="A307" i="1"/>
  <c r="E306" i="1"/>
  <c r="D306" i="1"/>
  <c r="A306" i="1"/>
  <c r="E305" i="1"/>
  <c r="D305" i="1"/>
  <c r="A305" i="1"/>
  <c r="E304" i="1"/>
  <c r="D304" i="1"/>
  <c r="A304" i="1"/>
  <c r="E303" i="1"/>
  <c r="D303" i="1"/>
  <c r="A303" i="1"/>
  <c r="E302" i="1"/>
  <c r="D302" i="1"/>
  <c r="A302" i="1"/>
  <c r="E301" i="1"/>
  <c r="D301" i="1"/>
  <c r="A301" i="1"/>
  <c r="E300" i="1"/>
  <c r="D300" i="1"/>
  <c r="A300" i="1"/>
  <c r="E299" i="1"/>
  <c r="D299" i="1"/>
  <c r="A299" i="1"/>
  <c r="E298" i="1"/>
  <c r="D298" i="1"/>
  <c r="A298" i="1"/>
  <c r="E297" i="1"/>
  <c r="D297" i="1"/>
  <c r="A297" i="1"/>
  <c r="E296" i="1"/>
  <c r="D296" i="1"/>
  <c r="A296" i="1"/>
  <c r="E295" i="1"/>
  <c r="D295" i="1"/>
  <c r="A295" i="1"/>
  <c r="E294" i="1"/>
  <c r="D294" i="1"/>
  <c r="A294" i="1"/>
  <c r="E293" i="1"/>
  <c r="D293" i="1"/>
  <c r="A293" i="1"/>
  <c r="E292" i="1"/>
  <c r="D292" i="1"/>
  <c r="A292" i="1"/>
  <c r="E291" i="1"/>
  <c r="D291" i="1"/>
  <c r="A291" i="1"/>
  <c r="E290" i="1"/>
  <c r="D290" i="1"/>
  <c r="A290" i="1"/>
  <c r="E289" i="1"/>
  <c r="D289" i="1"/>
  <c r="A289" i="1"/>
  <c r="E288" i="1"/>
  <c r="D288" i="1"/>
  <c r="A288" i="1"/>
  <c r="E287" i="1"/>
  <c r="D287" i="1"/>
  <c r="A287" i="1"/>
  <c r="E286" i="1"/>
  <c r="D286" i="1"/>
  <c r="A286" i="1"/>
  <c r="E285" i="1"/>
  <c r="D285" i="1"/>
  <c r="A285" i="1"/>
  <c r="E284" i="1"/>
  <c r="D284" i="1"/>
  <c r="A284" i="1"/>
  <c r="E283" i="1"/>
  <c r="D283" i="1"/>
  <c r="A283" i="1"/>
  <c r="E282" i="1"/>
  <c r="D282" i="1"/>
  <c r="A282" i="1"/>
  <c r="E281" i="1"/>
  <c r="D281" i="1"/>
  <c r="A281" i="1"/>
  <c r="E280" i="1"/>
  <c r="D280" i="1"/>
  <c r="A280" i="1"/>
  <c r="E279" i="1"/>
  <c r="D279" i="1"/>
  <c r="A279" i="1"/>
  <c r="E278" i="1"/>
  <c r="D278" i="1"/>
  <c r="A278" i="1"/>
  <c r="E277" i="1"/>
  <c r="D277" i="1"/>
  <c r="A277" i="1"/>
  <c r="E276" i="1"/>
  <c r="D276" i="1"/>
  <c r="A276" i="1"/>
  <c r="E275" i="1"/>
  <c r="D275" i="1"/>
  <c r="A275" i="1"/>
  <c r="E274" i="1"/>
  <c r="D274" i="1"/>
  <c r="A274" i="1"/>
  <c r="E273" i="1"/>
  <c r="D273" i="1"/>
  <c r="A273" i="1"/>
  <c r="E272" i="1"/>
  <c r="D272" i="1"/>
  <c r="A272" i="1"/>
  <c r="E271" i="1"/>
  <c r="D271" i="1"/>
  <c r="A271" i="1"/>
  <c r="E270" i="1"/>
  <c r="D270" i="1"/>
  <c r="A270" i="1"/>
  <c r="E269" i="1"/>
  <c r="D269" i="1"/>
  <c r="A269" i="1"/>
  <c r="E268" i="1"/>
  <c r="D268" i="1"/>
  <c r="A268" i="1"/>
  <c r="E267" i="1"/>
  <c r="D267" i="1"/>
  <c r="A267" i="1"/>
  <c r="E266" i="1"/>
  <c r="D266" i="1"/>
  <c r="A266" i="1"/>
  <c r="E265" i="1"/>
  <c r="D265" i="1"/>
  <c r="A265" i="1"/>
  <c r="E264" i="1"/>
  <c r="D264" i="1"/>
  <c r="A264" i="1"/>
  <c r="E263" i="1"/>
  <c r="D263" i="1"/>
  <c r="A263" i="1"/>
  <c r="E262" i="1"/>
  <c r="D262" i="1"/>
  <c r="A262" i="1"/>
  <c r="E261" i="1"/>
  <c r="D261" i="1"/>
  <c r="A261" i="1"/>
  <c r="E260" i="1"/>
  <c r="D260" i="1"/>
  <c r="A260" i="1"/>
  <c r="E259" i="1"/>
  <c r="D259" i="1"/>
  <c r="A259" i="1"/>
  <c r="E258" i="1"/>
  <c r="D258" i="1"/>
  <c r="A258" i="1"/>
  <c r="E257" i="1"/>
  <c r="D257" i="1"/>
  <c r="A257" i="1"/>
  <c r="E256" i="1"/>
  <c r="D256" i="1"/>
  <c r="A256" i="1"/>
  <c r="E255" i="1"/>
  <c r="D255" i="1"/>
  <c r="A255" i="1"/>
  <c r="E254" i="1"/>
  <c r="D254" i="1"/>
  <c r="A254" i="1"/>
  <c r="E253" i="1"/>
  <c r="D253" i="1"/>
  <c r="A253" i="1"/>
  <c r="E252" i="1"/>
  <c r="D252" i="1"/>
  <c r="A252" i="1"/>
  <c r="E251" i="1"/>
  <c r="D251" i="1"/>
  <c r="A251" i="1"/>
  <c r="E250" i="1"/>
  <c r="D250" i="1"/>
  <c r="A250" i="1"/>
  <c r="E249" i="1"/>
  <c r="D249" i="1"/>
  <c r="A249" i="1"/>
  <c r="E248" i="1"/>
  <c r="D248" i="1"/>
  <c r="A248" i="1"/>
  <c r="E247" i="1"/>
  <c r="D247" i="1"/>
  <c r="A247" i="1"/>
  <c r="E246" i="1"/>
  <c r="D246" i="1"/>
  <c r="A246" i="1"/>
  <c r="E245" i="1"/>
  <c r="D245" i="1"/>
  <c r="A245" i="1"/>
  <c r="E244" i="1"/>
  <c r="D244" i="1"/>
  <c r="A244" i="1"/>
  <c r="E243" i="1"/>
  <c r="D243" i="1"/>
  <c r="A243" i="1"/>
  <c r="E242" i="1"/>
  <c r="D242" i="1"/>
  <c r="A242" i="1"/>
  <c r="E241" i="1"/>
  <c r="D241" i="1"/>
  <c r="A241" i="1"/>
  <c r="E240" i="1"/>
  <c r="D240" i="1"/>
  <c r="A240" i="1"/>
  <c r="E239" i="1"/>
  <c r="D239" i="1"/>
  <c r="A239" i="1"/>
  <c r="E238" i="1"/>
  <c r="D238" i="1"/>
  <c r="A238" i="1"/>
  <c r="E237" i="1"/>
  <c r="D237" i="1"/>
  <c r="A237" i="1"/>
  <c r="E236" i="1"/>
  <c r="D236" i="1"/>
  <c r="A236" i="1"/>
  <c r="E235" i="1"/>
  <c r="D235" i="1"/>
  <c r="A235" i="1"/>
  <c r="E234" i="1"/>
  <c r="D234" i="1"/>
  <c r="A234" i="1"/>
  <c r="E233" i="1"/>
  <c r="D233" i="1"/>
  <c r="A233" i="1"/>
  <c r="E232" i="1"/>
  <c r="D232" i="1"/>
  <c r="A232" i="1"/>
  <c r="E231" i="1"/>
  <c r="D231" i="1"/>
  <c r="A231" i="1"/>
  <c r="E230" i="1"/>
  <c r="D230" i="1"/>
  <c r="A230" i="1"/>
  <c r="E229" i="1"/>
  <c r="D229" i="1"/>
  <c r="A229" i="1"/>
  <c r="E228" i="1"/>
  <c r="D228" i="1"/>
  <c r="A228" i="1"/>
  <c r="E227" i="1"/>
  <c r="D227" i="1"/>
  <c r="A227" i="1"/>
  <c r="E226" i="1"/>
  <c r="D226" i="1"/>
  <c r="A226" i="1"/>
  <c r="E225" i="1"/>
  <c r="D225" i="1"/>
  <c r="A225" i="1"/>
  <c r="E224" i="1"/>
  <c r="D224" i="1"/>
  <c r="A224" i="1"/>
  <c r="E223" i="1"/>
  <c r="D223" i="1"/>
  <c r="A223" i="1"/>
  <c r="E222" i="1"/>
  <c r="D222" i="1"/>
  <c r="A222" i="1"/>
  <c r="E221" i="1"/>
  <c r="D221" i="1"/>
  <c r="A221" i="1"/>
  <c r="E220" i="1"/>
  <c r="D220" i="1"/>
  <c r="A220" i="1"/>
  <c r="E219" i="1"/>
  <c r="D219" i="1"/>
  <c r="A219" i="1"/>
  <c r="E218" i="1"/>
  <c r="D218" i="1"/>
  <c r="A218" i="1"/>
  <c r="E217" i="1"/>
  <c r="D217" i="1"/>
  <c r="A217" i="1"/>
  <c r="E216" i="1"/>
  <c r="D216" i="1"/>
  <c r="A216" i="1"/>
  <c r="E215" i="1"/>
  <c r="D215" i="1"/>
  <c r="A215" i="1"/>
  <c r="E214" i="1"/>
  <c r="D214" i="1"/>
  <c r="A214" i="1"/>
  <c r="E213" i="1"/>
  <c r="D213" i="1"/>
  <c r="A213" i="1"/>
  <c r="E212" i="1"/>
  <c r="D212" i="1"/>
  <c r="A212" i="1"/>
  <c r="E211" i="1"/>
  <c r="D211" i="1"/>
  <c r="A211" i="1"/>
  <c r="E210" i="1"/>
  <c r="D210" i="1"/>
  <c r="A210" i="1"/>
  <c r="E209" i="1"/>
  <c r="D209" i="1"/>
  <c r="A209" i="1"/>
  <c r="E208" i="1"/>
  <c r="D208" i="1"/>
  <c r="A208" i="1"/>
  <c r="E207" i="1"/>
  <c r="D207" i="1"/>
  <c r="A207" i="1"/>
  <c r="E206" i="1"/>
  <c r="D206" i="1"/>
  <c r="A206" i="1"/>
  <c r="E205" i="1"/>
  <c r="D205" i="1"/>
  <c r="A205" i="1"/>
  <c r="E204" i="1"/>
  <c r="D204" i="1"/>
  <c r="A204" i="1"/>
  <c r="E203" i="1"/>
  <c r="D203" i="1"/>
  <c r="A203" i="1"/>
  <c r="E202" i="1"/>
  <c r="D202" i="1"/>
  <c r="A202" i="1"/>
  <c r="E201" i="1"/>
  <c r="D201" i="1"/>
  <c r="A201" i="1"/>
  <c r="E200" i="1"/>
  <c r="D200" i="1"/>
  <c r="A200" i="1"/>
  <c r="E199" i="1"/>
  <c r="D199" i="1"/>
  <c r="A199" i="1"/>
  <c r="E198" i="1"/>
  <c r="D198" i="1"/>
  <c r="A198" i="1"/>
  <c r="E197" i="1"/>
  <c r="D197" i="1"/>
  <c r="A197" i="1"/>
  <c r="E196" i="1"/>
  <c r="D196" i="1"/>
  <c r="A196" i="1"/>
  <c r="E195" i="1"/>
  <c r="D195" i="1"/>
  <c r="A195" i="1"/>
  <c r="E194" i="1"/>
  <c r="D194" i="1"/>
  <c r="A194" i="1"/>
  <c r="E193" i="1"/>
  <c r="D193" i="1"/>
  <c r="A193" i="1"/>
  <c r="E192" i="1"/>
  <c r="D192" i="1"/>
  <c r="A192" i="1"/>
  <c r="E191" i="1"/>
  <c r="D191" i="1"/>
  <c r="A191" i="1"/>
  <c r="E190" i="1"/>
  <c r="D190" i="1"/>
  <c r="A190" i="1"/>
  <c r="E189" i="1"/>
  <c r="D189" i="1"/>
  <c r="A189" i="1"/>
  <c r="E188" i="1"/>
  <c r="D188" i="1"/>
  <c r="A188" i="1"/>
  <c r="E187" i="1"/>
  <c r="D187" i="1"/>
  <c r="A187" i="1"/>
  <c r="E186" i="1"/>
  <c r="D186" i="1"/>
  <c r="A186" i="1"/>
  <c r="E185" i="1"/>
  <c r="D185" i="1"/>
  <c r="A185" i="1"/>
  <c r="E184" i="1"/>
  <c r="D184" i="1"/>
  <c r="A184" i="1"/>
  <c r="E183" i="1"/>
  <c r="D183" i="1"/>
  <c r="A183" i="1"/>
  <c r="E182" i="1"/>
  <c r="D182" i="1"/>
  <c r="A182" i="1"/>
  <c r="E181" i="1"/>
  <c r="D181" i="1"/>
  <c r="A181" i="1"/>
  <c r="E180" i="1"/>
  <c r="D180" i="1"/>
  <c r="A180" i="1"/>
  <c r="E179" i="1"/>
  <c r="D179" i="1"/>
  <c r="A179" i="1"/>
  <c r="E178" i="1"/>
  <c r="D178" i="1"/>
  <c r="A178" i="1"/>
  <c r="E177" i="1"/>
  <c r="D177" i="1"/>
  <c r="A177" i="1"/>
  <c r="E176" i="1"/>
  <c r="D176" i="1"/>
  <c r="A176" i="1"/>
  <c r="E175" i="1"/>
  <c r="D175" i="1"/>
  <c r="A175" i="1"/>
  <c r="E174" i="1"/>
  <c r="D174" i="1"/>
  <c r="A174" i="1"/>
  <c r="E173" i="1"/>
  <c r="D173" i="1"/>
  <c r="A173" i="1"/>
  <c r="E172" i="1"/>
  <c r="D172" i="1"/>
  <c r="A172" i="1"/>
  <c r="E171" i="1"/>
  <c r="D171" i="1"/>
  <c r="A171" i="1"/>
  <c r="E170" i="1"/>
  <c r="D170" i="1"/>
  <c r="A170" i="1"/>
  <c r="E169" i="1"/>
  <c r="D169" i="1"/>
  <c r="A169" i="1"/>
  <c r="E168" i="1"/>
  <c r="D168" i="1"/>
  <c r="A168" i="1"/>
  <c r="E167" i="1"/>
  <c r="D167" i="1"/>
  <c r="A167" i="1"/>
  <c r="E166" i="1"/>
  <c r="D166" i="1"/>
  <c r="A166" i="1"/>
  <c r="E165" i="1"/>
  <c r="D165" i="1"/>
  <c r="A165" i="1"/>
  <c r="E164" i="1"/>
  <c r="D164" i="1"/>
  <c r="A164" i="1"/>
  <c r="E163" i="1"/>
  <c r="D163" i="1"/>
  <c r="A163" i="1"/>
  <c r="E162" i="1"/>
  <c r="D162" i="1"/>
  <c r="A162" i="1"/>
  <c r="E161" i="1"/>
  <c r="D161" i="1"/>
  <c r="A161" i="1"/>
  <c r="E160" i="1"/>
  <c r="D160" i="1"/>
  <c r="A160" i="1"/>
  <c r="E159" i="1"/>
  <c r="D159" i="1"/>
  <c r="A159" i="1"/>
  <c r="E158" i="1"/>
  <c r="D158" i="1"/>
  <c r="A158" i="1"/>
  <c r="E157" i="1"/>
  <c r="D157" i="1"/>
  <c r="A157" i="1"/>
  <c r="E156" i="1"/>
  <c r="D156" i="1"/>
  <c r="A156" i="1"/>
  <c r="E155" i="1"/>
  <c r="D155" i="1"/>
  <c r="A155" i="1"/>
  <c r="E154" i="1"/>
  <c r="D154" i="1"/>
  <c r="A154" i="1"/>
  <c r="E153" i="1"/>
  <c r="D153" i="1"/>
  <c r="A153" i="1"/>
  <c r="E152" i="1"/>
  <c r="D152" i="1"/>
  <c r="A152" i="1"/>
  <c r="E151" i="1"/>
  <c r="D151" i="1"/>
  <c r="A151" i="1"/>
  <c r="E150" i="1"/>
  <c r="D150" i="1"/>
  <c r="A150" i="1"/>
  <c r="E149" i="1"/>
  <c r="D149" i="1"/>
  <c r="A149" i="1"/>
  <c r="E148" i="1"/>
  <c r="D148" i="1"/>
  <c r="A148" i="1"/>
  <c r="E147" i="1"/>
  <c r="D147" i="1"/>
  <c r="A147" i="1"/>
  <c r="E146" i="1"/>
  <c r="D146" i="1"/>
  <c r="A146" i="1"/>
  <c r="E145" i="1"/>
  <c r="D145" i="1"/>
  <c r="A145" i="1"/>
  <c r="E144" i="1"/>
  <c r="D144" i="1"/>
  <c r="A144" i="1"/>
  <c r="E143" i="1"/>
  <c r="D143" i="1"/>
  <c r="A143" i="1"/>
  <c r="E142" i="1"/>
  <c r="D142" i="1"/>
  <c r="A142" i="1"/>
  <c r="E141" i="1"/>
  <c r="D141" i="1"/>
  <c r="A141" i="1"/>
  <c r="E140" i="1"/>
  <c r="D140" i="1"/>
  <c r="A140" i="1"/>
  <c r="E139" i="1"/>
  <c r="D139" i="1"/>
  <c r="A139" i="1"/>
  <c r="E138" i="1"/>
  <c r="D138" i="1"/>
  <c r="A138" i="1"/>
  <c r="E137" i="1"/>
  <c r="D137" i="1"/>
  <c r="A137" i="1"/>
  <c r="E136" i="1"/>
  <c r="D136" i="1"/>
  <c r="A136" i="1"/>
  <c r="E135" i="1"/>
  <c r="D135" i="1"/>
  <c r="A135" i="1"/>
  <c r="E134" i="1"/>
  <c r="D134" i="1"/>
  <c r="A134" i="1"/>
  <c r="E133" i="1"/>
  <c r="D133" i="1"/>
  <c r="A133" i="1"/>
  <c r="E132" i="1"/>
  <c r="D132" i="1"/>
  <c r="A132" i="1"/>
  <c r="E131" i="1"/>
  <c r="D131" i="1"/>
  <c r="A131" i="1"/>
  <c r="E130" i="1"/>
  <c r="D130" i="1"/>
  <c r="A130" i="1"/>
  <c r="E129" i="1"/>
  <c r="D129" i="1"/>
  <c r="A129" i="1"/>
  <c r="E128" i="1"/>
  <c r="D128" i="1"/>
  <c r="A128" i="1"/>
  <c r="E127" i="1"/>
  <c r="D127" i="1"/>
  <c r="A127" i="1"/>
  <c r="E126" i="1"/>
  <c r="D126" i="1"/>
  <c r="A126" i="1"/>
  <c r="E125" i="1"/>
  <c r="D125" i="1"/>
  <c r="A125" i="1"/>
  <c r="E124" i="1"/>
  <c r="D124" i="1"/>
  <c r="A124" i="1"/>
  <c r="E123" i="1"/>
  <c r="D123" i="1"/>
  <c r="A123" i="1"/>
  <c r="E122" i="1"/>
  <c r="D122" i="1"/>
  <c r="A122" i="1"/>
  <c r="E121" i="1"/>
  <c r="D121" i="1"/>
  <c r="A121" i="1"/>
  <c r="E120" i="1"/>
  <c r="D120" i="1"/>
  <c r="A120" i="1"/>
  <c r="E119" i="1"/>
  <c r="D119" i="1"/>
  <c r="A119" i="1"/>
  <c r="E118" i="1"/>
  <c r="D118" i="1"/>
  <c r="A118" i="1"/>
  <c r="E117" i="1"/>
  <c r="D117" i="1"/>
  <c r="A117" i="1"/>
  <c r="E116" i="1"/>
  <c r="D116" i="1"/>
  <c r="A116" i="1"/>
  <c r="E115" i="1"/>
  <c r="D115" i="1"/>
  <c r="A115" i="1"/>
  <c r="E114" i="1"/>
  <c r="D114" i="1"/>
  <c r="A114" i="1"/>
  <c r="E113" i="1"/>
  <c r="D113" i="1"/>
  <c r="A113" i="1"/>
  <c r="E112" i="1"/>
  <c r="D112" i="1"/>
  <c r="A112" i="1"/>
  <c r="E111" i="1"/>
  <c r="D111" i="1"/>
  <c r="A111" i="1"/>
  <c r="E110" i="1"/>
  <c r="D110" i="1"/>
  <c r="A110" i="1"/>
  <c r="E109" i="1"/>
  <c r="D109" i="1"/>
  <c r="A109" i="1"/>
  <c r="E108" i="1"/>
  <c r="D108" i="1"/>
  <c r="A108" i="1"/>
  <c r="E107" i="1"/>
  <c r="D107" i="1"/>
  <c r="A107" i="1"/>
  <c r="E106" i="1"/>
  <c r="D106" i="1"/>
  <c r="A106" i="1"/>
  <c r="E105" i="1"/>
  <c r="D105" i="1"/>
  <c r="A105" i="1"/>
  <c r="E104" i="1"/>
  <c r="D104" i="1"/>
  <c r="A104" i="1"/>
  <c r="E103" i="1"/>
  <c r="D103" i="1"/>
  <c r="A103" i="1"/>
  <c r="E102" i="1"/>
  <c r="D102" i="1"/>
  <c r="A102" i="1"/>
  <c r="E101" i="1"/>
  <c r="D101" i="1"/>
  <c r="A101" i="1"/>
  <c r="E100" i="1"/>
  <c r="D100" i="1"/>
  <c r="A100" i="1"/>
  <c r="E99" i="1"/>
  <c r="D99" i="1"/>
  <c r="A99" i="1"/>
  <c r="E98" i="1"/>
  <c r="D98" i="1"/>
  <c r="A98" i="1"/>
  <c r="E97" i="1"/>
  <c r="D97" i="1"/>
  <c r="A97" i="1"/>
  <c r="E96" i="1"/>
  <c r="D96" i="1"/>
  <c r="A96" i="1"/>
  <c r="E95" i="1"/>
  <c r="D95" i="1"/>
  <c r="A95" i="1"/>
  <c r="E94" i="1"/>
  <c r="D94" i="1"/>
  <c r="A94" i="1"/>
  <c r="E93" i="1"/>
  <c r="D93" i="1"/>
  <c r="A93" i="1"/>
  <c r="E92" i="1"/>
  <c r="D92" i="1"/>
  <c r="A92" i="1"/>
  <c r="E91" i="1"/>
  <c r="D91" i="1"/>
  <c r="A91" i="1"/>
  <c r="E90" i="1"/>
  <c r="D90" i="1"/>
  <c r="A90" i="1"/>
  <c r="E89" i="1"/>
  <c r="D89" i="1"/>
  <c r="A89" i="1"/>
  <c r="E88" i="1"/>
  <c r="D88" i="1"/>
  <c r="A88" i="1"/>
  <c r="E87" i="1"/>
  <c r="D87" i="1"/>
  <c r="A87" i="1"/>
  <c r="E86" i="1"/>
  <c r="D86" i="1"/>
  <c r="A86" i="1"/>
  <c r="E85" i="1"/>
  <c r="D85" i="1"/>
  <c r="A85" i="1"/>
  <c r="E84" i="1"/>
  <c r="D84" i="1"/>
  <c r="A84" i="1"/>
  <c r="E83" i="1"/>
  <c r="D83" i="1"/>
  <c r="A83" i="1"/>
  <c r="E82" i="1"/>
  <c r="D82" i="1"/>
  <c r="A82" i="1"/>
  <c r="E81" i="1"/>
  <c r="D81" i="1"/>
  <c r="A81" i="1"/>
  <c r="E80" i="1"/>
  <c r="D80" i="1"/>
  <c r="A80" i="1"/>
  <c r="E79" i="1"/>
  <c r="D79" i="1"/>
  <c r="A79" i="1"/>
  <c r="E78" i="1"/>
  <c r="D78" i="1"/>
  <c r="A78" i="1"/>
  <c r="E77" i="1"/>
  <c r="D77" i="1"/>
  <c r="A77" i="1"/>
  <c r="E76" i="1"/>
  <c r="D76" i="1"/>
  <c r="A76" i="1"/>
  <c r="E75" i="1"/>
  <c r="D75" i="1"/>
  <c r="A75" i="1"/>
  <c r="E74" i="1"/>
  <c r="D74" i="1"/>
  <c r="A74" i="1"/>
  <c r="E73" i="1"/>
  <c r="D73" i="1"/>
  <c r="A73" i="1"/>
  <c r="E72" i="1"/>
  <c r="D72" i="1"/>
  <c r="A72" i="1"/>
  <c r="E71" i="1"/>
  <c r="D71" i="1"/>
  <c r="A71" i="1"/>
  <c r="E70" i="1"/>
  <c r="D70" i="1"/>
  <c r="A70" i="1"/>
  <c r="E69" i="1"/>
  <c r="D69" i="1"/>
  <c r="A69" i="1"/>
  <c r="E68" i="1"/>
  <c r="D68" i="1"/>
  <c r="A68" i="1"/>
  <c r="E67" i="1"/>
  <c r="D67" i="1"/>
  <c r="A67" i="1"/>
  <c r="E66" i="1"/>
  <c r="D66" i="1"/>
  <c r="A66" i="1"/>
  <c r="E65" i="1"/>
  <c r="D65" i="1"/>
  <c r="A65" i="1"/>
  <c r="E64" i="1"/>
  <c r="D64" i="1"/>
  <c r="A64" i="1"/>
  <c r="E63" i="1"/>
  <c r="D63" i="1"/>
  <c r="A63" i="1"/>
  <c r="E62" i="1"/>
  <c r="D62" i="1"/>
  <c r="A62" i="1"/>
  <c r="E61" i="1"/>
  <c r="D61" i="1"/>
  <c r="A61" i="1"/>
  <c r="E60" i="1"/>
  <c r="D60" i="1"/>
  <c r="A60" i="1"/>
  <c r="E59" i="1"/>
  <c r="D59" i="1"/>
  <c r="A59" i="1"/>
  <c r="E58" i="1"/>
  <c r="D58" i="1"/>
  <c r="A58" i="1"/>
  <c r="E57" i="1"/>
  <c r="D57" i="1"/>
  <c r="A57" i="1"/>
  <c r="E56" i="1"/>
  <c r="D56" i="1"/>
  <c r="A56" i="1"/>
  <c r="E55" i="1"/>
  <c r="D55" i="1"/>
  <c r="A55" i="1"/>
  <c r="E54" i="1"/>
  <c r="D54" i="1"/>
  <c r="A54" i="1"/>
  <c r="E53" i="1"/>
  <c r="D53" i="1"/>
  <c r="A53" i="1"/>
  <c r="E52" i="1"/>
  <c r="D52" i="1"/>
  <c r="A52" i="1"/>
  <c r="E51" i="1"/>
  <c r="D51" i="1"/>
  <c r="A51" i="1"/>
  <c r="E50" i="1"/>
  <c r="D50" i="1"/>
  <c r="A50" i="1"/>
  <c r="E49" i="1"/>
  <c r="D49" i="1"/>
  <c r="A49" i="1"/>
  <c r="E48" i="1"/>
  <c r="D48" i="1"/>
  <c r="A48" i="1"/>
  <c r="E47" i="1"/>
  <c r="D47" i="1"/>
  <c r="A47" i="1"/>
  <c r="E46" i="1"/>
  <c r="D46" i="1"/>
  <c r="A46" i="1"/>
  <c r="E45" i="1"/>
  <c r="D45" i="1"/>
  <c r="A45" i="1"/>
  <c r="E44" i="1"/>
  <c r="D44" i="1"/>
  <c r="A44" i="1"/>
  <c r="E43" i="1"/>
  <c r="D43" i="1"/>
  <c r="A43" i="1"/>
  <c r="E42" i="1"/>
  <c r="D42" i="1"/>
  <c r="A42" i="1"/>
  <c r="E41" i="1"/>
  <c r="D41" i="1"/>
  <c r="A41" i="1"/>
  <c r="E40" i="1"/>
  <c r="D40" i="1"/>
  <c r="A40" i="1"/>
  <c r="E39" i="1"/>
  <c r="D39" i="1"/>
  <c r="A39" i="1"/>
  <c r="E38" i="1"/>
  <c r="D38" i="1"/>
  <c r="A38" i="1"/>
  <c r="E37" i="1"/>
  <c r="D37" i="1"/>
  <c r="A37" i="1"/>
  <c r="E36" i="1"/>
  <c r="D36" i="1"/>
  <c r="A36" i="1"/>
  <c r="E35" i="1"/>
  <c r="D35" i="1"/>
  <c r="A35" i="1"/>
  <c r="E34" i="1"/>
  <c r="D34" i="1"/>
  <c r="A34" i="1"/>
  <c r="E33" i="1"/>
  <c r="D33" i="1"/>
  <c r="A33" i="1"/>
  <c r="E32" i="1"/>
  <c r="D32" i="1"/>
  <c r="A32" i="1"/>
  <c r="E31" i="1"/>
  <c r="D31" i="1"/>
  <c r="A31" i="1"/>
  <c r="E30" i="1"/>
  <c r="D30" i="1"/>
  <c r="A30" i="1"/>
  <c r="E29" i="1"/>
  <c r="D29" i="1"/>
  <c r="A29" i="1"/>
  <c r="E28" i="1"/>
  <c r="D28" i="1"/>
  <c r="A28" i="1"/>
  <c r="E27" i="1"/>
  <c r="D27" i="1"/>
  <c r="A27" i="1"/>
  <c r="E26" i="1"/>
  <c r="D26" i="1"/>
  <c r="A26" i="1"/>
  <c r="E25" i="1"/>
  <c r="D25" i="1"/>
  <c r="A25" i="1"/>
  <c r="E24" i="1"/>
  <c r="D24" i="1"/>
  <c r="A24" i="1"/>
  <c r="E23" i="1"/>
  <c r="D23" i="1"/>
  <c r="A23" i="1"/>
  <c r="E22" i="1"/>
  <c r="D22" i="1"/>
  <c r="A22" i="1"/>
  <c r="E21" i="1"/>
  <c r="D21" i="1"/>
  <c r="A21" i="1"/>
  <c r="E20" i="1"/>
  <c r="D20" i="1"/>
  <c r="A20" i="1"/>
  <c r="E19" i="1"/>
  <c r="D19" i="1"/>
  <c r="A19" i="1"/>
  <c r="E18" i="1"/>
  <c r="D18" i="1"/>
  <c r="A18" i="1"/>
  <c r="E17" i="1"/>
  <c r="D17" i="1"/>
  <c r="A17" i="1"/>
  <c r="E16" i="1"/>
  <c r="D16" i="1"/>
  <c r="A16" i="1"/>
  <c r="E15" i="1"/>
  <c r="D15" i="1"/>
  <c r="A15" i="1"/>
  <c r="E14" i="1"/>
  <c r="D14" i="1"/>
  <c r="A14" i="1"/>
  <c r="E13" i="1"/>
  <c r="D13" i="1"/>
  <c r="A13" i="1"/>
  <c r="E12" i="1"/>
  <c r="D12" i="1"/>
  <c r="A12" i="1"/>
  <c r="E11" i="1"/>
  <c r="D11" i="1"/>
  <c r="A11" i="1"/>
  <c r="E10" i="1"/>
  <c r="D10" i="1"/>
  <c r="A10" i="1"/>
  <c r="E9" i="1"/>
  <c r="D9" i="1"/>
  <c r="A9" i="1"/>
  <c r="E8" i="1"/>
  <c r="D8" i="1"/>
  <c r="A8" i="1"/>
  <c r="E7" i="1"/>
  <c r="D7" i="1"/>
  <c r="A7" i="1"/>
  <c r="E6" i="1"/>
  <c r="D6" i="1"/>
  <c r="A6" i="1"/>
  <c r="E5" i="1"/>
  <c r="D5" i="1"/>
  <c r="A5" i="1"/>
  <c r="E4" i="1"/>
  <c r="D4" i="1"/>
  <c r="A4" i="1"/>
  <c r="E3" i="1"/>
  <c r="D3" i="1"/>
  <c r="A3" i="1"/>
  <c r="E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</rPr>
          <t>What would the price be for each rarity of this item?
	-BlueRazorFin</t>
        </r>
      </text>
    </comment>
  </commentList>
</comments>
</file>

<file path=xl/sharedStrings.xml><?xml version="1.0" encoding="utf-8"?>
<sst xmlns="http://schemas.openxmlformats.org/spreadsheetml/2006/main" count="7372" uniqueCount="1297">
  <si>
    <t>Item</t>
  </si>
  <si>
    <t>Sane Price</t>
  </si>
  <si>
    <t>DMPG Price</t>
  </si>
  <si>
    <t>DMG Price</t>
  </si>
  <si>
    <t>XGE Price</t>
  </si>
  <si>
    <t>Rarity</t>
  </si>
  <si>
    <t>Source</t>
  </si>
  <si>
    <t>Page</t>
  </si>
  <si>
    <t>Type</t>
  </si>
  <si>
    <t>Attunement</t>
  </si>
  <si>
    <t>Very Rare</t>
  </si>
  <si>
    <t>ID</t>
  </si>
  <si>
    <t>Wondrous Items</t>
  </si>
  <si>
    <t>No</t>
  </si>
  <si>
    <t>TCE</t>
  </si>
  <si>
    <t>Yes</t>
  </si>
  <si>
    <t>Rare</t>
  </si>
  <si>
    <t>EGW</t>
  </si>
  <si>
    <t>Weapons</t>
  </si>
  <si>
    <t>Uncommon</t>
  </si>
  <si>
    <t>DMG</t>
  </si>
  <si>
    <t>Armor</t>
  </si>
  <si>
    <t>Artifact</t>
  </si>
  <si>
    <t>MOoT</t>
  </si>
  <si>
    <t>Varies</t>
  </si>
  <si>
    <t>Ammunition</t>
  </si>
  <si>
    <t>Wondrous Items: Neck</t>
  </si>
  <si>
    <t>TYP</t>
  </si>
  <si>
    <t>TA</t>
  </si>
  <si>
    <t>Wondrous Item</t>
  </si>
  <si>
    <t>Shields</t>
  </si>
  <si>
    <t>Legendary</t>
  </si>
  <si>
    <t>BR</t>
  </si>
  <si>
    <t>EBR</t>
  </si>
  <si>
    <t>UA</t>
  </si>
  <si>
    <t>Common</t>
  </si>
  <si>
    <t>WGE</t>
  </si>
  <si>
    <t>XGE</t>
  </si>
  <si>
    <t>Wands</t>
  </si>
  <si>
    <t>WDH</t>
  </si>
  <si>
    <t>PA</t>
  </si>
  <si>
    <t>Rings</t>
  </si>
  <si>
    <t>Ring</t>
  </si>
  <si>
    <t>SKT</t>
  </si>
  <si>
    <t>BGA</t>
  </si>
  <si>
    <t>Wondrous Items: Waist</t>
  </si>
  <si>
    <t>DMM</t>
  </si>
  <si>
    <t>HDQ</t>
  </si>
  <si>
    <t>Wondrous Items: Eyes</t>
  </si>
  <si>
    <t>Staffs</t>
  </si>
  <si>
    <t>LLK</t>
  </si>
  <si>
    <t>Rods</t>
  </si>
  <si>
    <t>CS</t>
  </si>
  <si>
    <t>RT</t>
  </si>
  <si>
    <t>SDW</t>
  </si>
  <si>
    <t>Wondrous Items: Feet</t>
  </si>
  <si>
    <t>Potions &amp; Oils</t>
  </si>
  <si>
    <t>Wondrous Items: Arms &amp; Wrists</t>
  </si>
  <si>
    <t>Wondrous Items: Head</t>
  </si>
  <si>
    <t>Wondrous Items: Shoulders</t>
  </si>
  <si>
    <t>AI</t>
  </si>
  <si>
    <t>Wondrout Items</t>
  </si>
  <si>
    <t>GoS</t>
  </si>
  <si>
    <t>Wondrous Items: Hands</t>
  </si>
  <si>
    <t>Wondrous Items: Body</t>
  </si>
  <si>
    <t>OA</t>
  </si>
  <si>
    <t>LMP</t>
  </si>
  <si>
    <t>DC</t>
  </si>
  <si>
    <t>MTF</t>
  </si>
  <si>
    <t>GGR</t>
  </si>
  <si>
    <t>TH</t>
  </si>
  <si>
    <t>VGM</t>
  </si>
  <si>
    <t>Potion</t>
  </si>
  <si>
    <t>Items * 5</t>
  </si>
  <si>
    <t>Spell Scrolls</t>
  </si>
  <si>
    <t>Spell Gems</t>
  </si>
  <si>
    <t>HT</t>
  </si>
  <si>
    <t>Sources</t>
  </si>
  <si>
    <t>Abbrev</t>
  </si>
  <si>
    <t>Link</t>
  </si>
  <si>
    <t>Sane Magical Prices</t>
  </si>
  <si>
    <t>Sane</t>
  </si>
  <si>
    <t>https://drive.google.com/file/d/0B8XAiXpOfz9cMWt1RTBicmpmUDg/view</t>
  </si>
  <si>
    <t>Discerning Merchant's Price Guide v4</t>
  </si>
  <si>
    <t>DMPG</t>
  </si>
  <si>
    <t>https://www.dmsguild.com/product/205126/Discerning-Merchants-Price-Guide</t>
  </si>
  <si>
    <t>Acquisitions Incorporated</t>
  </si>
  <si>
    <t>Baldur's Gate: Descent into Avernus</t>
  </si>
  <si>
    <t>Basic Rules</t>
  </si>
  <si>
    <t>Curse of Strahd</t>
  </si>
  <si>
    <t>Divine Contention</t>
  </si>
  <si>
    <t>Dungeon Master's Guide</t>
  </si>
  <si>
    <t>https://www.dndbeyond.com/sources/dmg</t>
  </si>
  <si>
    <t>Eberron: Rising from the Last War</t>
  </si>
  <si>
    <t>Explorer's Guide To Wildemount</t>
  </si>
  <si>
    <t>Ghosts of Saltmarsh</t>
  </si>
  <si>
    <t>Guildmaster's Guide to Ravnica</t>
  </si>
  <si>
    <t>Hoard of the Dragon Queen</t>
  </si>
  <si>
    <t>Hunt for the Thessalhydra</t>
  </si>
  <si>
    <t>Icewind Dale: Rime of the Frostmaiden</t>
  </si>
  <si>
    <t>Lost Laboratory of Kwalish</t>
  </si>
  <si>
    <t>Lost Mine of Phandelver</t>
  </si>
  <si>
    <t>Monster Manual</t>
  </si>
  <si>
    <t>MM</t>
  </si>
  <si>
    <t>Mordenkainen's Tome of Foes</t>
  </si>
  <si>
    <t>Mythic Odysseys of Theros</t>
  </si>
  <si>
    <t>Out of the Abyss</t>
  </si>
  <si>
    <t>Princes of the Apocalypse</t>
  </si>
  <si>
    <t>Sleeping Dragon's Wake</t>
  </si>
  <si>
    <t>Storm King's Thunder</t>
  </si>
  <si>
    <t>Tales from the Yawning Portal</t>
  </si>
  <si>
    <t>Tasha's Cauldron of Everything</t>
  </si>
  <si>
    <t>The Rise of Tiamat</t>
  </si>
  <si>
    <t>Tomb of Annihilation</t>
  </si>
  <si>
    <t>Tomb of Horrors</t>
  </si>
  <si>
    <t>Unearthed Arcana</t>
  </si>
  <si>
    <t>Volo's Guide to Monsters</t>
  </si>
  <si>
    <t>Waterdeep: Dragon Heist</t>
  </si>
  <si>
    <t>Waterdeep: Dungeon of the Mad Mage</t>
  </si>
  <si>
    <t>Wayfinder's Guide to Eberron</t>
  </si>
  <si>
    <t>Xanathar's Guide to Everything</t>
  </si>
  <si>
    <t>Random Magic Shop (thanks neoporcupine!):</t>
  </si>
  <si>
    <t>https://docs.google.com/spreadsheets/d/1mNYNjwIlKG6Po2M2FoW9kWNATUf9DZ1bZ55ZvgQyywM/edit#gid=496727237</t>
  </si>
  <si>
    <t>Name</t>
  </si>
  <si>
    <t>GP</t>
  </si>
  <si>
    <t>LBS</t>
  </si>
  <si>
    <t>Attributes</t>
  </si>
  <si>
    <t>Notes</t>
  </si>
  <si>
    <t>Adventuring Gear</t>
  </si>
  <si>
    <t>Utility</t>
  </si>
  <si>
    <t>Combat, Damage, Utility</t>
  </si>
  <si>
    <t>Combat, Consumable, Damage</t>
  </si>
  <si>
    <t>Tool</t>
  </si>
  <si>
    <t>-</t>
  </si>
  <si>
    <t>Gemstone</t>
  </si>
  <si>
    <t>Holy Symbol</t>
  </si>
  <si>
    <t>Necrotic</t>
  </si>
  <si>
    <t>Firearms, Ranged Weapon</t>
  </si>
  <si>
    <t>Reload (2 shots)</t>
  </si>
  <si>
    <t>Healing, Utility</t>
  </si>
  <si>
    <t>Arcane Focus</t>
  </si>
  <si>
    <t>Combat, Damage</t>
  </si>
  <si>
    <t>Poison</t>
  </si>
  <si>
    <t>Consumable, Damage</t>
  </si>
  <si>
    <t>Container</t>
  </si>
  <si>
    <t>Instrument</t>
  </si>
  <si>
    <t>Combat, Control, Utility</t>
  </si>
  <si>
    <t>Cost x4, Weight x2</t>
  </si>
  <si>
    <t>Slashing</t>
  </si>
  <si>
    <t>Martial Melee Weapon</t>
  </si>
  <si>
    <t>Communication, Utility</t>
  </si>
  <si>
    <t>Exploration, Movement, Utility</t>
  </si>
  <si>
    <t>Social, Utility</t>
  </si>
  <si>
    <t>PIercing</t>
  </si>
  <si>
    <t>Martial Ranged Weapon</t>
  </si>
  <si>
    <t>Bludgeoning</t>
  </si>
  <si>
    <t>Simple Ranged Weapon</t>
  </si>
  <si>
    <t>AC 14</t>
  </si>
  <si>
    <t>Medium Armor</t>
  </si>
  <si>
    <t>Warding</t>
  </si>
  <si>
    <t>Equipment Pack</t>
  </si>
  <si>
    <t>Container, Exploration, Utility</t>
  </si>
  <si>
    <t>Combat, Damage, Movement</t>
  </si>
  <si>
    <t>Mount</t>
  </si>
  <si>
    <t>Speed 50 ft, Carrying Capacity 480 lbs</t>
  </si>
  <si>
    <t>Consumable, Exploration, Utility</t>
  </si>
  <si>
    <t>Vehicle (Land)</t>
  </si>
  <si>
    <t>Censer</t>
  </si>
  <si>
    <t>AC 16</t>
  </si>
  <si>
    <t>Heavy Armor</t>
  </si>
  <si>
    <t>AC 13</t>
  </si>
  <si>
    <t>Communication, Consumable, Utility</t>
  </si>
  <si>
    <t>Deception, Outerwear, Social</t>
  </si>
  <si>
    <t>Outerwear, Social</t>
  </si>
  <si>
    <t>Simple Melee Weapon</t>
  </si>
  <si>
    <t>Container, Utility</t>
  </si>
  <si>
    <t>Consumable, Damage, Debuff</t>
  </si>
  <si>
    <t>Piercing</t>
  </si>
  <si>
    <t>Exploration, Utility</t>
  </si>
  <si>
    <t>Social</t>
  </si>
  <si>
    <t>Container, Exploration, Outerwear, Social, Utility</t>
  </si>
  <si>
    <t>Deception, Utility</t>
  </si>
  <si>
    <t>Speed 40 ft., Carrying Capacity 420 lbs.</t>
  </si>
  <si>
    <t>Speed 40 ft., Carrying Capacity 540 lbs.</t>
  </si>
  <si>
    <t>Druidic Focus</t>
  </si>
  <si>
    <t>Component</t>
  </si>
  <si>
    <t>Speed 40 ft., Carrying Capacity 1320 lbs.</t>
  </si>
  <si>
    <t>Container, Deception, Exploration, Outerwear, Social, Utility</t>
  </si>
  <si>
    <t>Consumable, Utility</t>
  </si>
  <si>
    <t>Vehicle (Water)</t>
  </si>
  <si>
    <t>Speed 4 mph</t>
  </si>
  <si>
    <t>Combat, Control, Damage</t>
  </si>
  <si>
    <t>Combat, Control</t>
  </si>
  <si>
    <t>AC 15</t>
  </si>
  <si>
    <t>Combat, Healing</t>
  </si>
  <si>
    <t>AC 12</t>
  </si>
  <si>
    <t>Damage, Utility</t>
  </si>
  <si>
    <t>Communication, Consumable, Social, Utility</t>
  </si>
  <si>
    <t>Communication, Social, Utility</t>
  </si>
  <si>
    <t>Speed 1 mph</t>
  </si>
  <si>
    <t>Radiant</t>
  </si>
  <si>
    <t>Reload (50 shots)</t>
  </si>
  <si>
    <t>Reload (30 shots)</t>
  </si>
  <si>
    <t>AC 11</t>
  </si>
  <si>
    <t>Light Armor</t>
  </si>
  <si>
    <t>Utility, Warding</t>
  </si>
  <si>
    <t>Speed 3 mph</t>
  </si>
  <si>
    <t>Detection, Exploration, Utility</t>
  </si>
  <si>
    <t>Control, Utility</t>
  </si>
  <si>
    <t>Speed 40 ft., Carrying Capacity 195 lbs.</t>
  </si>
  <si>
    <t>Container, Control, Utility</t>
  </si>
  <si>
    <t>Consumable, Social, Utility</t>
  </si>
  <si>
    <t>Reload (15 shots)</t>
  </si>
  <si>
    <t>AC 18</t>
  </si>
  <si>
    <t>Combat, Combustable, Damage, Utility</t>
  </si>
  <si>
    <t xml:space="preserve"> </t>
  </si>
  <si>
    <t>Speed 40 ft., Carrying Capacity 225 lbs.</t>
  </si>
  <si>
    <t>Combat, Consumable, Healing</t>
  </si>
  <si>
    <t>Reload (6 shots)</t>
  </si>
  <si>
    <t>Speed 60 ft., Carrying Capacity 480 lbs.</t>
  </si>
  <si>
    <t>Reload (5 shots)</t>
  </si>
  <si>
    <t>Outerwear, Utility</t>
  </si>
  <si>
    <t>Speed 1.5 mph</t>
  </si>
  <si>
    <t>Saddle, Exotic</t>
  </si>
  <si>
    <t>Utility, Container</t>
  </si>
  <si>
    <t>Speed 2 mph</t>
  </si>
  <si>
    <t>Container, Social, Utility</t>
  </si>
  <si>
    <t>AC 2</t>
  </si>
  <si>
    <t>Shield</t>
  </si>
  <si>
    <t>Damage, Warding</t>
  </si>
  <si>
    <t>AC 17</t>
  </si>
  <si>
    <t>Exploration, Social, Utility</t>
  </si>
  <si>
    <t>Combat, Consumable, Control, Utility</t>
  </si>
  <si>
    <t>Combat, Damage, Exploration, Utility</t>
  </si>
  <si>
    <t>Consumable, Debuff, Utility</t>
  </si>
  <si>
    <t>Speed 60 ft., Carrying Capacity 540 lbs.</t>
  </si>
  <si>
    <t>2.5 mph</t>
  </si>
  <si>
    <t>Price</t>
  </si>
  <si>
    <t>Section</t>
  </si>
  <si>
    <t>Source:</t>
  </si>
  <si>
    <t>Aurora's Whole Realms Catalog</t>
  </si>
  <si>
    <t>Axe, Woodsman</t>
  </si>
  <si>
    <t>Auroras</t>
  </si>
  <si>
    <t>Ranger’s Field</t>
  </si>
  <si>
    <t>Hatchet</t>
  </si>
  <si>
    <t>Body Sleigh</t>
  </si>
  <si>
    <t>Cage, Fowlers’ Wooden</t>
  </si>
  <si>
    <t>Cage, Fowlers’ Brass</t>
  </si>
  <si>
    <t>Cording Mallet</t>
  </si>
  <si>
    <t>Dagger Boots</t>
  </si>
  <si>
    <t>Equipment Frame</t>
  </si>
  <si>
    <t>Field Glass</t>
  </si>
  <si>
    <t>Fishing Tackle</t>
  </si>
  <si>
    <t>Fowlers’ Snares, Small</t>
  </si>
  <si>
    <t>Fowlers’ Snares, Large</t>
  </si>
  <si>
    <t>Hunting Knives Set</t>
  </si>
  <si>
    <t>Hunting Trap, Rabbit</t>
  </si>
  <si>
    <t>Hunting Trap, Boar</t>
  </si>
  <si>
    <t>Hunting Trap, Bear</t>
  </si>
  <si>
    <t>Leash, Common Cat</t>
  </si>
  <si>
    <t>Leash, Small Dog</t>
  </si>
  <si>
    <t>Leash, Common Dog</t>
  </si>
  <si>
    <t>Leash, Wolf</t>
  </si>
  <si>
    <t>Leash, Dire Wolf</t>
  </si>
  <si>
    <t>Provisions Bag</t>
  </si>
  <si>
    <t>Rope Ladder (per 4’, 60 max)</t>
  </si>
  <si>
    <t>Saw, Folding</t>
  </si>
  <si>
    <t>Archery Target, 2’ diameter</t>
  </si>
  <si>
    <t>Archery Target, 1’ diameter</t>
  </si>
  <si>
    <t>Archery Target, Pair 1’ pivoting</t>
  </si>
  <si>
    <t>Tree Bed</t>
  </si>
  <si>
    <t>Tree Bed Roof</t>
  </si>
  <si>
    <t>Tree Seat</t>
  </si>
  <si>
    <t>Whistle/Animal Call</t>
  </si>
  <si>
    <t>Mini-Blade</t>
  </si>
  <si>
    <t>Thieves’ Corner</t>
  </si>
  <si>
    <t>Rosin Cube (100 uses)</t>
  </si>
  <si>
    <t>Thieves’ Powder (15 uses)</t>
  </si>
  <si>
    <t>Wired Cane, Ivory</t>
  </si>
  <si>
    <t>Wired Cane, Bronze</t>
  </si>
  <si>
    <t>Wired Cane, Oak</t>
  </si>
  <si>
    <t>Garotte</t>
  </si>
  <si>
    <t>Glass Cutter</t>
  </si>
  <si>
    <t>Hacksaw, Common</t>
  </si>
  <si>
    <t>Hacksaw, Superior</t>
  </si>
  <si>
    <t>Hinge-Removing Set</t>
  </si>
  <si>
    <t>Keymaking Set</t>
  </si>
  <si>
    <t>Lockpicks</t>
  </si>
  <si>
    <t>Sleep Gas, Small Flask</t>
  </si>
  <si>
    <t>Sleep Gas, Man-size Flask</t>
  </si>
  <si>
    <t>Sleep Gas, Large Flask</t>
  </si>
  <si>
    <t>Bamsmack</t>
  </si>
  <si>
    <t>Gigwhorls</t>
  </si>
  <si>
    <t>Silent Shoes</t>
  </si>
  <si>
    <t>Silk Bodysuit</t>
  </si>
  <si>
    <t>Gnomish Cloak, Small</t>
  </si>
  <si>
    <t>Gnomish Cloak, Large</t>
  </si>
  <si>
    <t>Tar Makeup (25 uses)</t>
  </si>
  <si>
    <t>Weaponblack (25 uses)</t>
  </si>
  <si>
    <t>Thieving Helmet</t>
  </si>
  <si>
    <t>Clamp Gauntlets</t>
  </si>
  <si>
    <t>Chisel Boots</t>
  </si>
  <si>
    <t>Climbing Irons</t>
  </si>
  <si>
    <t>Rope Set</t>
  </si>
  <si>
    <t>Spider Poles</t>
  </si>
  <si>
    <t>Bladeboots</t>
  </si>
  <si>
    <t>Earblade</t>
  </si>
  <si>
    <t>Files</t>
  </si>
  <si>
    <t>Masks</t>
  </si>
  <si>
    <t>Caltrops (100)</t>
  </si>
  <si>
    <t>Marbles (100)</t>
  </si>
  <si>
    <t>Aniseed (Vial)</t>
  </si>
  <si>
    <t>Snaptraps (100)</t>
  </si>
  <si>
    <t>Disappearing Ink</t>
  </si>
  <si>
    <t>Invisible Ink</t>
  </si>
  <si>
    <t>Disguise Kit</t>
  </si>
  <si>
    <t>Marked Card Deck</t>
  </si>
  <si>
    <t>Weighted Dice</t>
  </si>
  <si>
    <t>Pebbles and Shells</t>
  </si>
  <si>
    <t>Salves and Medicinals</t>
  </si>
  <si>
    <t>varies</t>
  </si>
  <si>
    <t>Bandore (Pandora)</t>
  </si>
  <si>
    <t>Bards’ Emporium</t>
  </si>
  <si>
    <t>Cittern</t>
  </si>
  <si>
    <t>Dulcimer</t>
  </si>
  <si>
    <t>Dulcimer (Half-size)</t>
  </si>
  <si>
    <t>Lute, Chitarrone</t>
  </si>
  <si>
    <t>Lute, Theorbo</t>
  </si>
  <si>
    <t>Lute, Mandora</t>
  </si>
  <si>
    <t>Lute, Common</t>
  </si>
  <si>
    <t>Mandolin</t>
  </si>
  <si>
    <t>Psaltery, Triangular</t>
  </si>
  <si>
    <t>Psaltery, Square</t>
  </si>
  <si>
    <t>Yarting</t>
  </si>
  <si>
    <t>Zither</t>
  </si>
  <si>
    <t>Harp, Wood, Full-size</t>
  </si>
  <si>
    <t>Harp, Wood, Half-scale</t>
  </si>
  <si>
    <t>Harp, Silver, Half-scale</t>
  </si>
  <si>
    <t>Harp, Wood, Quarter-scale</t>
  </si>
  <si>
    <t>Harp, Silver, Quarter-scale</t>
  </si>
  <si>
    <t>Lyre</t>
  </si>
  <si>
    <t>Harpsichord</t>
  </si>
  <si>
    <t>Violin</t>
  </si>
  <si>
    <t>Rebec</t>
  </si>
  <si>
    <t>Viol</t>
  </si>
  <si>
    <t>Birdpipe</t>
  </si>
  <si>
    <t>Fanfare Horn, Brass</t>
  </si>
  <si>
    <t>Horn</t>
  </si>
  <si>
    <t>Glaur, Silver</t>
  </si>
  <si>
    <t>Glaur, Electrum</t>
  </si>
  <si>
    <t>Glaur, Brass</t>
  </si>
  <si>
    <t>Hunting Horn, Wood</t>
  </si>
  <si>
    <t>Hunting Horn, Brass</t>
  </si>
  <si>
    <t>Hunting Horn, Shell</t>
  </si>
  <si>
    <t>Hunting Horn, Horn</t>
  </si>
  <si>
    <t>Longhorn, Treble</t>
  </si>
  <si>
    <t>Longhorn, Brass</t>
  </si>
  <si>
    <t>Longhorn, Silver</t>
  </si>
  <si>
    <t>Longhorn, Wood</t>
  </si>
  <si>
    <t>Longhorn, Bamboo</t>
  </si>
  <si>
    <t>Sackbut</t>
  </si>
  <si>
    <t>Shawm</t>
  </si>
  <si>
    <t>Shorthorn</t>
  </si>
  <si>
    <t>Songhorn</t>
  </si>
  <si>
    <t>Thelarr/Whistlecane, Single</t>
  </si>
  <si>
    <t>Thelarr/Whistlecane, Set</t>
  </si>
  <si>
    <t>Zulkoon</t>
  </si>
  <si>
    <t>Chimes, Full Rack</t>
  </si>
  <si>
    <t>Chimes, Hand-held</t>
  </si>
  <si>
    <t>Hand-Drum</t>
  </si>
  <si>
    <t>Rattle, Small</t>
  </si>
  <si>
    <t>Rattle, Moderate</t>
  </si>
  <si>
    <t>Rattle, Large</t>
  </si>
  <si>
    <t>Tantan</t>
  </si>
  <si>
    <t>Tocken</t>
  </si>
  <si>
    <t>Wargong</t>
  </si>
  <si>
    <t>Bamsmacks</t>
  </si>
  <si>
    <t>Smokers</t>
  </si>
  <si>
    <t>Bladders (5)</t>
  </si>
  <si>
    <t>Ladder of Elminster, 5’</t>
  </si>
  <si>
    <t>Ladder of Elminster, 8’</t>
  </si>
  <si>
    <t>Ladder of Elminster, 10’</t>
  </si>
  <si>
    <t>Jester Hat w/Bells</t>
  </si>
  <si>
    <t>Jester Collar w/Bells</t>
  </si>
  <si>
    <t>Jester Satin Shirt</t>
  </si>
  <si>
    <t>Jester Gloves, white</t>
  </si>
  <si>
    <t>Jester Pantaloons</t>
  </si>
  <si>
    <t>Jester Stockings</t>
  </si>
  <si>
    <t>Jester Shoes</t>
  </si>
  <si>
    <t>Jugglables, Leather Balls</t>
  </si>
  <si>
    <t>Jugglables, Bean-Bags</t>
  </si>
  <si>
    <t>Jugglables, Clubs</t>
  </si>
  <si>
    <t>Jugglables, Knives</t>
  </si>
  <si>
    <t>Jugglables, Plates</t>
  </si>
  <si>
    <t>Jugglables, Brass Stars</t>
  </si>
  <si>
    <t>Leaping Lever</t>
  </si>
  <si>
    <t>Masks, Spruce</t>
  </si>
  <si>
    <t>Masks, Black Pantomime</t>
  </si>
  <si>
    <t>Mask, Specialty</t>
  </si>
  <si>
    <t>Makeup</t>
  </si>
  <si>
    <t>Plate Spinner Pins</t>
  </si>
  <si>
    <t>Plate Spinner Plates, Wooden</t>
  </si>
  <si>
    <t>Plate Spinner Stand</t>
  </si>
  <si>
    <t>Marked Cards</t>
  </si>
  <si>
    <t>Cards Strung Together</t>
  </si>
  <si>
    <t>Hollow-Topped Hat</t>
  </si>
  <si>
    <t>Pocketed Scarves</t>
  </si>
  <si>
    <t>Foldable Cane</t>
  </si>
  <si>
    <t>Flowering Rods</t>
  </si>
  <si>
    <t>Retractable Knives</t>
  </si>
  <si>
    <t>Puppets/Marionettes</t>
  </si>
  <si>
    <t>Puppets, Silk Dragon</t>
  </si>
  <si>
    <t>Speaking Horn, Birchwood</t>
  </si>
  <si>
    <t>Speaking Horn, Leather</t>
  </si>
  <si>
    <t>Stilts, 1’</t>
  </si>
  <si>
    <t>Stilts, 2’</t>
  </si>
  <si>
    <t>Stilts, 4’</t>
  </si>
  <si>
    <t>Stilts, 8’</t>
  </si>
  <si>
    <t>Stilts, 12’</t>
  </si>
  <si>
    <t>Stilts, 20’</t>
  </si>
  <si>
    <t>Tightrope, Banded Steel</t>
  </si>
  <si>
    <t>Walking Ball</t>
  </si>
  <si>
    <t>Walking Wheel</t>
  </si>
  <si>
    <t>Altar Case, Spruce</t>
  </si>
  <si>
    <t>Priests’ Alcove</t>
  </si>
  <si>
    <t>Altar Case, Granite</t>
  </si>
  <si>
    <t>Altar Cloth, Linen</t>
  </si>
  <si>
    <t>Altar Cloth, Velvet</t>
  </si>
  <si>
    <t>Altar Cloth, Silk</t>
  </si>
  <si>
    <t>Altar Cloth, Gold Brocade</t>
  </si>
  <si>
    <t>Altar Cloth, Altar Case Size</t>
  </si>
  <si>
    <t>Aspergill, Gold</t>
  </si>
  <si>
    <t>Aspergill, Silver</t>
  </si>
  <si>
    <t>Brazier, Gold, Large</t>
  </si>
  <si>
    <t>Brazier, Gold, Medium</t>
  </si>
  <si>
    <t>Brazier, Silver, Large</t>
  </si>
  <si>
    <t>Brazier, Silver, Medium</t>
  </si>
  <si>
    <t>Brazier, Silver, Field</t>
  </si>
  <si>
    <t>Brazier, Bronze, Large</t>
  </si>
  <si>
    <t>Brazier, Bronze, Medium</t>
  </si>
  <si>
    <t>Brazier, Bronze, Field</t>
  </si>
  <si>
    <t>Candle, 1-6’, per foot</t>
  </si>
  <si>
    <t>Candle, 8-hour vigil</t>
  </si>
  <si>
    <t>Candle, 12-hour</t>
  </si>
  <si>
    <t>Candlestick, Gold</t>
  </si>
  <si>
    <t>Candlestick, Silver</t>
  </si>
  <si>
    <t>Candelabra, 6 candle, Gold</t>
  </si>
  <si>
    <t>Candelabra, 6 candle, Silver</t>
  </si>
  <si>
    <t>Candelabra, 12 candle, Gold</t>
  </si>
  <si>
    <t>Candelabra, 12 candle, Silver</t>
  </si>
  <si>
    <t>Candle Hood, Gold</t>
  </si>
  <si>
    <t>Candle Hood, Silver</t>
  </si>
  <si>
    <t>Censer, Gold</t>
  </si>
  <si>
    <t>Censer, Silver</t>
  </si>
  <si>
    <t>Censer, Brass</t>
  </si>
  <si>
    <t>Holy Symbol, Gold</t>
  </si>
  <si>
    <t>Holy Symbol, Silver</t>
  </si>
  <si>
    <t>Holy Symbol, Bronze</t>
  </si>
  <si>
    <t>Razor and Cap</t>
  </si>
  <si>
    <t>Snuffing Bell</t>
  </si>
  <si>
    <t>Incense, Air, 12 sticks</t>
  </si>
  <si>
    <t>Incense, Chance, 12 sticks</t>
  </si>
  <si>
    <t>Incense, Charisma, 12 sticks</t>
  </si>
  <si>
    <t>Incense, Constitution, 12 sticks</t>
  </si>
  <si>
    <t>Incense, Dexterity, 12 sticks</t>
  </si>
  <si>
    <t>Incense, Divination, 12 sticks</t>
  </si>
  <si>
    <t>Incense, Dream, 12 sticks</t>
  </si>
  <si>
    <t>Incense, Earth, 12 sticks</t>
  </si>
  <si>
    <t>Incense, Fire, 12 sticks</t>
  </si>
  <si>
    <t>Incense, General, 12 sticks</t>
  </si>
  <si>
    <t>Incense, Healing, 12 sticks</t>
  </si>
  <si>
    <t>Incense, Honors, 12 sticks</t>
  </si>
  <si>
    <t>Incense, Intelligence, 12 sticks</t>
  </si>
  <si>
    <t>Incense, Love, 12 sticks</t>
  </si>
  <si>
    <t>Incense, Lycanthropy, 12 sticks</t>
  </si>
  <si>
    <t>Incense, Protection, 12 sticks</t>
  </si>
  <si>
    <t>Incense, Psionic, 12 sticks</t>
  </si>
  <si>
    <t>Incense, Purification, 12 sticks</t>
  </si>
  <si>
    <t>Incense, Rain, 12 sticks</t>
  </si>
  <si>
    <t>Incense, Strength, 12 sticks</t>
  </si>
  <si>
    <t>Incense, Study, 12 sticks</t>
  </si>
  <si>
    <t>Incense, Temple, 12 sticks</t>
  </si>
  <si>
    <t>Incense, Vision, 12 sticks</t>
  </si>
  <si>
    <t>Incense, Water, 12 sticks</t>
  </si>
  <si>
    <t>Incense, Wisdom, 12 sticks</t>
  </si>
  <si>
    <t>Spell Components</t>
  </si>
  <si>
    <t>Alembic</t>
  </si>
  <si>
    <t>Wizards’ Laboratory</t>
  </si>
  <si>
    <t>Apron, Stain/Acid/Fire</t>
  </si>
  <si>
    <t>Apron, Beard Pocket/Hood</t>
  </si>
  <si>
    <t>Astrolabe</t>
  </si>
  <si>
    <t>Armillary Sphere</t>
  </si>
  <si>
    <t>Bag, Tea</t>
  </si>
  <si>
    <t>Bag, Hand</t>
  </si>
  <si>
    <t>Bag, Loaf</t>
  </si>
  <si>
    <t>Bag, Flour</t>
  </si>
  <si>
    <t>Bag, Grain</t>
  </si>
  <si>
    <t>Balance</t>
  </si>
  <si>
    <t>Beaker, Small</t>
  </si>
  <si>
    <t>Beaker, Medium</t>
  </si>
  <si>
    <t>Beaker, Large</t>
  </si>
  <si>
    <t>Glass Tubing, 2’</t>
  </si>
  <si>
    <t>Distilling Coil</t>
  </si>
  <si>
    <t>Cork Stopper</t>
  </si>
  <si>
    <t>Cork Stopper, drilled</t>
  </si>
  <si>
    <t>Cork Connector</t>
  </si>
  <si>
    <t>Bellows, Small</t>
  </si>
  <si>
    <t>Bellows, Large</t>
  </si>
  <si>
    <t>Brazier, Bronze, Small</t>
  </si>
  <si>
    <t>Burner, Wax</t>
  </si>
  <si>
    <t>Burette w/Stopper &amp; Stand</t>
  </si>
  <si>
    <t>Lab Cabinets and Tables</t>
  </si>
  <si>
    <t>Centrifuge</t>
  </si>
  <si>
    <t>Clay, 1 lbs</t>
  </si>
  <si>
    <t>Coal, Anthracite, 1 lbs</t>
  </si>
  <si>
    <t>Coal, Bituminous, 20 lbs</t>
  </si>
  <si>
    <t>Dissection Instrument Kit</t>
  </si>
  <si>
    <t>Easel</t>
  </si>
  <si>
    <t>File set</t>
  </si>
  <si>
    <t>Filter, Straw, 1’ sq.</t>
  </si>
  <si>
    <t>Filter, Linen, 1’ sq.</t>
  </si>
  <si>
    <t>Filter, Silk, 1’ sq.</t>
  </si>
  <si>
    <t>Gloves, Canvas</t>
  </si>
  <si>
    <t>Gloves, Leather</t>
  </si>
  <si>
    <t>Heat Mat</t>
  </si>
  <si>
    <t>Heat Mat, Superior</t>
  </si>
  <si>
    <t>Time Glass, Half-Minute</t>
  </si>
  <si>
    <t>Time Glass, Minute</t>
  </si>
  <si>
    <t>Time Glass, Five Minute</t>
  </si>
  <si>
    <t>Time Glass, Ten Minute</t>
  </si>
  <si>
    <t>Time Glass, Hour</t>
  </si>
  <si>
    <t>Time Glass, Two Hour</t>
  </si>
  <si>
    <t>Ice Chest</t>
  </si>
  <si>
    <t>Ice, 1 lbs</t>
  </si>
  <si>
    <t>Jar, 6 oz.</t>
  </si>
  <si>
    <t>Jar, 12 oz.</t>
  </si>
  <si>
    <t>Jar, quart</t>
  </si>
  <si>
    <t>Jar, 1/2 gallon</t>
  </si>
  <si>
    <t>Jar, gallon</t>
  </si>
  <si>
    <t>Jar, 2 gallon</t>
  </si>
  <si>
    <t>Jar, 5 gallon</t>
  </si>
  <si>
    <t>Jar, 10 gallon</t>
  </si>
  <si>
    <t>Magnet, 1”</t>
  </si>
  <si>
    <t>Magnet, 2”</t>
  </si>
  <si>
    <t>Magnet, 3”</t>
  </si>
  <si>
    <t>Magnifying Lens</t>
  </si>
  <si>
    <t>Monocle</t>
  </si>
  <si>
    <t>Spectacles</t>
  </si>
  <si>
    <t>Oven</t>
  </si>
  <si>
    <t>Kiln</t>
  </si>
  <si>
    <t>Papyrus Pad, 25 sheets</t>
  </si>
  <si>
    <t>Pestle and Mortar, 4 oz.</t>
  </si>
  <si>
    <t>Pestle and Mortar, 6 oz.</t>
  </si>
  <si>
    <t>Quern</t>
  </si>
  <si>
    <t>Vial Rack, Wood, 6 vials</t>
  </si>
  <si>
    <t>Beaker Stand, Metal</t>
  </si>
  <si>
    <t>Heating Stand</t>
  </si>
  <si>
    <t>Retort, 5 oz</t>
  </si>
  <si>
    <t>Retort, 12 oz</t>
  </si>
  <si>
    <t>Retort, quart</t>
  </si>
  <si>
    <t>Glass Rod, Small</t>
  </si>
  <si>
    <t>Glass Rod, Medium</t>
  </si>
  <si>
    <t>Glass Rod, Large</t>
  </si>
  <si>
    <t>Slate, 1’ sq.</t>
  </si>
  <si>
    <t>Slate, 10’x6’</t>
  </si>
  <si>
    <t>Chalk, stick</t>
  </si>
  <si>
    <t>Chalk, 12 sticks</t>
  </si>
  <si>
    <t>Chalk, Red or Yellow, 1 stick</t>
  </si>
  <si>
    <t>Chalk, Red or Yellow, 12 sticks</t>
  </si>
  <si>
    <t>Sparker</t>
  </si>
  <si>
    <t>Sponge, Small</t>
  </si>
  <si>
    <t>Sponge, Medium</t>
  </si>
  <si>
    <t>Sponge, Large</t>
  </si>
  <si>
    <t>String, 50’</t>
  </si>
  <si>
    <t>String, Flaxen, 50’</t>
  </si>
  <si>
    <t>Tongs, Small</t>
  </si>
  <si>
    <t>Tongs, Large</t>
  </si>
  <si>
    <t>Vent</t>
  </si>
  <si>
    <t>Water Reservoir, 20 gallon</t>
  </si>
  <si>
    <t>Water Reservoir, 25 gallon</t>
  </si>
  <si>
    <t>Water Reservoir, 50 gallon</t>
  </si>
  <si>
    <t>Billhook</t>
  </si>
  <si>
    <t>Laborers’ List</t>
  </si>
  <si>
    <t>Harness, Carriage, 1 horse</t>
  </si>
  <si>
    <t>Harness, Carriage, 2 horse</t>
  </si>
  <si>
    <t>Harness, Carriage, 4 horse</t>
  </si>
  <si>
    <t>Harness, Plow, 1 horse</t>
  </si>
  <si>
    <t>Harness, Plow, 2 horse</t>
  </si>
  <si>
    <t>Yoke, 1 ox</t>
  </si>
  <si>
    <t>Yoke, 2 oxen</t>
  </si>
  <si>
    <t>Yoke, newfangled, 1 ox</t>
  </si>
  <si>
    <t>Yoke, newfangled, 2 oxen</t>
  </si>
  <si>
    <t>Hoe, Iron</t>
  </si>
  <si>
    <t>Hoe, Steel</t>
  </si>
  <si>
    <t>Mallet, 20 lbs</t>
  </si>
  <si>
    <t>Mallet, 30 lbs</t>
  </si>
  <si>
    <t>Pick</t>
  </si>
  <si>
    <t>Pitchfork, 3 Pronged, Maple</t>
  </si>
  <si>
    <t>Pitchfork, 4 Pronged, Steel</t>
  </si>
  <si>
    <t>Plow, Small</t>
  </si>
  <si>
    <t>Plow, Large</t>
  </si>
  <si>
    <t>Rake, Bamboo</t>
  </si>
  <si>
    <t>Rake, Twig</t>
  </si>
  <si>
    <t>Reaver</t>
  </si>
  <si>
    <t>Scythe</t>
  </si>
  <si>
    <t>Scythe Blade</t>
  </si>
  <si>
    <t>Scythe Handle</t>
  </si>
  <si>
    <t>Seed-Sower, Leather</t>
  </si>
  <si>
    <t>Seed-Sower, Woven Basket</t>
  </si>
  <si>
    <t>Shovel, Gardening</t>
  </si>
  <si>
    <t>Shovel, Coal</t>
  </si>
  <si>
    <t>Shovel, Postholer</t>
  </si>
  <si>
    <t>Shovel, Snowshovel</t>
  </si>
  <si>
    <t>Shovel, Hand Spade</t>
  </si>
  <si>
    <t>Sickle</t>
  </si>
  <si>
    <t>Sieve</t>
  </si>
  <si>
    <t>Sieve Screen</t>
  </si>
  <si>
    <t>Weeding Claw</t>
  </si>
  <si>
    <t>Weeding Claw Pole</t>
  </si>
  <si>
    <t>Wheelbarrow</t>
  </si>
  <si>
    <t>Winnowing Flail</t>
  </si>
  <si>
    <t>Awl, 3”</t>
  </si>
  <si>
    <t>Auger, 6”</t>
  </si>
  <si>
    <t>Bow Drill</t>
  </si>
  <si>
    <t>Drill Bit, Needle</t>
  </si>
  <si>
    <t>Drill Bit, Nail</t>
  </si>
  <si>
    <t>Drill Bit, Spike</t>
  </si>
  <si>
    <t>Drill Bit, Peg</t>
  </si>
  <si>
    <t>Chisel, Wood/Steel</t>
  </si>
  <si>
    <t>Chisel, Mithral</t>
  </si>
  <si>
    <t>Clamp, 4”</t>
  </si>
  <si>
    <t>Clamp, 8”</t>
  </si>
  <si>
    <t>Clamp, 16”</t>
  </si>
  <si>
    <t>Vice, 10” table-mounted</t>
  </si>
  <si>
    <t>Nails, 1”, 1 lbs.</t>
  </si>
  <si>
    <t>Nails, 2-3”, 1 lbs.</t>
  </si>
  <si>
    <t>Spike, 6”, 1 dozen</t>
  </si>
  <si>
    <t>Spike, 1’, 1 dozen</t>
  </si>
  <si>
    <t>Bolts, 8”, 1 lbs.</t>
  </si>
  <si>
    <t>Nuts, 1 lbs.</t>
  </si>
  <si>
    <t>Pegs, 1/2”, per foot</t>
  </si>
  <si>
    <t>Pegs, 1”, per foot</t>
  </si>
  <si>
    <t>Pegs, 2”, per foot</t>
  </si>
  <si>
    <t>Wood Glue, 1 lbs.</t>
  </si>
  <si>
    <t>Mortar, 1 lbs.</t>
  </si>
  <si>
    <t>Pitch, 1 lbs.</t>
  </si>
  <si>
    <t>Hammer, Claw</t>
  </si>
  <si>
    <t>Hammer, Spike</t>
  </si>
  <si>
    <t>Hammer, Chisel</t>
  </si>
  <si>
    <t>Mallet, Peg-Setting</t>
  </si>
  <si>
    <t>Mallet, Tone-Setting</t>
  </si>
  <si>
    <t>Hinge, Jewelry-Box</t>
  </si>
  <si>
    <t>Hinge, Cabinet</t>
  </si>
  <si>
    <t>Hinge, Door</t>
  </si>
  <si>
    <t>Hinge, Barn</t>
  </si>
  <si>
    <t>Hinge, Gate</t>
  </si>
  <si>
    <t>Hinge, Massive Door</t>
  </si>
  <si>
    <t>Ladder, 2’</t>
  </si>
  <si>
    <t>Ladder, 6’</t>
  </si>
  <si>
    <t>Ladder, 10’</t>
  </si>
  <si>
    <t>Ladder, 20’</t>
  </si>
  <si>
    <t>Lathe</t>
  </si>
  <si>
    <t>Saw, Common Crosscut</t>
  </si>
  <si>
    <t>Saw, Two-Person Ripsaw</t>
  </si>
  <si>
    <t>Saw, Framed Jigsaw</t>
  </si>
  <si>
    <t>Saw, Two-Person Logging Saw</t>
  </si>
  <si>
    <t>Saw, Diamond-Toothed Stone Hacksaw</t>
  </si>
  <si>
    <t>Saw, Diamond-Toothed Stone Jigsaw</t>
  </si>
  <si>
    <t>Trowel, 5”</t>
  </si>
  <si>
    <t>Trowel, 7”</t>
  </si>
  <si>
    <t>Trowel, 10”</t>
  </si>
  <si>
    <t>Anvil, 70 lbs</t>
  </si>
  <si>
    <t>Anvil, 160 lbs</t>
  </si>
  <si>
    <t>Armor Care Kit</t>
  </si>
  <si>
    <t>Forge, Small</t>
  </si>
  <si>
    <t>Forge, Large</t>
  </si>
  <si>
    <t>Fat, 1 lbs.</t>
  </si>
  <si>
    <t>Wax, 1 lbs.</t>
  </si>
  <si>
    <t>Grindstone</t>
  </si>
  <si>
    <t>Leather Strop</t>
  </si>
  <si>
    <t>Hammer, Smithing</t>
  </si>
  <si>
    <t>Metal, Raw</t>
  </si>
  <si>
    <t>Molds</t>
  </si>
  <si>
    <t>Resevoir, 50 gallon</t>
  </si>
  <si>
    <t>Tongs, Long-Handle</t>
  </si>
  <si>
    <t>Tongs, Short-Handle</t>
  </si>
  <si>
    <t>Pliers, Bending</t>
  </si>
  <si>
    <t>Pliers, Small Tooling</t>
  </si>
  <si>
    <t>Beehive</t>
  </si>
  <si>
    <t>Beehive Hat &amp; Netting</t>
  </si>
  <si>
    <t>Branding Iron</t>
  </si>
  <si>
    <t>Branding Iron, Personalized</t>
  </si>
  <si>
    <t>Mallet, Butcher’s</t>
  </si>
  <si>
    <t>Meat Hooks (8)</t>
  </si>
  <si>
    <t>Long-Razor, Foldable</t>
  </si>
  <si>
    <t>Knife, 8” Skinning</t>
  </si>
  <si>
    <t>Knife, Trail</t>
  </si>
  <si>
    <t>Knife, Two-Blade Folding</t>
  </si>
  <si>
    <t>Shepherd’s Crook</t>
  </si>
  <si>
    <t>Shearing Pack</t>
  </si>
  <si>
    <t>Trident</t>
  </si>
  <si>
    <t>Bedding, Cooking, Cleaning Supplies</t>
  </si>
  <si>
    <t>Inn and Tavern</t>
  </si>
  <si>
    <t>Blank Book</t>
  </si>
  <si>
    <t>Scribes’ Desk</t>
  </si>
  <si>
    <t>Blank Book, Lockable</t>
  </si>
  <si>
    <t>Book Safe</t>
  </si>
  <si>
    <t>Book Case</t>
  </si>
  <si>
    <t>Ink</t>
  </si>
  <si>
    <t>Ink, Case (24 vials)</t>
  </si>
  <si>
    <t>Map-Making Kit</t>
  </si>
  <si>
    <t>Parchment, Gridded (50 sheets)</t>
  </si>
  <si>
    <t>Mapcase, Maple</t>
  </si>
  <si>
    <t>Mapcase, Oak</t>
  </si>
  <si>
    <t>Quill Pen, Case of 50</t>
  </si>
  <si>
    <t>Metal Nibs, 5</t>
  </si>
  <si>
    <t>Pen Set, Deluxe (32-nib kit, 14 types)</t>
  </si>
  <si>
    <t>Scrollcase</t>
  </si>
  <si>
    <t>Writing Implements &amp; Paints</t>
  </si>
  <si>
    <t>Storage Items</t>
  </si>
  <si>
    <t>Block &amp; Tackle, 100 lb</t>
  </si>
  <si>
    <t>General Hardware</t>
  </si>
  <si>
    <t>Block &amp; Tackle, 200 lb</t>
  </si>
  <si>
    <t>Block &amp; Tackle, 500 lb</t>
  </si>
  <si>
    <t>Block &amp; Tackle, 1000 lb</t>
  </si>
  <si>
    <t>Block &amp; Tackle, two-pulley ton</t>
  </si>
  <si>
    <t>Chain, per 25 ft.</t>
  </si>
  <si>
    <t>Lock, Mithral</t>
  </si>
  <si>
    <t>Lock, Adamantine</t>
  </si>
  <si>
    <t>Paintbrush, 4” wide</t>
  </si>
  <si>
    <t>Paintbrush, Artist’s</t>
  </si>
  <si>
    <t>Rope, Hemp, per 50 ft.</t>
  </si>
  <si>
    <t>Rope, Silk, per 50 ft.</t>
  </si>
  <si>
    <t>Stocks, Head/Hand, Single</t>
  </si>
  <si>
    <t>Stocks, Head/Hand, Double</t>
  </si>
  <si>
    <t>Stocks, Ankle, Single</t>
  </si>
  <si>
    <t>Stocks, Ankle, Double</t>
  </si>
  <si>
    <t>Sharpened Bench</t>
  </si>
  <si>
    <t>Shackle Set</t>
  </si>
  <si>
    <t>Tally Stick</t>
  </si>
  <si>
    <t>Tailor Supplies</t>
  </si>
  <si>
    <t>Tailors’ Corner</t>
  </si>
  <si>
    <t>Bustles, Side</t>
  </si>
  <si>
    <t>Clothes and Shoes</t>
  </si>
  <si>
    <t>Bustles, Rear</t>
  </si>
  <si>
    <t>Fullcloth, Gnome</t>
  </si>
  <si>
    <t>Fullcloth, Halfling</t>
  </si>
  <si>
    <t>Fullcloth, Elf</t>
  </si>
  <si>
    <t>Fullcloth, Human</t>
  </si>
  <si>
    <t>Hosiery, Gnome</t>
  </si>
  <si>
    <t>Hosiery, Halfling</t>
  </si>
  <si>
    <t>Hosiery, Elf</t>
  </si>
  <si>
    <t>Hosiery, Human</t>
  </si>
  <si>
    <t>Hose Supporters, Horse Leather</t>
  </si>
  <si>
    <t>Loincloth, Gnome</t>
  </si>
  <si>
    <t>Loincloth, Halfling</t>
  </si>
  <si>
    <t>Loincloth, Elf</t>
  </si>
  <si>
    <t>Loincloth, Human</t>
  </si>
  <si>
    <t>Lounging Robes, Demihuman</t>
  </si>
  <si>
    <t>Lounging Robes, Human</t>
  </si>
  <si>
    <t>Nightshirt, Demihuman</t>
  </si>
  <si>
    <t>Nightshirt, Human</t>
  </si>
  <si>
    <t>Money Belt, 40 coins</t>
  </si>
  <si>
    <t>Stockings, Demihuman</t>
  </si>
  <si>
    <t>Stockings, Human</t>
  </si>
  <si>
    <t>Breeches, Sack Cloth, Elf</t>
  </si>
  <si>
    <t>Breeches, Linen, Elf</t>
  </si>
  <si>
    <t>Breeches, Woolen, Elf</t>
  </si>
  <si>
    <t>Breeches, Velvet, Elf</t>
  </si>
  <si>
    <t>Breeches, Silk, Elf</t>
  </si>
  <si>
    <t>Breeches, Halfling/Gnome</t>
  </si>
  <si>
    <t>Elf * .5</t>
  </si>
  <si>
    <t>Breeches, Human</t>
  </si>
  <si>
    <t>Elf * 1.5</t>
  </si>
  <si>
    <t>Cannons, Gnome</t>
  </si>
  <si>
    <t>Cannons, Halfling</t>
  </si>
  <si>
    <t>Cannons, Elf</t>
  </si>
  <si>
    <t>Cannons, Human</t>
  </si>
  <si>
    <t>Chemise, Sackcloth, Elf</t>
  </si>
  <si>
    <t>Chemise, Linen, Elf</t>
  </si>
  <si>
    <t>Chemise, Maztican cotton, Elf</t>
  </si>
  <si>
    <t>Chemise, Silk, Elf</t>
  </si>
  <si>
    <t>Codpiece, Flat</t>
  </si>
  <si>
    <t>Codpiece, Bag</t>
  </si>
  <si>
    <t>Cote, Gnome</t>
  </si>
  <si>
    <t>Cote, Halfling</t>
  </si>
  <si>
    <t>Cote, Elf</t>
  </si>
  <si>
    <t>Cote, Human</t>
  </si>
  <si>
    <t>Doublet, Gnome</t>
  </si>
  <si>
    <t>Doublet, Halfling</t>
  </si>
  <si>
    <t>Doublet, Elf</t>
  </si>
  <si>
    <t>Doublet, Human</t>
  </si>
  <si>
    <t>Dress, Common, Gnome</t>
  </si>
  <si>
    <t>Dress, Common, Halfling</t>
  </si>
  <si>
    <t>Dress, Common, Elf</t>
  </si>
  <si>
    <t>Dress, Common, Human</t>
  </si>
  <si>
    <t>Gown, Silk, Gnome</t>
  </si>
  <si>
    <t>Gown, Silk, Halfling</t>
  </si>
  <si>
    <t>Gown, Silk, Elf</t>
  </si>
  <si>
    <t>Gown, Silk, Human</t>
  </si>
  <si>
    <t>Girdle</t>
  </si>
  <si>
    <t>Belt, Leather Weapons</t>
  </si>
  <si>
    <t>Belt, Elegant Gold-braid</t>
  </si>
  <si>
    <t>Belt, Canvas</t>
  </si>
  <si>
    <t>Belt, Leather</t>
  </si>
  <si>
    <t>Cape, Half</t>
  </si>
  <si>
    <t>Cape</t>
  </si>
  <si>
    <t>Hat/Cap</t>
  </si>
  <si>
    <t>Turban/Beret</t>
  </si>
  <si>
    <t>Cloak, Formal</t>
  </si>
  <si>
    <t>.8-1.5</t>
  </si>
  <si>
    <t>Cloak, Full, Cold Weather</t>
  </si>
  <si>
    <t>Cloak, Fur</t>
  </si>
  <si>
    <t>Cloak, Special Order</t>
  </si>
  <si>
    <t>Gloves, Linen</t>
  </si>
  <si>
    <t>Gloves, Silk</t>
  </si>
  <si>
    <t>Gloves, Working (Canvas/Leather)</t>
  </si>
  <si>
    <t>Gauntlets</t>
  </si>
  <si>
    <t>Gloves, Fur-lined</t>
  </si>
  <si>
    <t>Mittens</t>
  </si>
  <si>
    <t>Gloves, Archery</t>
  </si>
  <si>
    <t>Mittens, Evermeet</t>
  </si>
  <si>
    <t>Hood, Wool/Linen</t>
  </si>
  <si>
    <t>Hood, Fur</t>
  </si>
  <si>
    <t>Jerkin, Linen</t>
  </si>
  <si>
    <t>Jerkin, Quilted wool</t>
  </si>
  <si>
    <t>Jerkin, Silk</t>
  </si>
  <si>
    <t>Jerkin, Leather</t>
  </si>
  <si>
    <t>Jerkin, Maztican cotton</t>
  </si>
  <si>
    <t>Purse, Linen</t>
  </si>
  <si>
    <t>Purse, Leather</t>
  </si>
  <si>
    <t>Purse, Hidden Pouch</t>
  </si>
  <si>
    <t>Purse, Wire Mesh</t>
  </si>
  <si>
    <t>Robe, Wool/Linen</t>
  </si>
  <si>
    <t>Robe, Silk, Mage’s</t>
  </si>
  <si>
    <t>Robe, Fur Lining</t>
  </si>
  <si>
    <t>Sash, Wool</t>
  </si>
  <si>
    <t>Sash, Linen</t>
  </si>
  <si>
    <t>Sash, Silk</t>
  </si>
  <si>
    <t>Scarf</t>
  </si>
  <si>
    <t>Scarf, Printed</t>
  </si>
  <si>
    <t>Muffler, Wool</t>
  </si>
  <si>
    <t>Muffler, Linen</t>
  </si>
  <si>
    <t>Surcoat, Linen</t>
  </si>
  <si>
    <t>Surcoat, Quilted</t>
  </si>
  <si>
    <t>Surcoat, Peltcote</t>
  </si>
  <si>
    <t>Suspenders, Canvas</t>
  </si>
  <si>
    <t>Suspenders, Leather</t>
  </si>
  <si>
    <t>Tabard</t>
  </si>
  <si>
    <t>Toga, Wool</t>
  </si>
  <si>
    <t>Toga, Linen</t>
  </si>
  <si>
    <t>Shoes, Dancing, Silk Slippers</t>
  </si>
  <si>
    <t>Shoes, Dancing</t>
  </si>
  <si>
    <t>Boots, Dwarf</t>
  </si>
  <si>
    <t>Shoes, Elf</t>
  </si>
  <si>
    <t>Boots, High, Hard</t>
  </si>
  <si>
    <t>Boots, High, Soft</t>
  </si>
  <si>
    <t>Boots, High, Sheepskin/Pelt</t>
  </si>
  <si>
    <t>Boots, Hip</t>
  </si>
  <si>
    <t>Boots, Low, Hard</t>
  </si>
  <si>
    <t>Boots, Low, Soft</t>
  </si>
  <si>
    <t>Boots, Low, Pelt</t>
  </si>
  <si>
    <t>Moccasins</t>
  </si>
  <si>
    <t>Boots, Orc-Spiker</t>
  </si>
  <si>
    <t>Boots, Riding</t>
  </si>
  <si>
    <t>Sandals</t>
  </si>
  <si>
    <t>Slippers, Linen</t>
  </si>
  <si>
    <t>Slippers, Quilted Silk</t>
  </si>
  <si>
    <t>Slippers, Wool</t>
  </si>
  <si>
    <t>Snowshoes</t>
  </si>
  <si>
    <t>Tabi, Wool</t>
  </si>
  <si>
    <t>Tabi, Silk</t>
  </si>
  <si>
    <t>Broadbelt</t>
  </si>
  <si>
    <t>Boom’s Garden</t>
  </si>
  <si>
    <t>Bustenhalt, Leather</t>
  </si>
  <si>
    <t>Bustenhalt, Studded Leather</t>
  </si>
  <si>
    <t>Bustenhalt, Bear Fur</t>
  </si>
  <si>
    <t>Bustenhalt, Chain Mail</t>
  </si>
  <si>
    <t>Bustenhalt, Scale Mail</t>
  </si>
  <si>
    <t>Bustenhalt, Bronze Plate</t>
  </si>
  <si>
    <t>Bustenhalt, Iron</t>
  </si>
  <si>
    <t>Bustenhalt, Steel Plate</t>
  </si>
  <si>
    <t>Bustenhalt, Silver Plate</t>
  </si>
  <si>
    <t>Bustenhalt, Gold Plate</t>
  </si>
  <si>
    <t>Bustier, Bronze Plate</t>
  </si>
  <si>
    <t>Bustier, Iron Plate</t>
  </si>
  <si>
    <t>Bustier, Steel Plate</t>
  </si>
  <si>
    <t>Bustier, Silver Plate</t>
  </si>
  <si>
    <t>Bustier, Gold Plate</t>
  </si>
  <si>
    <t>Chemise, Leather</t>
  </si>
  <si>
    <t>Chemise, Chain Mail</t>
  </si>
  <si>
    <t>Chemise, Lace Mail</t>
  </si>
  <si>
    <t>Collar, Leather Spiked</t>
  </si>
  <si>
    <t>Corset, Leather</t>
  </si>
  <si>
    <t>Corset, Chain Mail</t>
  </si>
  <si>
    <t>Corset, Scale Mail</t>
  </si>
  <si>
    <t>Leggings, Full, Chain Mail</t>
  </si>
  <si>
    <t>Leggings, Partial, Chain Mail</t>
  </si>
  <si>
    <t>Loin Cloth, Stiff Leather</t>
  </si>
  <si>
    <t>Loin Cloth, Supple Leather</t>
  </si>
  <si>
    <t>Loin Cloth, Wolf Fur</t>
  </si>
  <si>
    <t>Loin Cloth, Bear Fur</t>
  </si>
  <si>
    <t>Loin Cloth, Chain Mail</t>
  </si>
  <si>
    <t>Loin Cloth, Scale Mail</t>
  </si>
  <si>
    <t>Loin Cloth, Plate Mail</t>
  </si>
  <si>
    <t>Loin Guard, Bronze</t>
  </si>
  <si>
    <t>Loin Guard, Iron</t>
  </si>
  <si>
    <t>Loin Guard, Steel</t>
  </si>
  <si>
    <t>Loin Guard, Silver</t>
  </si>
  <si>
    <t>Loin Guard, Gold</t>
  </si>
  <si>
    <t>Shoulder Plates, Bronze</t>
  </si>
  <si>
    <t>Shoulder Plates, Steel</t>
  </si>
  <si>
    <t>Shoulder Plates, Silver</t>
  </si>
  <si>
    <t>Shoulder Plates, Gold</t>
  </si>
  <si>
    <t>Skirt, Leather</t>
  </si>
  <si>
    <t>Skirt, Chain Mail</t>
  </si>
  <si>
    <t>Spiked Footings</t>
  </si>
  <si>
    <t>Swimwear, Drow</t>
  </si>
  <si>
    <t>Tailer</t>
  </si>
  <si>
    <t>Necklace, Single Strand, Amber</t>
  </si>
  <si>
    <t>Jewelry</t>
  </si>
  <si>
    <t>Necklace, Double Strand, Amber</t>
  </si>
  <si>
    <t>Earrings, Amber</t>
  </si>
  <si>
    <t>Hair Comb, Single, Amber</t>
  </si>
  <si>
    <t>Hair Comb, Pair, Amber</t>
  </si>
  <si>
    <t>Arm Bands</t>
  </si>
  <si>
    <t>Beads, Glass, Bag (10+ varieties)</t>
  </si>
  <si>
    <t>Necklace, Beads, Stone</t>
  </si>
  <si>
    <t>Belt, Beads, Stone</t>
  </si>
  <si>
    <t>Bracelet, Gold</t>
  </si>
  <si>
    <t>Cuff, Gold</t>
  </si>
  <si>
    <t>Bracelet, Silver</t>
  </si>
  <si>
    <t>Cuff, Silver</t>
  </si>
  <si>
    <t>Brooch, Silver</t>
  </si>
  <si>
    <t>Brooch, Gold</t>
  </si>
  <si>
    <t>Gorget</t>
  </si>
  <si>
    <t>Earrings, Gold Doves</t>
  </si>
  <si>
    <t>Headband, Men’s</t>
  </si>
  <si>
    <t>Headband, Women’s</t>
  </si>
  <si>
    <t>Locket</t>
  </si>
  <si>
    <t>Torc</t>
  </si>
  <si>
    <t>Pendant</t>
  </si>
  <si>
    <t>Fillet</t>
  </si>
  <si>
    <t>Ring, Engraved</t>
  </si>
  <si>
    <t>Box, Sandalwood</t>
  </si>
  <si>
    <t>Household Accoutrements</t>
  </si>
  <si>
    <t>Box, Silk</t>
  </si>
  <si>
    <t>Box, Lacquer</t>
  </si>
  <si>
    <t>Candles, Beeswax, 12</t>
  </si>
  <si>
    <t>Candles, Tallow, 12</t>
  </si>
  <si>
    <t>Door Knocker, Personalized</t>
  </si>
  <si>
    <t>Mirror, Wall, 3’</t>
  </si>
  <si>
    <t>Mirror, Wall, 5’</t>
  </si>
  <si>
    <t>Mirror, Hand</t>
  </si>
  <si>
    <t>Bell Pull, Ornamental</t>
  </si>
  <si>
    <t>Statue</t>
  </si>
  <si>
    <t>Statue, 3</t>
  </si>
  <si>
    <t>Statue, 4</t>
  </si>
  <si>
    <t>Statue, 5</t>
  </si>
  <si>
    <t>Statue, Set</t>
  </si>
  <si>
    <t>Sundial, Cast Bronze</t>
  </si>
  <si>
    <t>Sundial, Carved Marble</t>
  </si>
  <si>
    <t>Water Clock</t>
  </si>
  <si>
    <t>Window Lace</t>
  </si>
  <si>
    <t>Bath Oil</t>
  </si>
  <si>
    <t>Personal Supplies</t>
  </si>
  <si>
    <t>Brush/Comb, Gold</t>
  </si>
  <si>
    <t>Brush/Comb, Silver</t>
  </si>
  <si>
    <t>Brush/Comb, Tortoise Shell</t>
  </si>
  <si>
    <t>Brush/Comb, Fine Hardwood</t>
  </si>
  <si>
    <t>Handkerchief, Silk</t>
  </si>
  <si>
    <t>Handkerchief, Soft Cotton</t>
  </si>
  <si>
    <t>Handkerchief, Linen</t>
  </si>
  <si>
    <t>Leather Strap, Shaving, 3’</t>
  </si>
  <si>
    <t>Perfume, Vial, Simple</t>
  </si>
  <si>
    <t>Perfume, Vial, Fine</t>
  </si>
  <si>
    <t>Perfume, Vial, Very Fine</t>
  </si>
  <si>
    <t>Perfume, Vial, Peerless</t>
  </si>
  <si>
    <t>Face/Body Powder, 1 dry oz.</t>
  </si>
  <si>
    <t>Razor Kit</t>
  </si>
  <si>
    <t>Sachet</t>
  </si>
  <si>
    <t>Snuff Box, Hardwood</t>
  </si>
  <si>
    <t>Snuff Box, Steel</t>
  </si>
  <si>
    <t>Snuff Box, Silver</t>
  </si>
  <si>
    <t>Snuff Box, Gold</t>
  </si>
  <si>
    <t>Soap, Lye</t>
  </si>
  <si>
    <t>Soap, Mild</t>
  </si>
  <si>
    <t>Soap, Scented</t>
  </si>
  <si>
    <t>Scissors, Toe/Finger, Set</t>
  </si>
  <si>
    <t>Towel, Linen Hand</t>
  </si>
  <si>
    <t>Towel, Woolen Bath</t>
  </si>
  <si>
    <t>Towel, Extra-Large Bath</t>
  </si>
  <si>
    <t>Towel, Washcloth</t>
  </si>
  <si>
    <t>Wigs</t>
  </si>
  <si>
    <t>Lamp, Calishite, Brass</t>
  </si>
  <si>
    <t>Illuminations</t>
  </si>
  <si>
    <t>Lamp, Calishite, Copper</t>
  </si>
  <si>
    <t>Lamp, Calishite, Silver</t>
  </si>
  <si>
    <t>Lamp, Calishite, Gold</t>
  </si>
  <si>
    <t>Lamp, Chime</t>
  </si>
  <si>
    <t>Lamp, Gnomish Firefly</t>
  </si>
  <si>
    <t>Lamp, Hurricane, Brass</t>
  </si>
  <si>
    <t>Lamp, Hurricane, Copper</t>
  </si>
  <si>
    <t>Lamp, Hurricane, Silver</t>
  </si>
  <si>
    <t>Lamp, Oil, Carved Onyx</t>
  </si>
  <si>
    <t>Lamp, Oil, Worked Brass</t>
  </si>
  <si>
    <t>Lamp, Oil, Glazed Pottery</t>
  </si>
  <si>
    <t>Lamp, Warming</t>
  </si>
  <si>
    <t>Lantern, Bullseye</t>
  </si>
  <si>
    <t>Lantern, Fog-Cutter</t>
  </si>
  <si>
    <t>Lantern, Hooded</t>
  </si>
  <si>
    <t>Lantern, Infra</t>
  </si>
  <si>
    <t>Lantern,Self-Dousing</t>
  </si>
  <si>
    <t>Lantern, Spelunker’s</t>
  </si>
  <si>
    <t>Beeswax, 1 lb.</t>
  </si>
  <si>
    <t>Beeswax, Colored, 1 lb.</t>
  </si>
  <si>
    <t>Beeswax, Scented, 1 lb.</t>
  </si>
  <si>
    <t>Brazier, Bronze</t>
  </si>
  <si>
    <t>Candle Molds</t>
  </si>
  <si>
    <t>Candle/Taper</t>
  </si>
  <si>
    <t>Candlestick, Wood</t>
  </si>
  <si>
    <t>Candlestick, Brass</t>
  </si>
  <si>
    <t>Candlestick, Copper</t>
  </si>
  <si>
    <t>Candlestick, Onyx</t>
  </si>
  <si>
    <t>Candlestick, Pottery</t>
  </si>
  <si>
    <t>Candlestick, Wrought Iron</t>
  </si>
  <si>
    <t>Lamp Oil, 1 pint flask</t>
  </si>
  <si>
    <t>Lamp Oil, Exotic Scented, 2 pint flask</t>
  </si>
  <si>
    <t>Tinderbox</t>
  </si>
  <si>
    <t>Flint and Steel</t>
  </si>
  <si>
    <t>Torch</t>
  </si>
  <si>
    <t>Wick, Thin, 1 yard</t>
  </si>
  <si>
    <t>Wick, Thick, 2 feet</t>
  </si>
  <si>
    <t>Toy, Animal Model</t>
  </si>
  <si>
    <t>Diversions</t>
  </si>
  <si>
    <t>Ball, Leather, 2”</t>
  </si>
  <si>
    <t>Ball, Leather, 4”</t>
  </si>
  <si>
    <t>Ball, Leather, 12”</t>
  </si>
  <si>
    <t>Toy, Bow and Arrow Set</t>
  </si>
  <si>
    <t>Toy, Clockwork</t>
  </si>
  <si>
    <t>Toy, Clockwork, Set of 10</t>
  </si>
  <si>
    <t>Doll, Fabric</t>
  </si>
  <si>
    <t>Doll, Porcelain</t>
  </si>
  <si>
    <t>Kaleidoscope</t>
  </si>
  <si>
    <t>Marbles (20)</t>
  </si>
  <si>
    <t>Dolls, Nesting</t>
  </si>
  <si>
    <t>Puppets, Various</t>
  </si>
  <si>
    <t>Puppets, Various, Set of 3</t>
  </si>
  <si>
    <t>Rocking Mount</t>
  </si>
  <si>
    <t>Tops</t>
  </si>
  <si>
    <t>Tops, Set of 5</t>
  </si>
  <si>
    <t>Chess Set, Traditional</t>
  </si>
  <si>
    <t>Chess Set, Avatar</t>
  </si>
  <si>
    <t>Chess Set, Horde</t>
  </si>
  <si>
    <t>Dice, 4d6</t>
  </si>
  <si>
    <t>Dice, Assorted Set</t>
  </si>
  <si>
    <t>Draughts (Checkers)</t>
  </si>
  <si>
    <t>Fighting Dolls, Set of 2</t>
  </si>
  <si>
    <t>Old Men’s Bones Set</t>
  </si>
  <si>
    <t>Dragon’s Bones Set</t>
  </si>
  <si>
    <t>Table Dice (Backgammon)</t>
  </si>
  <si>
    <t>Talis Card Deck</t>
  </si>
  <si>
    <t>Foodstuffs, Provisions</t>
  </si>
  <si>
    <t>Aurora’s Larder</t>
  </si>
  <si>
    <t>Blackbread, 4 loaves</t>
  </si>
  <si>
    <t>Breads</t>
  </si>
  <si>
    <t>Crackers, 3 dozen</t>
  </si>
  <si>
    <t>Elven Bread, 1 loaf</t>
  </si>
  <si>
    <t>Fruitcake (in tin)</t>
  </si>
  <si>
    <t>Gingerbread</t>
  </si>
  <si>
    <t>Hard-Tack, 1 dozen</t>
  </si>
  <si>
    <t>Noodles, Various, 1 lb.</t>
  </si>
  <si>
    <t>Sourdough, 2 lbs. loaf</t>
  </si>
  <si>
    <t>Tarts, Various, 1 dozen</t>
  </si>
  <si>
    <t>Tortilla, 2 dozen</t>
  </si>
  <si>
    <t>Arabellan Cheddar, 1 lb. wheel</t>
  </si>
  <si>
    <t>Cheese</t>
  </si>
  <si>
    <t>Arabellan Cheddar, 100 lb. whey</t>
  </si>
  <si>
    <t>Chessetan Lotus Cheese, 1 lb.</t>
  </si>
  <si>
    <t>Chessetan Lotus Cheese, 100 lb. whey</t>
  </si>
  <si>
    <t>Death Cheese, 1 lb. loaf</t>
  </si>
  <si>
    <t>Damarite Red, 1 lb. wheel</t>
  </si>
  <si>
    <t>Damarite Red, 100 lb. whey</t>
  </si>
  <si>
    <t>Elturian Grey, 1 lb. loaf</t>
  </si>
  <si>
    <t>Farmer’s Cheese, 1 lb. lot</t>
  </si>
  <si>
    <t>Green Calishite, 1/2 lb. loaf</t>
  </si>
  <si>
    <t>Luiren Spring Cheese, 1/2 loaf</t>
  </si>
  <si>
    <t>Mist Cheese, 1 lb. loaf</t>
  </si>
  <si>
    <t>Nut Cheese, 2 lbs. wheel</t>
  </si>
  <si>
    <t>Nut Cheese, 100 lb. whey</t>
  </si>
  <si>
    <t>Pepper Cheese, 1 lb. loaf</t>
  </si>
  <si>
    <t>Pepper Cheese, 100 lb. whey</t>
  </si>
  <si>
    <t>Turmish Brick, 1 lb loaf</t>
  </si>
  <si>
    <t>Turmish Brick, 100 lb. whey</t>
  </si>
  <si>
    <t>Vilhon Black, 1 lb loaf</t>
  </si>
  <si>
    <t>Waterdhavian Cheese, 1 lb. wheel</t>
  </si>
  <si>
    <t>Waterdhavian Cheese, 100 lb. whey</t>
  </si>
  <si>
    <t>Yak Butter, 1 lb.</t>
  </si>
  <si>
    <t>Yak Butter, 100 lb.</t>
  </si>
  <si>
    <t>Beer, Bitter Black, Barrel (30 gallons)</t>
  </si>
  <si>
    <t>Wines and Ales</t>
  </si>
  <si>
    <t>Beer, Dragon’s Breath Beer, Barrel</t>
  </si>
  <si>
    <t>Beer, Elminster’s Choice, Barrel</t>
  </si>
  <si>
    <t>Beer, Golden Sands Brew, Barrel</t>
  </si>
  <si>
    <t>Beer, Iriaeboran North Brew, Barrel</t>
  </si>
  <si>
    <t>Beer, Luiren’s Best, Barrel</t>
  </si>
  <si>
    <t>Beer, Old One Eye, Barrel</t>
  </si>
  <si>
    <t>Beer, Shadowdark Ale, Barrel</t>
  </si>
  <si>
    <t>Beer, Suzale, Barrel</t>
  </si>
  <si>
    <t>Beer, Tanagyr’s Stout, Barrel</t>
  </si>
  <si>
    <t>Cider, Kneecracker, Barrel</t>
  </si>
  <si>
    <t>Cider, Purple Hill, Barrel</t>
  </si>
  <si>
    <t>Cider, Vilhon, Barrel</t>
  </si>
  <si>
    <t>Wine, Arabellan Dry, Barrel</t>
  </si>
  <si>
    <t>Wine, Berduskan Dark, Barrel</t>
  </si>
  <si>
    <t>Wine, Blood, Barrel</t>
  </si>
  <si>
    <t>Wine, Clarry, Barrel</t>
  </si>
  <si>
    <t>Wine, Evermead, Bottle</t>
  </si>
  <si>
    <t>Wine, Fire, Barrel</t>
  </si>
  <si>
    <t>Wine, Mead, Barrel</t>
  </si>
  <si>
    <t>Wine, Saerloonian Special Vat, Barrel</t>
  </si>
  <si>
    <t>Wine, Saerloonian Glowfire, Barrel</t>
  </si>
  <si>
    <t>Wine, Saerloonian Topaz, Barrel</t>
  </si>
  <si>
    <t>Wine, Undermountain Alurlyath, Cask</t>
  </si>
  <si>
    <t>Wine, Westgate Ruby, Barrel</t>
  </si>
  <si>
    <t>Wine, Spiced, Barrel</t>
  </si>
  <si>
    <t>Wine, Table, Barrel</t>
  </si>
  <si>
    <t>Wine, Winter</t>
  </si>
  <si>
    <t>Chilis, Whole, 1 lb.</t>
  </si>
  <si>
    <t>Exotics</t>
  </si>
  <si>
    <t>Chilis, Ground, 1 oz.</t>
  </si>
  <si>
    <t>Cigars</t>
  </si>
  <si>
    <t>Cocoa, 1 lb.</t>
  </si>
  <si>
    <t>Coffee, 1 lb.</t>
  </si>
  <si>
    <t>Fagara, 1 lb.</t>
  </si>
  <si>
    <t>Garum, 1 gallon</t>
  </si>
  <si>
    <t>Ketjap, 1 pint</t>
  </si>
  <si>
    <t>Litchi Fruit, Dried, 1 lb.</t>
  </si>
  <si>
    <t>Litchi Fruit, Preserved, 1 pint</t>
  </si>
  <si>
    <t>Long Beans, Dried, 1 lb.</t>
  </si>
  <si>
    <t>Long Beans, Pickled, 1 quart</t>
  </si>
  <si>
    <t>Potato, Rootstock, 1 lb.</t>
  </si>
  <si>
    <t>Rice Candies, Assorted Flavors, 100</t>
  </si>
  <si>
    <t>Soya Sauce, 1 quart</t>
  </si>
  <si>
    <t>Tabacco, 1 lb.</t>
  </si>
  <si>
    <t>Tea, Pale Jade, 1 lb.</t>
  </si>
  <si>
    <t>Tea, Earth Dragon’s Eye, 1 lb.</t>
  </si>
  <si>
    <t>Tomato, 1 pint</t>
  </si>
  <si>
    <t>Other Exotics</t>
  </si>
  <si>
    <t>Bedroll, Cold Weather</t>
  </si>
  <si>
    <t>Wilderness Gear</t>
  </si>
  <si>
    <t>Bedroll, Warm Weather</t>
  </si>
  <si>
    <t>Canteen, 1 gallon</t>
  </si>
  <si>
    <t>Canteen, 3 gallon</t>
  </si>
  <si>
    <t>Canteen, Personal, 1/2 gallon</t>
  </si>
  <si>
    <t>Climbing, Ascenders</t>
  </si>
  <si>
    <t>Climbing, Carabiniers</t>
  </si>
  <si>
    <t>Climbing, Descenders</t>
  </si>
  <si>
    <t>Climbing, Harness</t>
  </si>
  <si>
    <t>Climbing, Ice Axe</t>
  </si>
  <si>
    <t>Climbing, Pulley</t>
  </si>
  <si>
    <t>Firegate</t>
  </si>
  <si>
    <t>Hammock</t>
  </si>
  <si>
    <t>Horns, Set of 5</t>
  </si>
  <si>
    <t>Insect Netting, 10’ x 20’</t>
  </si>
  <si>
    <t>Mess Kit</t>
  </si>
  <si>
    <t>Poles, Telescoping, Set of 6</t>
  </si>
  <si>
    <t>Ration Packs, 1 week</t>
  </si>
  <si>
    <t>Repellents, Herbal, Candles, 1 dozen</t>
  </si>
  <si>
    <t>Repellents, Herbal, Flask (50 uses)</t>
  </si>
  <si>
    <t>Rucksack</t>
  </si>
  <si>
    <t>Stakes, Set of 8</t>
  </si>
  <si>
    <t>Straps, Short, 1 dozen</t>
  </si>
  <si>
    <t>Straps, Medium, 1 dozen</t>
  </si>
  <si>
    <t>Straps, Large, 1 dozen</t>
  </si>
  <si>
    <t>Strap Kit</t>
  </si>
  <si>
    <t>Tent</t>
  </si>
  <si>
    <t>Tent, Six-Man</t>
  </si>
  <si>
    <t>Tinder &amp; Flint, 1 dozen</t>
  </si>
  <si>
    <t>Walking Stick</t>
  </si>
  <si>
    <t>Staff, Carved Ash</t>
  </si>
  <si>
    <t>Silver &amp; Gold Cane</t>
  </si>
  <si>
    <t>Bridle, w/o Bit</t>
  </si>
  <si>
    <t>Bridle w/Bit</t>
  </si>
  <si>
    <t>Bridle w/Bit &amp; Blinder</t>
  </si>
  <si>
    <t>Horse Harness, Single</t>
  </si>
  <si>
    <t>Horse Harness, Double</t>
  </si>
  <si>
    <t>Horse Harness, 4 horse</t>
  </si>
  <si>
    <t>Horse Harness, 6 horse</t>
  </si>
  <si>
    <t>Horse Harness, 8 horse</t>
  </si>
  <si>
    <t>Horse Blanket/Hood</t>
  </si>
  <si>
    <t>Horse Fly Net</t>
  </si>
  <si>
    <t>Oars/Paddles, 1 pair</t>
  </si>
  <si>
    <t>Sailcloth, per sq. yard</t>
  </si>
  <si>
    <t>Saddle</t>
  </si>
  <si>
    <t>Saddle Blanket</t>
  </si>
  <si>
    <t>Saddlebag</t>
  </si>
  <si>
    <t>Sleigh, 2 person</t>
  </si>
  <si>
    <t>Sleigh, 4 person</t>
  </si>
  <si>
    <t>Skates, Strap-On</t>
  </si>
  <si>
    <t>Skates, Gnome</t>
  </si>
  <si>
    <t>Skates, Halfling</t>
  </si>
  <si>
    <t>Skates, Elf</t>
  </si>
  <si>
    <t>Skates, Human</t>
  </si>
  <si>
    <t>Snowskis w/Poles</t>
  </si>
  <si>
    <t>Cart</t>
  </si>
  <si>
    <t>Wagon</t>
  </si>
  <si>
    <t>Horse Whip</t>
  </si>
  <si>
    <t>Bandages, 1” square, 100</t>
  </si>
  <si>
    <t>Priest in a Poke</t>
  </si>
  <si>
    <t>Bandages, 2” strips, 50 yd roll</t>
  </si>
  <si>
    <t>Balms, various</t>
  </si>
  <si>
    <t>Crutches, Demihuman</t>
  </si>
  <si>
    <t>Crutches, Human</t>
  </si>
  <si>
    <t>Crutches, Armpit Rest (all sizes)</t>
  </si>
  <si>
    <t>Cranial Drills</t>
  </si>
  <si>
    <t>Herbal Medications</t>
  </si>
  <si>
    <t>Hand Hooks, Demihuman, Steel</t>
  </si>
  <si>
    <t>Hand Hooks, Demihuman, Brass</t>
  </si>
  <si>
    <t>Hand Hooks, Demihuman, Silver</t>
  </si>
  <si>
    <t>Hand Hooks, Demihuman, Gold</t>
  </si>
  <si>
    <t>Peg Leg, Demihuman, Wood</t>
  </si>
  <si>
    <t>Peg Leg, Demihuman, Steel</t>
  </si>
  <si>
    <t>Peg Leg, Demihuman, Ivory</t>
  </si>
  <si>
    <t>Peg Leg, Demihuman, Brass</t>
  </si>
  <si>
    <t>Peg Leg, Demihuman, Silver</t>
  </si>
  <si>
    <t>Peg Leg, Demihuman, Gold</t>
  </si>
  <si>
    <t>Knife Kit, Surgical</t>
  </si>
  <si>
    <t>Leeches, Jar, Approx. 10</t>
  </si>
  <si>
    <t>Limb Rod</t>
  </si>
  <si>
    <t>Saws, Amputation, Finger</t>
  </si>
  <si>
    <t>Saws, Amputation, Arms</t>
  </si>
  <si>
    <t>Saws, Amputation, Legs</t>
  </si>
  <si>
    <t>Saws, Amputation, Trunk</t>
  </si>
  <si>
    <t>Saws, Amputation, Joint Cutter</t>
  </si>
  <si>
    <t>Saws, Amputation, Snips</t>
  </si>
  <si>
    <t>Splint Set</t>
  </si>
  <si>
    <t>Trail Boots</t>
  </si>
  <si>
    <t>Tooth Wrench</t>
  </si>
  <si>
    <t>Tourniquets</t>
  </si>
  <si>
    <t>Theriaca, Antidote, 8 oz flask</t>
  </si>
  <si>
    <t>Wound Packings</t>
  </si>
  <si>
    <t>Clockpieces</t>
  </si>
  <si>
    <t>75-230</t>
  </si>
  <si>
    <t>DaRoni’s Workshop</t>
  </si>
  <si>
    <t>Furnace Wagon</t>
  </si>
  <si>
    <t>Instruments, Mechanical</t>
  </si>
  <si>
    <t>40-95</t>
  </si>
  <si>
    <t>Telescope</t>
  </si>
  <si>
    <t>Light Splitter</t>
  </si>
  <si>
    <t>Air Screw</t>
  </si>
  <si>
    <t>Doubles Wheel</t>
  </si>
  <si>
    <t>Heartland Flier</t>
  </si>
  <si>
    <t>Tentfall</t>
  </si>
  <si>
    <t>Sketches, Architectural</t>
  </si>
  <si>
    <t>Sketches, Biographical</t>
  </si>
  <si>
    <t>Sketches, Biological</t>
  </si>
  <si>
    <t>Crossbow, Great</t>
  </si>
  <si>
    <t>Guard, Casement</t>
  </si>
  <si>
    <t>Foil, Ladder</t>
  </si>
  <si>
    <t>Hurler</t>
  </si>
  <si>
    <t>Missile Thrower</t>
  </si>
  <si>
    <t>Scythe Wagon, Front</t>
  </si>
  <si>
    <t>Scythe Wagon, Back</t>
  </si>
  <si>
    <t>Wagon, Armored</t>
  </si>
  <si>
    <t>Wagon, Flailing</t>
  </si>
  <si>
    <t>Aquawalker</t>
  </si>
  <si>
    <t>Diving Hood</t>
  </si>
  <si>
    <t>Underwater Boat</t>
  </si>
  <si>
    <t>Water Screw</t>
  </si>
  <si>
    <t>DMG Value</t>
  </si>
  <si>
    <t>XGE Value</t>
  </si>
  <si>
    <t>Level</t>
  </si>
  <si>
    <t>50-100</t>
  </si>
  <si>
    <t>20-70</t>
  </si>
  <si>
    <t>101-500</t>
  </si>
  <si>
    <t>100-600</t>
  </si>
  <si>
    <t>501-5000</t>
  </si>
  <si>
    <t>2000-20000</t>
  </si>
  <si>
    <t>5001-50000</t>
  </si>
  <si>
    <t>20000-50000</t>
  </si>
  <si>
    <t>50001+</t>
  </si>
  <si>
    <t>50000-300000</t>
  </si>
  <si>
    <t>Priceless</t>
  </si>
  <si>
    <t>20+</t>
  </si>
  <si>
    <t>Changelog</t>
  </si>
  <si>
    <t>Date</t>
  </si>
  <si>
    <t>Change(s)</t>
  </si>
  <si>
    <t>Started changelog (about time?)</t>
  </si>
  <si>
    <t>Added DMPG prices from v4 of document</t>
  </si>
  <si>
    <t>Wand of Random Spell (Level 0)</t>
  </si>
  <si>
    <t>Wand of Random Spell (Level 1)</t>
  </si>
  <si>
    <t>Wand of Random Spell (Level 2)</t>
  </si>
  <si>
    <t>Wand of Random Spell (Level 3)</t>
  </si>
  <si>
    <t>Wand of Random Spell (Level 4)</t>
  </si>
  <si>
    <t>Wand of Random Spell (Level 5)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</si>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</sst>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#,##0"/>
    <numFmt numFmtId="165" formatCode="m\-d"/>
    <numFmt numFmtId="166" formatCode="m/d/yyyy"/>
  </numFmts>
  <fonts count="22">
    <font>
      <sz val="10"/>
      <color rgb="FF000000"/>
      <name val="Arial"/>
    </font>
    <font>
      <b/>
      <sz val="10"/>
      <color rgb="FF000000"/>
      <name val="Helvetica Neue"/>
    </font>
    <font>
      <b/>
      <u/>
      <sz val="10"/>
      <color rgb="FF000000"/>
      <name val="Helvetica Neue"/>
    </font>
    <font>
      <sz val="10"/>
      <name val="Arial"/>
    </font>
    <font>
      <sz val="10"/>
      <color rgb="FF000000"/>
      <name val="Helvetica Neue"/>
    </font>
    <font>
      <b/>
      <u/>
      <sz val="10"/>
      <color rgb="FF000000"/>
      <name val="Helvetica Neue"/>
    </font>
    <font>
      <b/>
      <u/>
      <sz val="10"/>
      <color rgb="FF000000"/>
      <name val="Helvetica Neue"/>
    </font>
    <font>
      <b/>
      <u/>
      <sz val="10"/>
      <color rgb="FF000000"/>
      <name val="Helvetica Neue"/>
    </font>
    <font>
      <b/>
      <u/>
      <sz val="10"/>
      <color rgb="FF000000"/>
      <name val="Helvetica Neue"/>
    </font>
    <font>
      <b/>
      <u/>
      <sz val="10"/>
      <color rgb="FF000000"/>
      <name val="Helvetica Neue"/>
    </font>
    <font>
      <b/>
      <u/>
      <sz val="10"/>
      <color rgb="FF000000"/>
      <name val="Helvetica Neue"/>
    </font>
    <font>
      <sz val="10"/>
      <name val="Arial"/>
    </font>
    <font>
      <u/>
      <sz val="10"/>
      <color rgb="FF0000FF"/>
      <name val="Arial"/>
    </font>
    <font>
      <b/>
      <u/>
      <sz val="10"/>
      <name val="Arial"/>
    </font>
    <font>
      <u/>
      <sz val="10"/>
      <color rgb="FF0000FF"/>
      <name val="Arial"/>
    </font>
    <font>
      <sz val="11"/>
      <color rgb="FF000000"/>
      <name val="Inconsolata"/>
    </font>
    <font>
      <sz val="11"/>
      <color rgb="FF000000"/>
      <name val="Arial"/>
    </font>
    <font>
      <b/>
      <sz val="10"/>
      <name val="Arial"/>
    </font>
    <font>
      <u/>
      <sz val="10"/>
      <color rgb="FF1155CC"/>
      <name val="Arial"/>
    </font>
    <font>
      <sz val="10"/>
      <color rgb="FF000000"/>
      <name val="Docs-Helvetica Neue"/>
    </font>
    <font>
      <b/>
      <u/>
      <sz val="10"/>
      <color rgb="FF000000"/>
      <name val="Helvetica Neue"/>
    </font>
    <font>
      <b/>
      <sz val="36"/>
      <name val="Arial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3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3" fontId="3" fillId="0" borderId="4" xfId="0" applyNumberFormat="1" applyFont="1" applyBorder="1" applyAlignment="1">
      <alignment vertical="top"/>
    </xf>
    <xf numFmtId="3" fontId="3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3" fontId="3" fillId="0" borderId="4" xfId="0" applyNumberFormat="1" applyFont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3" fontId="4" fillId="0" borderId="4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3" fontId="4" fillId="0" borderId="4" xfId="0" applyNumberFormat="1" applyFont="1" applyBorder="1" applyAlignment="1">
      <alignment horizontal="right" vertical="top"/>
    </xf>
    <xf numFmtId="3" fontId="3" fillId="0" borderId="4" xfId="0" applyNumberFormat="1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6" fillId="3" borderId="3" xfId="0" applyFont="1" applyFill="1" applyBorder="1" applyAlignment="1">
      <alignment vertical="top"/>
    </xf>
    <xf numFmtId="3" fontId="4" fillId="0" borderId="4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3" fontId="4" fillId="0" borderId="4" xfId="0" applyNumberFormat="1" applyFont="1" applyBorder="1" applyAlignment="1">
      <alignment vertical="top"/>
    </xf>
    <xf numFmtId="164" fontId="3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vertical="top"/>
    </xf>
    <xf numFmtId="49" fontId="7" fillId="3" borderId="3" xfId="0" applyNumberFormat="1" applyFont="1" applyFill="1" applyBorder="1" applyAlignment="1">
      <alignment vertical="top"/>
    </xf>
    <xf numFmtId="0" fontId="8" fillId="3" borderId="3" xfId="0" applyFont="1" applyFill="1" applyBorder="1" applyAlignment="1">
      <alignment vertical="top"/>
    </xf>
    <xf numFmtId="0" fontId="9" fillId="3" borderId="3" xfId="0" applyFont="1" applyFill="1" applyBorder="1" applyAlignment="1"/>
    <xf numFmtId="0" fontId="4" fillId="0" borderId="4" xfId="0" applyFont="1" applyBorder="1" applyAlignment="1">
      <alignment horizontal="right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right" vertical="top"/>
    </xf>
    <xf numFmtId="164" fontId="3" fillId="0" borderId="4" xfId="0" applyNumberFormat="1" applyFont="1" applyBorder="1" applyAlignment="1">
      <alignment vertical="top"/>
    </xf>
    <xf numFmtId="164" fontId="4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3" fontId="3" fillId="0" borderId="4" xfId="0" applyNumberFormat="1" applyFont="1" applyBorder="1" applyAlignment="1">
      <alignment horizontal="right" vertical="top"/>
    </xf>
    <xf numFmtId="49" fontId="10" fillId="3" borderId="4" xfId="0" applyNumberFormat="1" applyFont="1" applyFill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3" fontId="4" fillId="0" borderId="2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/>
    <xf numFmtId="0" fontId="3" fillId="0" borderId="2" xfId="0" applyFont="1" applyBorder="1" applyAlignment="1">
      <alignment horizontal="right" vertical="top"/>
    </xf>
    <xf numFmtId="3" fontId="3" fillId="0" borderId="2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3" fillId="0" borderId="2" xfId="0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top"/>
    </xf>
    <xf numFmtId="3" fontId="11" fillId="0" borderId="0" xfId="0" applyNumberFormat="1" applyFont="1"/>
    <xf numFmtId="0" fontId="3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1" fillId="0" borderId="0" xfId="0" applyFont="1" applyAlignment="1"/>
    <xf numFmtId="3" fontId="11" fillId="0" borderId="0" xfId="0" applyNumberFormat="1" applyFont="1" applyAlignment="1"/>
    <xf numFmtId="0" fontId="14" fillId="0" borderId="0" xfId="0" applyFont="1" applyAlignment="1"/>
    <xf numFmtId="0" fontId="15" fillId="4" borderId="0" xfId="0" applyFont="1" applyFill="1" applyAlignment="1"/>
    <xf numFmtId="0" fontId="16" fillId="4" borderId="0" xfId="0" applyFont="1" applyFill="1" applyAlignment="1"/>
    <xf numFmtId="0" fontId="17" fillId="0" borderId="0" xfId="0" applyFont="1" applyAlignment="1"/>
    <xf numFmtId="0" fontId="18" fillId="0" borderId="0" xfId="0" applyFont="1" applyAlignment="1"/>
    <xf numFmtId="3" fontId="3" fillId="0" borderId="4" xfId="0" applyNumberFormat="1" applyFont="1" applyBorder="1" applyAlignment="1">
      <alignment horizontal="right"/>
    </xf>
    <xf numFmtId="0" fontId="3" fillId="0" borderId="4" xfId="0" applyFont="1" applyBorder="1" applyAlignment="1"/>
    <xf numFmtId="0" fontId="1" fillId="3" borderId="3" xfId="0" applyFont="1" applyFill="1" applyBorder="1" applyAlignment="1">
      <alignment vertical="top"/>
    </xf>
    <xf numFmtId="0" fontId="3" fillId="0" borderId="4" xfId="0" applyFont="1" applyBorder="1" applyAlignment="1">
      <alignment horizontal="right"/>
    </xf>
    <xf numFmtId="0" fontId="19" fillId="4" borderId="4" xfId="0" applyFont="1" applyFill="1" applyBorder="1" applyAlignment="1"/>
    <xf numFmtId="3" fontId="3" fillId="0" borderId="4" xfId="0" applyNumberFormat="1" applyFont="1" applyBorder="1" applyAlignment="1">
      <alignment horizontal="right"/>
    </xf>
    <xf numFmtId="0" fontId="20" fillId="3" borderId="3" xfId="0" applyFont="1" applyFill="1" applyBorder="1" applyAlignment="1">
      <alignment vertical="top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21" fillId="0" borderId="0" xfId="0" applyFont="1" applyAlignment="1"/>
    <xf numFmtId="166" fontId="1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ndbeyond.com/sources/dmg" TargetMode="External"/><Relationship Id="rId2" Type="http://schemas.openxmlformats.org/officeDocument/2006/relationships/hyperlink" Target="https://www.dmsguild.com/product/205126/Discerning-Merchants-Price-Guide" TargetMode="External"/><Relationship Id="rId1" Type="http://schemas.openxmlformats.org/officeDocument/2006/relationships/hyperlink" Target="https://drive.google.com/file/d/0B8XAiXpOfz9cMWt1RTBicmpmUDg/view" TargetMode="External"/><Relationship Id="rId4" Type="http://schemas.openxmlformats.org/officeDocument/2006/relationships/hyperlink" Target="https://docs.google.com/spreadsheets/d/1mNYNjwIlKG6Po2M2FoW9kWNATUf9DZ1bZ55ZvgQyywM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orgottenrealms.fandom.com/wiki/Aurora%27s_Whole_Realms_Catalo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30"/>
  <sheetViews>
    <sheetView tabSelected="1" workbookViewId="0">
      <pane ySplit="1" topLeftCell="A787" activePane="bottomLeft" state="frozen"/>
      <selection pane="bottomLeft" activeCell="C818" sqref="C818"/>
    </sheetView>
  </sheetViews>
  <sheetFormatPr defaultColWidth="14.42578125" defaultRowHeight="15.75" customHeight="1"/>
  <cols>
    <col min="1" max="1" width="48.28515625" customWidth="1"/>
    <col min="2" max="2" width="10.7109375" customWidth="1"/>
    <col min="3" max="3" width="12" customWidth="1"/>
    <col min="4" max="5" width="13.5703125" customWidth="1"/>
    <col min="6" max="6" width="10.85546875" customWidth="1"/>
    <col min="7" max="7" width="7.7109375" customWidth="1"/>
    <col min="8" max="8" width="8" customWidth="1"/>
    <col min="9" max="9" width="27.42578125" customWidth="1"/>
    <col min="10" max="10" width="12" customWidth="1"/>
  </cols>
  <sheetData>
    <row r="1" spans="1:10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5" t="str">
        <f>HYPERLINK("https://www.dndbeyond.com/magic-items/abracadabrus", "Abracadabrus")</f>
        <v>Abracadabrus</v>
      </c>
      <c r="B2" s="6"/>
      <c r="C2" s="7"/>
      <c r="D2" s="8" t="str">
        <f>VLOOKUP(F2,'Price Ranges'!$A$2:$B$8,2, FALSE)</f>
        <v>5001-50000</v>
      </c>
      <c r="E2" s="8" t="str">
        <f>VLOOKUP(F2,'Price Ranges'!$A$2:$C$8,3, FALSE)</f>
        <v>20000-50000</v>
      </c>
      <c r="F2" s="9" t="s">
        <v>10</v>
      </c>
      <c r="G2" s="9" t="s">
        <v>11</v>
      </c>
      <c r="H2" s="10"/>
      <c r="I2" s="8" t="s">
        <v>12</v>
      </c>
      <c r="J2" s="11" t="s">
        <v>13</v>
      </c>
    </row>
    <row r="3" spans="1:10" ht="15.75" customHeight="1">
      <c r="A3" s="5" t="str">
        <f>HYPERLINK("https://www.dndbeyond.com/magic-items/absorbing-tattoo", "Absorbing Tattoo")</f>
        <v>Absorbing Tattoo</v>
      </c>
      <c r="B3" s="6"/>
      <c r="C3" s="7"/>
      <c r="D3" s="8" t="str">
        <f>VLOOKUP(F3,'Price Ranges'!$A$2:$B$8,2, FALSE)</f>
        <v>5001-50000</v>
      </c>
      <c r="E3" s="8" t="str">
        <f>VLOOKUP(F3,'Price Ranges'!$A$2:$C$8,3, FALSE)</f>
        <v>20000-50000</v>
      </c>
      <c r="F3" s="12" t="s">
        <v>10</v>
      </c>
      <c r="G3" s="12" t="s">
        <v>14</v>
      </c>
      <c r="H3" s="10"/>
      <c r="I3" s="8" t="s">
        <v>12</v>
      </c>
      <c r="J3" s="13" t="s">
        <v>15</v>
      </c>
    </row>
    <row r="4" spans="1:10" ht="15.75" customHeight="1">
      <c r="A4" s="5" t="str">
        <f>HYPERLINK("https://www.dndbeyond.com/magic-items/acheron-blade", "Acheron Blade")</f>
        <v>Acheron Blade</v>
      </c>
      <c r="B4" s="6"/>
      <c r="C4" s="14">
        <v>900</v>
      </c>
      <c r="D4" s="8" t="str">
        <f>VLOOKUP(F4,'Price Ranges'!$A$2:$B$8,2, FALSE)</f>
        <v>501-5000</v>
      </c>
      <c r="E4" s="8" t="str">
        <f>VLOOKUP(F4,'Price Ranges'!$A$2:$C$8,3, FALSE)</f>
        <v>2000-20000</v>
      </c>
      <c r="F4" s="9" t="s">
        <v>16</v>
      </c>
      <c r="G4" s="9" t="s">
        <v>17</v>
      </c>
      <c r="H4" s="12">
        <v>265</v>
      </c>
      <c r="I4" s="9" t="s">
        <v>18</v>
      </c>
      <c r="J4" s="13" t="s">
        <v>15</v>
      </c>
    </row>
    <row r="5" spans="1:10" ht="15.75" customHeight="1">
      <c r="A5" s="15" t="str">
        <f>HYPERLINK("https://www.dndbeyond.com/magic-items/adamantine-armor", "Adamantine Armor")</f>
        <v>Adamantine Armor</v>
      </c>
      <c r="B5" s="16">
        <v>500</v>
      </c>
      <c r="C5" s="17">
        <v>500</v>
      </c>
      <c r="D5" s="18" t="str">
        <f>VLOOKUP(F5,'Price Ranges'!$A$2:$B$8,2, FALSE)</f>
        <v>101-500</v>
      </c>
      <c r="E5" s="8" t="str">
        <f>VLOOKUP(F5,'Price Ranges'!$A$2:$C$8,3, FALSE)</f>
        <v>100-600</v>
      </c>
      <c r="F5" s="18" t="s">
        <v>19</v>
      </c>
      <c r="G5" s="18" t="s">
        <v>20</v>
      </c>
      <c r="H5" s="19">
        <v>150</v>
      </c>
      <c r="I5" s="18" t="s">
        <v>21</v>
      </c>
      <c r="J5" s="20" t="s">
        <v>13</v>
      </c>
    </row>
    <row r="6" spans="1:10" ht="15.75" customHeight="1">
      <c r="A6" s="15" t="str">
        <f>HYPERLINK("https://www.dndbeyond.com/magic-items/akmon-hammer-of-purphoros", "Akmon, Hammer of Purphoros")</f>
        <v>Akmon, Hammer of Purphoros</v>
      </c>
      <c r="B6" s="6"/>
      <c r="C6" s="7"/>
      <c r="D6" s="8" t="str">
        <f>VLOOKUP(F6,'Price Ranges'!$A$2:$B$8,2, FALSE)</f>
        <v>Priceless</v>
      </c>
      <c r="E6" s="8" t="str">
        <f>VLOOKUP(F6,'Price Ranges'!$A$2:$C$8,3, FALSE)</f>
        <v>Priceless</v>
      </c>
      <c r="F6" s="9" t="s">
        <v>22</v>
      </c>
      <c r="G6" s="9" t="s">
        <v>23</v>
      </c>
      <c r="H6" s="10"/>
      <c r="I6" s="9" t="s">
        <v>18</v>
      </c>
      <c r="J6" s="13" t="s">
        <v>15</v>
      </c>
    </row>
    <row r="7" spans="1:10" ht="15.75" customHeight="1">
      <c r="A7" s="5" t="str">
        <f>HYPERLINK("https://www.dndbeyond.com/magic-items/alchemical-compendium", "Alchemical Compendium")</f>
        <v>Alchemical Compendium</v>
      </c>
      <c r="B7" s="6"/>
      <c r="C7" s="7"/>
      <c r="D7" s="8" t="str">
        <f>VLOOKUP(F7,'Price Ranges'!$A$2:$B$8,2, FALSE)</f>
        <v>501-5000</v>
      </c>
      <c r="E7" s="8" t="str">
        <f>VLOOKUP(F7,'Price Ranges'!$A$2:$C$8,3, FALSE)</f>
        <v>2000-20000</v>
      </c>
      <c r="F7" s="12" t="s">
        <v>16</v>
      </c>
      <c r="G7" s="12" t="s">
        <v>14</v>
      </c>
      <c r="H7" s="10"/>
      <c r="I7" s="8" t="s">
        <v>12</v>
      </c>
      <c r="J7" s="13" t="s">
        <v>15</v>
      </c>
    </row>
    <row r="8" spans="1:10" ht="15.75" customHeight="1">
      <c r="A8" s="15" t="str">
        <f>HYPERLINK("https://www.dndbeyond.com/magic-items/alchemy-jug", "Alchemy Jug")</f>
        <v>Alchemy Jug</v>
      </c>
      <c r="B8" s="16">
        <v>6000</v>
      </c>
      <c r="C8" s="21">
        <v>100</v>
      </c>
      <c r="D8" s="18" t="str">
        <f>VLOOKUP(F8,'Price Ranges'!$A$2:$B$8,2, FALSE)</f>
        <v>101-500</v>
      </c>
      <c r="E8" s="8" t="str">
        <f>VLOOKUP(F8,'Price Ranges'!$A$2:$C$8,3, FALSE)</f>
        <v>100-600</v>
      </c>
      <c r="F8" s="18" t="s">
        <v>19</v>
      </c>
      <c r="G8" s="18" t="s">
        <v>20</v>
      </c>
      <c r="H8" s="19">
        <v>150</v>
      </c>
      <c r="I8" s="18" t="s">
        <v>12</v>
      </c>
      <c r="J8" s="20" t="s">
        <v>13</v>
      </c>
    </row>
    <row r="9" spans="1:10" ht="15.75" customHeight="1">
      <c r="A9" s="5" t="str">
        <f>HYPERLINK("https://www.dndbeyond.com/magic-items/all-purpose-tool", "All-Purpose Tool")</f>
        <v>All-Purpose Tool</v>
      </c>
      <c r="B9" s="6"/>
      <c r="C9" s="7"/>
      <c r="D9" s="8" t="str">
        <f>VLOOKUP(F9,'Price Ranges'!$A$2:$B$8,2, FALSE)</f>
        <v>Varies</v>
      </c>
      <c r="E9" s="8" t="str">
        <f>VLOOKUP(F9,'Price Ranges'!$A$2:$C$8,3, FALSE)</f>
        <v>Varies</v>
      </c>
      <c r="F9" s="12" t="s">
        <v>24</v>
      </c>
      <c r="G9" s="12" t="s">
        <v>14</v>
      </c>
      <c r="H9" s="10"/>
      <c r="I9" s="8" t="s">
        <v>12</v>
      </c>
      <c r="J9" s="13" t="s">
        <v>15</v>
      </c>
    </row>
    <row r="10" spans="1:10" ht="15.75" customHeight="1">
      <c r="A10" s="15" t="str">
        <f>HYPERLINK("https://www.dndbeyond.com/magic-items/ammunition-1", "Ammunition +1 (Ea)")</f>
        <v>Ammunition +1 (Ea)</v>
      </c>
      <c r="B10" s="16">
        <v>25</v>
      </c>
      <c r="C10" s="21">
        <v>50</v>
      </c>
      <c r="D10" s="18" t="str">
        <f>VLOOKUP(F10,'Price Ranges'!$A$2:$B$8,2, FALSE)</f>
        <v>101-500</v>
      </c>
      <c r="E10" s="8" t="str">
        <f>VLOOKUP(F10,'Price Ranges'!$A$2:$C$8,3, FALSE)</f>
        <v>100-600</v>
      </c>
      <c r="F10" s="18" t="s">
        <v>19</v>
      </c>
      <c r="G10" s="18" t="s">
        <v>20</v>
      </c>
      <c r="H10" s="19">
        <v>150</v>
      </c>
      <c r="I10" s="18" t="s">
        <v>25</v>
      </c>
      <c r="J10" s="20" t="s">
        <v>13</v>
      </c>
    </row>
    <row r="11" spans="1:10" ht="15.75" customHeight="1">
      <c r="A11" s="15" t="str">
        <f>HYPERLINK("https://www.dndbeyond.com/magic-items/ammunition-2", "Ammunition +2 (Ea)")</f>
        <v>Ammunition +2 (Ea)</v>
      </c>
      <c r="B11" s="16">
        <v>100</v>
      </c>
      <c r="C11" s="21">
        <v>250</v>
      </c>
      <c r="D11" s="18" t="str">
        <f>VLOOKUP(F11,'Price Ranges'!$A$2:$B$8,2, FALSE)</f>
        <v>501-5000</v>
      </c>
      <c r="E11" s="8" t="str">
        <f>VLOOKUP(F11,'Price Ranges'!$A$2:$C$8,3, FALSE)</f>
        <v>2000-20000</v>
      </c>
      <c r="F11" s="18" t="s">
        <v>16</v>
      </c>
      <c r="G11" s="18" t="s">
        <v>20</v>
      </c>
      <c r="H11" s="19">
        <v>150</v>
      </c>
      <c r="I11" s="18" t="s">
        <v>25</v>
      </c>
      <c r="J11" s="20" t="s">
        <v>13</v>
      </c>
    </row>
    <row r="12" spans="1:10" ht="15.75" customHeight="1">
      <c r="A12" s="15" t="str">
        <f>HYPERLINK("https://www.dndbeyond.com/magic-items/ammunition-3", "Ammunition +3 (Ea)")</f>
        <v>Ammunition +3 (Ea)</v>
      </c>
      <c r="B12" s="16">
        <v>400</v>
      </c>
      <c r="C12" s="21">
        <v>2500</v>
      </c>
      <c r="D12" s="18" t="str">
        <f>VLOOKUP(F12,'Price Ranges'!$A$2:$B$8,2, FALSE)</f>
        <v>5001-50000</v>
      </c>
      <c r="E12" s="8" t="str">
        <f>VLOOKUP(F12,'Price Ranges'!$A$2:$C$8,3, FALSE)</f>
        <v>20000-50000</v>
      </c>
      <c r="F12" s="18" t="s">
        <v>10</v>
      </c>
      <c r="G12" s="18" t="s">
        <v>20</v>
      </c>
      <c r="H12" s="19">
        <v>150</v>
      </c>
      <c r="I12" s="18" t="s">
        <v>25</v>
      </c>
      <c r="J12" s="20" t="s">
        <v>13</v>
      </c>
    </row>
    <row r="13" spans="1:10" ht="15.75" customHeight="1">
      <c r="A13" s="15" t="str">
        <f>HYPERLINK("https://www.dndbeyond.com/magic-items/amulet-of-health", "Amulet Of Health")</f>
        <v>Amulet Of Health</v>
      </c>
      <c r="B13" s="16">
        <v>8000</v>
      </c>
      <c r="C13" s="21">
        <v>4000</v>
      </c>
      <c r="D13" s="18" t="str">
        <f>VLOOKUP(F13,'Price Ranges'!$A$2:$B$8,2, FALSE)</f>
        <v>501-5000</v>
      </c>
      <c r="E13" s="8" t="str">
        <f>VLOOKUP(F13,'Price Ranges'!$A$2:$C$8,3, FALSE)</f>
        <v>2000-20000</v>
      </c>
      <c r="F13" s="18" t="s">
        <v>16</v>
      </c>
      <c r="G13" s="18" t="s">
        <v>20</v>
      </c>
      <c r="H13" s="19">
        <v>150</v>
      </c>
      <c r="I13" s="18" t="s">
        <v>26</v>
      </c>
      <c r="J13" s="20" t="s">
        <v>15</v>
      </c>
    </row>
    <row r="14" spans="1:10" ht="15.75" customHeight="1">
      <c r="A14" s="15" t="str">
        <f>HYPERLINK("https://www.dndbeyond.com/magic-items/amulet-of-proof-against-detection-and-location", "Amulet Of Proof Against Detection And Location")</f>
        <v>Amulet Of Proof Against Detection And Location</v>
      </c>
      <c r="B14" s="16">
        <v>20000</v>
      </c>
      <c r="C14" s="21">
        <v>400</v>
      </c>
      <c r="D14" s="18" t="str">
        <f>VLOOKUP(F14,'Price Ranges'!$A$2:$B$8,2, FALSE)</f>
        <v>101-500</v>
      </c>
      <c r="E14" s="8" t="str">
        <f>VLOOKUP(F14,'Price Ranges'!$A$2:$C$8,3, FALSE)</f>
        <v>100-600</v>
      </c>
      <c r="F14" s="18" t="s">
        <v>19</v>
      </c>
      <c r="G14" s="18" t="s">
        <v>20</v>
      </c>
      <c r="H14" s="19">
        <v>150</v>
      </c>
      <c r="I14" s="18" t="s">
        <v>26</v>
      </c>
      <c r="J14" s="20" t="s">
        <v>15</v>
      </c>
    </row>
    <row r="15" spans="1:10" ht="15.75" customHeight="1">
      <c r="A15" s="15" t="str">
        <f>HYPERLINK("https://www.dndbeyond.com/magic-items/amulet-of-protection-from-turning", "Amulet Of Protection From Turning")</f>
        <v>Amulet Of Protection From Turning</v>
      </c>
      <c r="B15" s="6"/>
      <c r="C15" s="22">
        <v>3600</v>
      </c>
      <c r="D15" s="18" t="str">
        <f>VLOOKUP(F15,'Price Ranges'!$A$2:$B$8,2, FALSE)</f>
        <v>501-5000</v>
      </c>
      <c r="E15" s="8" t="str">
        <f>VLOOKUP(F15,'Price Ranges'!$A$2:$C$8,3, FALSE)</f>
        <v>2000-20000</v>
      </c>
      <c r="F15" s="18" t="s">
        <v>16</v>
      </c>
      <c r="G15" s="18" t="s">
        <v>27</v>
      </c>
      <c r="H15" s="23">
        <v>228</v>
      </c>
      <c r="I15" s="18" t="s">
        <v>26</v>
      </c>
      <c r="J15" s="20" t="s">
        <v>15</v>
      </c>
    </row>
    <row r="16" spans="1:10" ht="15.75" customHeight="1">
      <c r="A16" s="15" t="str">
        <f>HYPERLINK("https://www.dndbeyond.com/magic-items/amulet-of-the-black-skull", "Amulet Of The Black Skull")</f>
        <v>Amulet Of The Black Skull</v>
      </c>
      <c r="B16" s="6"/>
      <c r="C16" s="22">
        <v>6400</v>
      </c>
      <c r="D16" s="18" t="str">
        <f>VLOOKUP(F16,'Price Ranges'!$A$2:$B$8,2, FALSE)</f>
        <v>5001-50000</v>
      </c>
      <c r="E16" s="8" t="str">
        <f>VLOOKUP(F16,'Price Ranges'!$A$2:$C$8,3, FALSE)</f>
        <v>20000-50000</v>
      </c>
      <c r="F16" s="18" t="s">
        <v>10</v>
      </c>
      <c r="G16" s="18" t="s">
        <v>28</v>
      </c>
      <c r="H16" s="23">
        <v>206</v>
      </c>
      <c r="I16" s="18" t="s">
        <v>26</v>
      </c>
      <c r="J16" s="20" t="s">
        <v>15</v>
      </c>
    </row>
    <row r="17" spans="1:10" ht="15.75" customHeight="1">
      <c r="A17" s="5" t="str">
        <f>HYPERLINK("https://www.dndbeyond.com/magic-items/amulet-of-the-devout", "Amulet of the Devout")</f>
        <v>Amulet of the Devout</v>
      </c>
      <c r="B17" s="6"/>
      <c r="C17" s="7"/>
      <c r="D17" s="8" t="str">
        <f>VLOOKUP(F17,'Price Ranges'!$A$2:$B$8,2, FALSE)</f>
        <v>Varies</v>
      </c>
      <c r="E17" s="8" t="str">
        <f>VLOOKUP(F17,'Price Ranges'!$A$2:$C$8,3, FALSE)</f>
        <v>Varies</v>
      </c>
      <c r="F17" s="12" t="s">
        <v>24</v>
      </c>
      <c r="G17" s="12" t="s">
        <v>14</v>
      </c>
      <c r="H17" s="10"/>
      <c r="I17" s="8" t="s">
        <v>12</v>
      </c>
      <c r="J17" s="13" t="s">
        <v>15</v>
      </c>
    </row>
    <row r="18" spans="1:10" ht="15.75" customHeight="1">
      <c r="A18" s="5" t="str">
        <f>HYPERLINK("https://www.dndbeyond.com/magic-items/amulet-of-the-drunkard", "Amulet of the Drunkard")</f>
        <v>Amulet of the Drunkard</v>
      </c>
      <c r="B18" s="6"/>
      <c r="C18" s="14">
        <v>500</v>
      </c>
      <c r="D18" s="8" t="str">
        <f>VLOOKUP(F18,'Price Ranges'!$A$2:$B$8,2, FALSE)</f>
        <v>101-500</v>
      </c>
      <c r="E18" s="8" t="str">
        <f>VLOOKUP(F18,'Price Ranges'!$A$2:$C$8,3, FALSE)</f>
        <v>100-600</v>
      </c>
      <c r="F18" s="9" t="s">
        <v>19</v>
      </c>
      <c r="G18" s="9" t="s">
        <v>17</v>
      </c>
      <c r="H18" s="12">
        <v>265</v>
      </c>
      <c r="I18" s="9" t="s">
        <v>29</v>
      </c>
      <c r="J18" s="13" t="s">
        <v>13</v>
      </c>
    </row>
    <row r="19" spans="1:10" ht="15.75" customHeight="1">
      <c r="A19" s="24" t="str">
        <f>HYPERLINK("https://www.dndbeyond.com/magic-items/amulet-of-the-planes", "Amulet Of The Planes")</f>
        <v>Amulet Of The Planes</v>
      </c>
      <c r="B19" s="16">
        <v>160000</v>
      </c>
      <c r="C19" s="21">
        <v>43000</v>
      </c>
      <c r="D19" s="18" t="str">
        <f>VLOOKUP(F19,'Price Ranges'!$A$2:$B$8,2, FALSE)</f>
        <v>5001-50000</v>
      </c>
      <c r="E19" s="8" t="str">
        <f>VLOOKUP(F19,'Price Ranges'!$A$2:$C$8,3, FALSE)</f>
        <v>20000-50000</v>
      </c>
      <c r="F19" s="18" t="s">
        <v>10</v>
      </c>
      <c r="G19" s="18" t="s">
        <v>20</v>
      </c>
      <c r="H19" s="19">
        <v>150</v>
      </c>
      <c r="I19" s="18" t="s">
        <v>26</v>
      </c>
      <c r="J19" s="20" t="s">
        <v>15</v>
      </c>
    </row>
    <row r="20" spans="1:10" ht="15.75" customHeight="1">
      <c r="A20" s="24" t="str">
        <f>HYPERLINK("https://www.dndbeyond.com/magic-items/animated-shield", "Animated Shield")</f>
        <v>Animated Shield</v>
      </c>
      <c r="B20" s="16">
        <v>6000</v>
      </c>
      <c r="C20" s="21">
        <v>6000</v>
      </c>
      <c r="D20" s="18" t="str">
        <f>VLOOKUP(F20,'Price Ranges'!$A$2:$B$8,2, FALSE)</f>
        <v>5001-50000</v>
      </c>
      <c r="E20" s="8" t="str">
        <f>VLOOKUP(F20,'Price Ranges'!$A$2:$C$8,3, FALSE)</f>
        <v>20000-50000</v>
      </c>
      <c r="F20" s="18" t="s">
        <v>10</v>
      </c>
      <c r="G20" s="18" t="s">
        <v>20</v>
      </c>
      <c r="H20" s="19">
        <v>151</v>
      </c>
      <c r="I20" s="18" t="s">
        <v>30</v>
      </c>
      <c r="J20" s="20" t="s">
        <v>15</v>
      </c>
    </row>
    <row r="21" spans="1:10" ht="15.75" customHeight="1">
      <c r="A21" s="24" t="str">
        <f>HYPERLINK("https://www.dndbeyond.com/magic-items/apparatus-of-kwalish", "Apparatus Of Kwalish")</f>
        <v>Apparatus Of Kwalish</v>
      </c>
      <c r="B21" s="16">
        <v>10000</v>
      </c>
      <c r="C21" s="21">
        <v>90000</v>
      </c>
      <c r="D21" s="18" t="str">
        <f>VLOOKUP(F21,'Price Ranges'!$A$2:$B$8,2, FALSE)</f>
        <v>50001+</v>
      </c>
      <c r="E21" s="8" t="str">
        <f>VLOOKUP(F21,'Price Ranges'!$A$2:$C$8,3, FALSE)</f>
        <v>50000-300000</v>
      </c>
      <c r="F21" s="18" t="s">
        <v>31</v>
      </c>
      <c r="G21" s="18" t="s">
        <v>20</v>
      </c>
      <c r="H21" s="19">
        <v>151</v>
      </c>
      <c r="I21" s="18" t="s">
        <v>12</v>
      </c>
      <c r="J21" s="20" t="s">
        <v>13</v>
      </c>
    </row>
    <row r="22" spans="1:10" ht="15.75" customHeight="1">
      <c r="A22" s="24" t="str">
        <f>HYPERLINK("https://www.dndbeyond.com/magic-items/apparatus-of-the-crab", "Apparatus Of The Crab")</f>
        <v>Apparatus Of The Crab</v>
      </c>
      <c r="B22" s="16">
        <v>10000</v>
      </c>
      <c r="C22" s="21">
        <v>90000</v>
      </c>
      <c r="D22" s="18" t="str">
        <f>VLOOKUP(F22,'Price Ranges'!$A$2:$B$8,2, FALSE)</f>
        <v>50001+</v>
      </c>
      <c r="E22" s="8" t="str">
        <f>VLOOKUP(F22,'Price Ranges'!$A$2:$C$8,3, FALSE)</f>
        <v>50000-300000</v>
      </c>
      <c r="F22" s="18" t="s">
        <v>31</v>
      </c>
      <c r="G22" s="18" t="s">
        <v>32</v>
      </c>
      <c r="H22" s="18"/>
      <c r="I22" s="18" t="s">
        <v>12</v>
      </c>
      <c r="J22" s="20" t="s">
        <v>13</v>
      </c>
    </row>
    <row r="23" spans="1:10" ht="15.75" customHeight="1">
      <c r="A23" s="5" t="str">
        <f>HYPERLINK("https://www.dndbeyond.com/magic-items/arcane-cannon", "Arcane Cannon")</f>
        <v>Arcane Cannon</v>
      </c>
      <c r="B23" s="6"/>
      <c r="C23" s="14">
        <v>6500</v>
      </c>
      <c r="D23" s="8" t="str">
        <f>VLOOKUP(F23,'Price Ranges'!$A$2:$B$8,2, FALSE)</f>
        <v>5001-50000</v>
      </c>
      <c r="E23" s="8" t="str">
        <f>VLOOKUP(F23,'Price Ranges'!$A$2:$C$8,3, FALSE)</f>
        <v>20000-50000</v>
      </c>
      <c r="F23" s="9" t="s">
        <v>10</v>
      </c>
      <c r="G23" s="9" t="s">
        <v>17</v>
      </c>
      <c r="H23" s="12">
        <v>265</v>
      </c>
      <c r="I23" s="9" t="s">
        <v>29</v>
      </c>
      <c r="J23" s="13" t="s">
        <v>13</v>
      </c>
    </row>
    <row r="24" spans="1:10" ht="15.75" customHeight="1">
      <c r="A24" s="5" t="str">
        <f>HYPERLINK("https://www.dndbeyond.com/magic-items/arcane-grimoire", "Arcane Grimoire")</f>
        <v>Arcane Grimoire</v>
      </c>
      <c r="B24" s="6"/>
      <c r="C24" s="7"/>
      <c r="D24" s="8" t="str">
        <f>VLOOKUP(F24,'Price Ranges'!$A$2:$B$8,2, FALSE)</f>
        <v>Varies</v>
      </c>
      <c r="E24" s="8" t="str">
        <f>VLOOKUP(F24,'Price Ranges'!$A$2:$C$8,3, FALSE)</f>
        <v>Varies</v>
      </c>
      <c r="F24" s="12" t="s">
        <v>24</v>
      </c>
      <c r="G24" s="12" t="s">
        <v>14</v>
      </c>
      <c r="H24" s="10"/>
      <c r="I24" s="8" t="s">
        <v>12</v>
      </c>
      <c r="J24" s="13" t="s">
        <v>15</v>
      </c>
    </row>
    <row r="25" spans="1:10" ht="15.75" customHeight="1">
      <c r="A25" s="5" t="str">
        <f>HYPERLINK("https://www.dndbeyond.com/magic-items/arcane-propulsion-arm", "Arcane Propulsion Arm")</f>
        <v>Arcane Propulsion Arm</v>
      </c>
      <c r="B25" s="6"/>
      <c r="C25" s="14">
        <v>5100</v>
      </c>
      <c r="D25" s="8" t="str">
        <f>VLOOKUP(F25,'Price Ranges'!$A$2:$B$8,2, FALSE)</f>
        <v>5001-50000</v>
      </c>
      <c r="E25" s="8" t="str">
        <f>VLOOKUP(F25,'Price Ranges'!$A$2:$C$8,3, FALSE)</f>
        <v>20000-50000</v>
      </c>
      <c r="F25" s="9" t="s">
        <v>10</v>
      </c>
      <c r="G25" s="9" t="s">
        <v>33</v>
      </c>
      <c r="H25" s="10"/>
      <c r="I25" s="9" t="s">
        <v>12</v>
      </c>
      <c r="J25" s="13" t="s">
        <v>15</v>
      </c>
    </row>
    <row r="26" spans="1:10" ht="15.75" customHeight="1">
      <c r="A26" s="24" t="str">
        <f>HYPERLINK("https://www.dndbeyond.com/magic-items/arcanomechanical-armor", "Arcanomechanical Armor")</f>
        <v>Arcanomechanical Armor</v>
      </c>
      <c r="B26" s="6"/>
      <c r="C26" s="7"/>
      <c r="D26" s="18" t="str">
        <f>VLOOKUP(F26,'Price Ranges'!$A$2:$B$8,2, FALSE)</f>
        <v>501-5000</v>
      </c>
      <c r="E26" s="8" t="str">
        <f>VLOOKUP(F26,'Price Ranges'!$A$2:$C$8,3, FALSE)</f>
        <v>2000-20000</v>
      </c>
      <c r="F26" s="18" t="s">
        <v>16</v>
      </c>
      <c r="G26" s="18" t="s">
        <v>34</v>
      </c>
      <c r="H26" s="18"/>
      <c r="I26" s="18" t="s">
        <v>21</v>
      </c>
      <c r="J26" s="20" t="s">
        <v>15</v>
      </c>
    </row>
    <row r="27" spans="1:10" ht="15.75" customHeight="1">
      <c r="A27" s="24" t="str">
        <f t="shared" ref="A27:A28" si="0">HYPERLINK("https://www.dndbeyond.com/magic-items/armblade", "Armblade")</f>
        <v>Armblade</v>
      </c>
      <c r="B27" s="6"/>
      <c r="C27" s="14">
        <v>100</v>
      </c>
      <c r="D27" s="18" t="str">
        <f>VLOOKUP(F27,'Price Ranges'!$A$2:$B$8,2, FALSE)</f>
        <v>50-100</v>
      </c>
      <c r="E27" s="8" t="str">
        <f>VLOOKUP(F27,'Price Ranges'!$A$2:$C$8,3, FALSE)</f>
        <v>20-70</v>
      </c>
      <c r="F27" s="18" t="s">
        <v>35</v>
      </c>
      <c r="G27" s="18" t="s">
        <v>36</v>
      </c>
      <c r="H27" s="18"/>
      <c r="I27" s="18" t="s">
        <v>18</v>
      </c>
      <c r="J27" s="20" t="s">
        <v>15</v>
      </c>
    </row>
    <row r="28" spans="1:10" ht="15.75" customHeight="1">
      <c r="A28" s="5" t="str">
        <f t="shared" si="0"/>
        <v>Armblade</v>
      </c>
      <c r="B28" s="6"/>
      <c r="C28" s="14">
        <v>100</v>
      </c>
      <c r="D28" s="8" t="str">
        <f>VLOOKUP(F28,'Price Ranges'!$A$2:$B$8,2, FALSE)</f>
        <v>50-100</v>
      </c>
      <c r="E28" s="8" t="str">
        <f>VLOOKUP(F28,'Price Ranges'!$A$2:$C$8,3, FALSE)</f>
        <v>20-70</v>
      </c>
      <c r="F28" s="9" t="s">
        <v>35</v>
      </c>
      <c r="G28" s="9" t="s">
        <v>33</v>
      </c>
      <c r="H28" s="8"/>
      <c r="I28" s="9" t="s">
        <v>18</v>
      </c>
      <c r="J28" s="13" t="s">
        <v>15</v>
      </c>
    </row>
    <row r="29" spans="1:10" ht="15.75" customHeight="1">
      <c r="A29" s="24" t="str">
        <f>HYPERLINK("https://www.dndbeyond.com/magic-items/armor-of-gleaming", "Armor Of Gleaming (any medium or heavy)")</f>
        <v>Armor Of Gleaming (any medium or heavy)</v>
      </c>
      <c r="B29" s="6"/>
      <c r="C29" s="22">
        <v>75</v>
      </c>
      <c r="D29" s="18" t="str">
        <f>VLOOKUP(F29,'Price Ranges'!$A$2:$B$8,2, FALSE)</f>
        <v>50-100</v>
      </c>
      <c r="E29" s="8" t="str">
        <f>VLOOKUP(F29,'Price Ranges'!$A$2:$C$8,3, FALSE)</f>
        <v>20-70</v>
      </c>
      <c r="F29" s="18" t="s">
        <v>35</v>
      </c>
      <c r="G29" s="18" t="s">
        <v>37</v>
      </c>
      <c r="H29" s="19">
        <v>136</v>
      </c>
      <c r="I29" s="18" t="s">
        <v>21</v>
      </c>
      <c r="J29" s="20" t="s">
        <v>13</v>
      </c>
    </row>
    <row r="30" spans="1:10" ht="15.75" customHeight="1">
      <c r="A30" s="24" t="str">
        <f>HYPERLINK("https://www.dndbeyond.com/magic-items/armor-of-invulnerability", "Armor Of Invulnerability")</f>
        <v>Armor Of Invulnerability</v>
      </c>
      <c r="B30" s="16">
        <v>18000</v>
      </c>
      <c r="C30" s="21">
        <v>70000</v>
      </c>
      <c r="D30" s="18" t="str">
        <f>VLOOKUP(F30,'Price Ranges'!$A$2:$B$8,2, FALSE)</f>
        <v>50001+</v>
      </c>
      <c r="E30" s="8" t="str">
        <f>VLOOKUP(F30,'Price Ranges'!$A$2:$C$8,3, FALSE)</f>
        <v>50000-300000</v>
      </c>
      <c r="F30" s="18" t="s">
        <v>31</v>
      </c>
      <c r="G30" s="18" t="s">
        <v>20</v>
      </c>
      <c r="H30" s="19">
        <v>152</v>
      </c>
      <c r="I30" s="18" t="s">
        <v>21</v>
      </c>
      <c r="J30" s="20" t="s">
        <v>15</v>
      </c>
    </row>
    <row r="31" spans="1:10" ht="15.75" customHeight="1">
      <c r="A31" s="24" t="str">
        <f>HYPERLINK("https://www.dndbeyond.com/magic-items/armor-of-resistance", "Armor Of Resistance")</f>
        <v>Armor Of Resistance</v>
      </c>
      <c r="B31" s="16">
        <v>6000</v>
      </c>
      <c r="C31" s="21">
        <v>3000</v>
      </c>
      <c r="D31" s="18" t="str">
        <f>VLOOKUP(F31,'Price Ranges'!$A$2:$B$8,2, FALSE)</f>
        <v>501-5000</v>
      </c>
      <c r="E31" s="8" t="str">
        <f>VLOOKUP(F31,'Price Ranges'!$A$2:$C$8,3, FALSE)</f>
        <v>2000-20000</v>
      </c>
      <c r="F31" s="18" t="s">
        <v>16</v>
      </c>
      <c r="G31" s="18" t="s">
        <v>20</v>
      </c>
      <c r="H31" s="19">
        <v>152</v>
      </c>
      <c r="I31" s="18" t="s">
        <v>21</v>
      </c>
      <c r="J31" s="20" t="s">
        <v>15</v>
      </c>
    </row>
    <row r="32" spans="1:10" ht="15.75" customHeight="1">
      <c r="A32" s="24" t="str">
        <f>HYPERLINK("https://www.dndbeyond.com/magic-items/armor-of-vulnerability", "Armor Of Vulnerability")</f>
        <v>Armor Of Vulnerability</v>
      </c>
      <c r="B32" s="6"/>
      <c r="C32" s="14">
        <v>1500</v>
      </c>
      <c r="D32" s="18" t="str">
        <f>VLOOKUP(F32,'Price Ranges'!$A$2:$B$8,2, FALSE)</f>
        <v>501-5000</v>
      </c>
      <c r="E32" s="8" t="str">
        <f>VLOOKUP(F32,'Price Ranges'!$A$2:$C$8,3, FALSE)</f>
        <v>2000-20000</v>
      </c>
      <c r="F32" s="18" t="s">
        <v>16</v>
      </c>
      <c r="G32" s="18" t="s">
        <v>32</v>
      </c>
      <c r="H32" s="18"/>
      <c r="I32" s="18" t="s">
        <v>21</v>
      </c>
      <c r="J32" s="20" t="s">
        <v>15</v>
      </c>
    </row>
    <row r="33" spans="1:10" ht="15.75" customHeight="1">
      <c r="A33" s="24" t="str">
        <f>HYPERLINK("https://www.dndbeyond.com/magic-items/armor-1", "Armor, +1")</f>
        <v>Armor, +1</v>
      </c>
      <c r="B33" s="16">
        <v>1500</v>
      </c>
      <c r="C33" s="25">
        <v>3000</v>
      </c>
      <c r="D33" s="18" t="str">
        <f>VLOOKUP(F33,'Price Ranges'!$A$2:$B$8,2, FALSE)</f>
        <v>501-5000</v>
      </c>
      <c r="E33" s="8" t="str">
        <f>VLOOKUP(F33,'Price Ranges'!$A$2:$C$8,3, FALSE)</f>
        <v>2000-20000</v>
      </c>
      <c r="F33" s="18" t="s">
        <v>16</v>
      </c>
      <c r="G33" s="18" t="s">
        <v>20</v>
      </c>
      <c r="H33" s="19">
        <v>152</v>
      </c>
      <c r="I33" s="18" t="s">
        <v>21</v>
      </c>
      <c r="J33" s="20" t="s">
        <v>13</v>
      </c>
    </row>
    <row r="34" spans="1:10" ht="15.75" customHeight="1">
      <c r="A34" s="24" t="str">
        <f>HYPERLINK("https://www.dndbeyond.com/magic-items/armor-2", "Armor, +2")</f>
        <v>Armor, +2</v>
      </c>
      <c r="B34" s="16">
        <v>6000</v>
      </c>
      <c r="C34" s="21">
        <v>20000</v>
      </c>
      <c r="D34" s="18" t="str">
        <f>VLOOKUP(F34,'Price Ranges'!$A$2:$B$8,2, FALSE)</f>
        <v>5001-50000</v>
      </c>
      <c r="E34" s="8" t="str">
        <f>VLOOKUP(F34,'Price Ranges'!$A$2:$C$8,3, FALSE)</f>
        <v>20000-50000</v>
      </c>
      <c r="F34" s="18" t="s">
        <v>10</v>
      </c>
      <c r="G34" s="18" t="s">
        <v>20</v>
      </c>
      <c r="H34" s="19">
        <v>152</v>
      </c>
      <c r="I34" s="18" t="s">
        <v>21</v>
      </c>
      <c r="J34" s="20" t="s">
        <v>13</v>
      </c>
    </row>
    <row r="35" spans="1:10" ht="15.75" customHeight="1">
      <c r="A35" s="24" t="str">
        <f>HYPERLINK("https://www.dndbeyond.com/magic-items/armor-3", "Armor, +3")</f>
        <v>Armor, +3</v>
      </c>
      <c r="B35" s="16">
        <v>24000</v>
      </c>
      <c r="C35" s="21">
        <v>51000</v>
      </c>
      <c r="D35" s="18" t="str">
        <f>VLOOKUP(F35,'Price Ranges'!$A$2:$B$8,2, FALSE)</f>
        <v>50001+</v>
      </c>
      <c r="E35" s="8" t="str">
        <f>VLOOKUP(F35,'Price Ranges'!$A$2:$C$8,3, FALSE)</f>
        <v>50000-300000</v>
      </c>
      <c r="F35" s="18" t="s">
        <v>31</v>
      </c>
      <c r="G35" s="18" t="s">
        <v>20</v>
      </c>
      <c r="H35" s="19">
        <v>152</v>
      </c>
      <c r="I35" s="18" t="s">
        <v>21</v>
      </c>
      <c r="J35" s="20" t="s">
        <v>13</v>
      </c>
    </row>
    <row r="36" spans="1:10" ht="15.75" customHeight="1">
      <c r="A36" s="24" t="str">
        <f>HYPERLINK("https://www.dndbeyond.com/magic-items/arrow-of-slaying", "Arrow Of Slaying (Ea)")</f>
        <v>Arrow Of Slaying (Ea)</v>
      </c>
      <c r="B36" s="16">
        <v>600</v>
      </c>
      <c r="C36" s="21">
        <v>1000</v>
      </c>
      <c r="D36" s="18" t="str">
        <f>VLOOKUP(F36,'Price Ranges'!$A$2:$B$8,2, FALSE)</f>
        <v>5001-50000</v>
      </c>
      <c r="E36" s="8" t="str">
        <f>VLOOKUP(F36,'Price Ranges'!$A$2:$C$8,3, FALSE)</f>
        <v>20000-50000</v>
      </c>
      <c r="F36" s="18" t="s">
        <v>10</v>
      </c>
      <c r="G36" s="18" t="s">
        <v>20</v>
      </c>
      <c r="H36" s="19">
        <v>152</v>
      </c>
      <c r="I36" s="18" t="s">
        <v>25</v>
      </c>
      <c r="J36" s="20" t="s">
        <v>13</v>
      </c>
    </row>
    <row r="37" spans="1:10" ht="15.75" customHeight="1">
      <c r="A37" s="24" t="str">
        <f>HYPERLINK("https://www.dndbeyond.com/magic-items/arrow-catching-shield", "Arrow-Catching Shield")</f>
        <v>Arrow-Catching Shield</v>
      </c>
      <c r="B37" s="16">
        <v>6000</v>
      </c>
      <c r="C37" s="21">
        <v>4500</v>
      </c>
      <c r="D37" s="18" t="str">
        <f>VLOOKUP(F37,'Price Ranges'!$A$2:$B$8,2, FALSE)</f>
        <v>501-5000</v>
      </c>
      <c r="E37" s="8" t="str">
        <f>VLOOKUP(F37,'Price Ranges'!$A$2:$C$8,3, FALSE)</f>
        <v>2000-20000</v>
      </c>
      <c r="F37" s="18" t="s">
        <v>16</v>
      </c>
      <c r="G37" s="18" t="s">
        <v>20</v>
      </c>
      <c r="H37" s="19">
        <v>152</v>
      </c>
      <c r="I37" s="18" t="s">
        <v>30</v>
      </c>
      <c r="J37" s="20" t="s">
        <v>15</v>
      </c>
    </row>
    <row r="38" spans="1:10" ht="15.75" customHeight="1">
      <c r="A38" s="24" t="str">
        <f>HYPERLINK("https://www.dndbeyond.com/magic-items/artificer-wand-1", "Artificer Wand +1")</f>
        <v>Artificer Wand +1</v>
      </c>
      <c r="B38" s="6"/>
      <c r="C38" s="7"/>
      <c r="D38" s="18" t="str">
        <f>VLOOKUP(F38,'Price Ranges'!$A$2:$B$8,2, FALSE)</f>
        <v>Varies</v>
      </c>
      <c r="E38" s="8" t="str">
        <f>VLOOKUP(F38,'Price Ranges'!$A$2:$C$8,3, FALSE)</f>
        <v>Varies</v>
      </c>
      <c r="F38" s="18" t="s">
        <v>24</v>
      </c>
      <c r="G38" s="18" t="s">
        <v>34</v>
      </c>
      <c r="H38" s="26"/>
      <c r="I38" s="18" t="s">
        <v>38</v>
      </c>
      <c r="J38" s="20" t="s">
        <v>15</v>
      </c>
    </row>
    <row r="39" spans="1:10" ht="12.75">
      <c r="A39" s="24" t="str">
        <f>HYPERLINK("https://www.dndbeyond.com/magic-items/artificer-wand-2", "Artificer Wand +2")</f>
        <v>Artificer Wand +2</v>
      </c>
      <c r="B39" s="6"/>
      <c r="C39" s="7"/>
      <c r="D39" s="18" t="str">
        <f>VLOOKUP(F39,'Price Ranges'!$A$2:$B$8,2, FALSE)</f>
        <v>Varies</v>
      </c>
      <c r="E39" s="8" t="str">
        <f>VLOOKUP(F39,'Price Ranges'!$A$2:$C$8,3, FALSE)</f>
        <v>Varies</v>
      </c>
      <c r="F39" s="18" t="s">
        <v>24</v>
      </c>
      <c r="G39" s="18" t="s">
        <v>34</v>
      </c>
      <c r="H39" s="26"/>
      <c r="I39" s="18" t="s">
        <v>38</v>
      </c>
      <c r="J39" s="20" t="s">
        <v>15</v>
      </c>
    </row>
    <row r="40" spans="1:10" ht="12.75">
      <c r="A40" s="5" t="str">
        <f>HYPERLINK("https://www.dndbeyond.com/magic-items/astral-shard", "Astral Shard")</f>
        <v>Astral Shard</v>
      </c>
      <c r="B40" s="6"/>
      <c r="C40" s="7"/>
      <c r="D40" s="8" t="str">
        <f>VLOOKUP(F40,'Price Ranges'!$A$2:$B$8,2, FALSE)</f>
        <v>501-5000</v>
      </c>
      <c r="E40" s="8" t="str">
        <f>VLOOKUP(F40,'Price Ranges'!$A$2:$C$8,3, FALSE)</f>
        <v>2000-20000</v>
      </c>
      <c r="F40" s="12" t="s">
        <v>16</v>
      </c>
      <c r="G40" s="12" t="s">
        <v>14</v>
      </c>
      <c r="H40" s="10"/>
      <c r="I40" s="8" t="s">
        <v>12</v>
      </c>
      <c r="J40" s="13" t="s">
        <v>15</v>
      </c>
    </row>
    <row r="41" spans="1:10" ht="12.75">
      <c r="A41" s="5" t="str">
        <f>HYPERLINK("https://www.dndbeyond.com/magic-items/astronomy-archive", "Astronomy Archive")</f>
        <v>Astronomy Archive</v>
      </c>
      <c r="B41" s="6"/>
      <c r="C41" s="7"/>
      <c r="D41" s="8" t="str">
        <f>VLOOKUP(F41,'Price Ranges'!$A$2:$B$8,2, FALSE)</f>
        <v>501-5000</v>
      </c>
      <c r="E41" s="8" t="str">
        <f>VLOOKUP(F41,'Price Ranges'!$A$2:$C$8,3, FALSE)</f>
        <v>2000-20000</v>
      </c>
      <c r="F41" s="12" t="s">
        <v>16</v>
      </c>
      <c r="G41" s="12" t="s">
        <v>14</v>
      </c>
      <c r="H41" s="10"/>
      <c r="I41" s="8" t="s">
        <v>12</v>
      </c>
      <c r="J41" s="13" t="s">
        <v>15</v>
      </c>
    </row>
    <row r="42" spans="1:10" ht="12.75">
      <c r="A42" s="5" t="str">
        <f>HYPERLINK("https://www.dndbeyond.com/magic-items/atlas-of-endless-horizons", "Atlas of Endless Horizons")</f>
        <v>Atlas of Endless Horizons</v>
      </c>
      <c r="B42" s="6"/>
      <c r="C42" s="7"/>
      <c r="D42" s="8" t="str">
        <f>VLOOKUP(F42,'Price Ranges'!$A$2:$B$8,2, FALSE)</f>
        <v>501-5000</v>
      </c>
      <c r="E42" s="8" t="str">
        <f>VLOOKUP(F42,'Price Ranges'!$A$2:$C$8,3, FALSE)</f>
        <v>2000-20000</v>
      </c>
      <c r="F42" s="12" t="s">
        <v>16</v>
      </c>
      <c r="G42" s="12" t="s">
        <v>14</v>
      </c>
      <c r="H42" s="10"/>
      <c r="I42" s="8" t="s">
        <v>12</v>
      </c>
      <c r="J42" s="13" t="s">
        <v>15</v>
      </c>
    </row>
    <row r="43" spans="1:10" ht="12.75">
      <c r="A43" s="24" t="str">
        <f>HYPERLINK("https://www.dndbeyond.com/magic-items/axe-of-the-dwarvish-lords", "Axe Of The Dwarvish Lords")</f>
        <v>Axe Of The Dwarvish Lords</v>
      </c>
      <c r="B43" s="6"/>
      <c r="C43" s="7"/>
      <c r="D43" s="18" t="str">
        <f>VLOOKUP(F43,'Price Ranges'!$A$2:$B$8,2, FALSE)</f>
        <v>Priceless</v>
      </c>
      <c r="E43" s="8" t="str">
        <f>VLOOKUP(F43,'Price Ranges'!$A$2:$C$8,3, FALSE)</f>
        <v>Priceless</v>
      </c>
      <c r="F43" s="18" t="s">
        <v>22</v>
      </c>
      <c r="G43" s="18" t="s">
        <v>20</v>
      </c>
      <c r="H43" s="26"/>
      <c r="I43" s="18" t="s">
        <v>18</v>
      </c>
      <c r="J43" s="20" t="s">
        <v>15</v>
      </c>
    </row>
    <row r="44" spans="1:10" ht="12.75">
      <c r="A44" s="24" t="str">
        <f>HYPERLINK("https://www.dndbeyond.com/magic-items/azuredge", "Azuredge (battleaxe)")</f>
        <v>Azuredge (battleaxe)</v>
      </c>
      <c r="B44" s="6"/>
      <c r="C44" s="22">
        <v>53000</v>
      </c>
      <c r="D44" s="18" t="str">
        <f>VLOOKUP(F44,'Price Ranges'!$A$2:$B$8,2, FALSE)</f>
        <v>50001+</v>
      </c>
      <c r="E44" s="8" t="str">
        <f>VLOOKUP(F44,'Price Ranges'!$A$2:$C$8,3, FALSE)</f>
        <v>50000-300000</v>
      </c>
      <c r="F44" s="18" t="s">
        <v>31</v>
      </c>
      <c r="G44" s="18" t="s">
        <v>39</v>
      </c>
      <c r="H44" s="23">
        <v>189</v>
      </c>
      <c r="I44" s="18" t="s">
        <v>18</v>
      </c>
      <c r="J44" s="20" t="s">
        <v>15</v>
      </c>
    </row>
    <row r="45" spans="1:10" ht="12.75">
      <c r="A45" s="5" t="str">
        <f>HYPERLINK("https://www.dndbeyond.com/magic-items/baba-yagas-mortar-and-pestle", "Baba Yaga's Mortar and Pestle")</f>
        <v>Baba Yaga's Mortar and Pestle</v>
      </c>
      <c r="B45" s="6"/>
      <c r="C45" s="7"/>
      <c r="D45" s="8" t="str">
        <f>VLOOKUP(F45,'Price Ranges'!$A$2:$B$8,2, FALSE)</f>
        <v>Priceless</v>
      </c>
      <c r="E45" s="8" t="str">
        <f>VLOOKUP(F45,'Price Ranges'!$A$2:$C$8,3, FALSE)</f>
        <v>Priceless</v>
      </c>
      <c r="F45" s="12" t="s">
        <v>22</v>
      </c>
      <c r="G45" s="12" t="s">
        <v>14</v>
      </c>
      <c r="H45" s="10"/>
      <c r="I45" s="8" t="s">
        <v>12</v>
      </c>
      <c r="J45" s="13" t="s">
        <v>15</v>
      </c>
    </row>
    <row r="46" spans="1:10" ht="12.75">
      <c r="A46" s="24" t="str">
        <f>HYPERLINK("https://www.dndbeyond.com/magic-items/badge-of-the-watch", "Badge Of The Watch")</f>
        <v>Badge Of The Watch</v>
      </c>
      <c r="B46" s="6"/>
      <c r="C46" s="22">
        <v>3250</v>
      </c>
      <c r="D46" s="18" t="str">
        <f>VLOOKUP(F46,'Price Ranges'!$A$2:$B$8,2, FALSE)</f>
        <v>501-5000</v>
      </c>
      <c r="E46" s="8" t="str">
        <f>VLOOKUP(F46,'Price Ranges'!$A$2:$C$8,3, FALSE)</f>
        <v>2000-20000</v>
      </c>
      <c r="F46" s="18" t="s">
        <v>16</v>
      </c>
      <c r="G46" s="18" t="s">
        <v>39</v>
      </c>
      <c r="H46" s="23">
        <v>189</v>
      </c>
      <c r="I46" s="18" t="s">
        <v>12</v>
      </c>
      <c r="J46" s="20" t="s">
        <v>15</v>
      </c>
    </row>
    <row r="47" spans="1:10" ht="12.75">
      <c r="A47" s="24" t="str">
        <f>HYPERLINK("https://www.dndbeyond.com/magic-items/bag-of-beans", "Bag Of Beans")</f>
        <v>Bag Of Beans</v>
      </c>
      <c r="B47" s="6"/>
      <c r="C47" s="22">
        <v>4200</v>
      </c>
      <c r="D47" s="18" t="str">
        <f>VLOOKUP(F47,'Price Ranges'!$A$2:$B$8,2, FALSE)</f>
        <v>501-5000</v>
      </c>
      <c r="E47" s="8" t="str">
        <f>VLOOKUP(F47,'Price Ranges'!$A$2:$C$8,3, FALSE)</f>
        <v>2000-20000</v>
      </c>
      <c r="F47" s="18" t="s">
        <v>16</v>
      </c>
      <c r="G47" s="18" t="s">
        <v>20</v>
      </c>
      <c r="H47" s="23">
        <v>152</v>
      </c>
      <c r="I47" s="18" t="s">
        <v>12</v>
      </c>
      <c r="J47" s="20" t="s">
        <v>13</v>
      </c>
    </row>
    <row r="48" spans="1:10" ht="12.75">
      <c r="A48" s="24" t="str">
        <f t="shared" ref="A48:A49" si="1">HYPERLINK("https://www.dndbeyond.com/magic-items/bag-of-bounty", "Bag Of Bounty")</f>
        <v>Bag Of Bounty</v>
      </c>
      <c r="B48" s="6"/>
      <c r="C48" s="7"/>
      <c r="D48" s="18" t="str">
        <f>VLOOKUP(F48,'Price Ranges'!$A$2:$B$8,2, FALSE)</f>
        <v>101-500</v>
      </c>
      <c r="E48" s="8" t="str">
        <f>VLOOKUP(F48,'Price Ranges'!$A$2:$C$8,3, FALSE)</f>
        <v>100-600</v>
      </c>
      <c r="F48" s="18" t="s">
        <v>19</v>
      </c>
      <c r="G48" s="18" t="s">
        <v>36</v>
      </c>
      <c r="H48" s="26"/>
      <c r="I48" s="18" t="s">
        <v>12</v>
      </c>
      <c r="J48" s="20" t="s">
        <v>13</v>
      </c>
    </row>
    <row r="49" spans="1:10" ht="12.75">
      <c r="A49" s="5" t="str">
        <f t="shared" si="1"/>
        <v>Bag Of Bounty</v>
      </c>
      <c r="B49" s="6"/>
      <c r="C49" s="7"/>
      <c r="D49" s="8" t="str">
        <f>VLOOKUP(F49,'Price Ranges'!$A$2:$B$8,2, FALSE)</f>
        <v>101-500</v>
      </c>
      <c r="E49" s="8" t="str">
        <f>VLOOKUP(F49,'Price Ranges'!$A$2:$C$8,3, FALSE)</f>
        <v>100-600</v>
      </c>
      <c r="F49" s="9" t="s">
        <v>19</v>
      </c>
      <c r="G49" s="9" t="s">
        <v>33</v>
      </c>
      <c r="H49" s="10"/>
      <c r="I49" s="9" t="s">
        <v>12</v>
      </c>
      <c r="J49" s="13" t="s">
        <v>13</v>
      </c>
    </row>
    <row r="50" spans="1:10" ht="12.75">
      <c r="A50" s="24" t="str">
        <f>HYPERLINK("https://www.dndbeyond.com/magic-items/bag-of-devouring", "Bag Of Devouring")</f>
        <v>Bag Of Devouring</v>
      </c>
      <c r="B50" s="6"/>
      <c r="C50" s="21">
        <v>12000</v>
      </c>
      <c r="D50" s="18" t="str">
        <f>VLOOKUP(F50,'Price Ranges'!$A$2:$B$8,2, FALSE)</f>
        <v>5001-50000</v>
      </c>
      <c r="E50" s="8" t="str">
        <f>VLOOKUP(F50,'Price Ranges'!$A$2:$C$8,3, FALSE)</f>
        <v>20000-50000</v>
      </c>
      <c r="F50" s="18" t="s">
        <v>10</v>
      </c>
      <c r="G50" s="18" t="s">
        <v>20</v>
      </c>
      <c r="H50" s="19">
        <v>153</v>
      </c>
      <c r="I50" s="18" t="s">
        <v>12</v>
      </c>
      <c r="J50" s="20" t="s">
        <v>13</v>
      </c>
    </row>
    <row r="51" spans="1:10" ht="12.75">
      <c r="A51" s="24" t="str">
        <f>HYPERLINK("https://www.dndbeyond.com/magic-items/bag-of-holding", "Bag Of Holding")</f>
        <v>Bag Of Holding</v>
      </c>
      <c r="B51" s="16">
        <v>4000</v>
      </c>
      <c r="C51" s="21">
        <v>500</v>
      </c>
      <c r="D51" s="18" t="str">
        <f>VLOOKUP(F51,'Price Ranges'!$A$2:$B$8,2, FALSE)</f>
        <v>101-500</v>
      </c>
      <c r="E51" s="8" t="str">
        <f>VLOOKUP(F51,'Price Ranges'!$A$2:$C$8,3, FALSE)</f>
        <v>100-600</v>
      </c>
      <c r="F51" s="18" t="s">
        <v>19</v>
      </c>
      <c r="G51" s="18" t="s">
        <v>20</v>
      </c>
      <c r="H51" s="19">
        <v>153</v>
      </c>
      <c r="I51" s="18" t="s">
        <v>12</v>
      </c>
      <c r="J51" s="20" t="s">
        <v>13</v>
      </c>
    </row>
    <row r="52" spans="1:10" ht="12.75">
      <c r="A52" s="24" t="str">
        <f>HYPERLINK("https://www.dndbeyond.com/magic-items/bag-of-tricks", "Bag Of Tricks")</f>
        <v>Bag Of Tricks</v>
      </c>
      <c r="B52" s="6"/>
      <c r="C52" s="22">
        <v>350</v>
      </c>
      <c r="D52" s="18" t="str">
        <f>VLOOKUP(F52,'Price Ranges'!$A$2:$B$8,2, FALSE)</f>
        <v>101-500</v>
      </c>
      <c r="E52" s="8" t="str">
        <f>VLOOKUP(F52,'Price Ranges'!$A$2:$C$8,3, FALSE)</f>
        <v>100-600</v>
      </c>
      <c r="F52" s="18" t="s">
        <v>19</v>
      </c>
      <c r="G52" s="18" t="s">
        <v>20</v>
      </c>
      <c r="H52" s="23">
        <v>154</v>
      </c>
      <c r="I52" s="18" t="s">
        <v>12</v>
      </c>
      <c r="J52" s="20" t="s">
        <v>13</v>
      </c>
    </row>
    <row r="53" spans="1:10" ht="12.75">
      <c r="A53" s="24" t="str">
        <f>HYPERLINK("https://www.dndbeyond.com/magic-items/balance-of-harmony", "Balance Of Harmony")</f>
        <v>Balance Of Harmony</v>
      </c>
      <c r="B53" s="6"/>
      <c r="C53" s="22">
        <v>200</v>
      </c>
      <c r="D53" s="18" t="str">
        <f>VLOOKUP(F53,'Price Ranges'!$A$2:$B$8,2, FALSE)</f>
        <v>101-500</v>
      </c>
      <c r="E53" s="8" t="str">
        <f>VLOOKUP(F53,'Price Ranges'!$A$2:$C$8,3, FALSE)</f>
        <v>100-600</v>
      </c>
      <c r="F53" s="18" t="s">
        <v>19</v>
      </c>
      <c r="G53" s="18" t="s">
        <v>27</v>
      </c>
      <c r="H53" s="23">
        <v>228</v>
      </c>
      <c r="I53" s="18" t="s">
        <v>12</v>
      </c>
      <c r="J53" s="20" t="s">
        <v>13</v>
      </c>
    </row>
    <row r="54" spans="1:10" ht="12.75">
      <c r="A54" s="24" t="str">
        <f>HYPERLINK("https://www.dndbeyond.com/magic-items/balloon-pack", "Balloon Pack")</f>
        <v>Balloon Pack</v>
      </c>
      <c r="B54" s="6"/>
      <c r="C54" s="22">
        <v>275</v>
      </c>
      <c r="D54" s="18" t="str">
        <f>VLOOKUP(F54,'Price Ranges'!$A$2:$B$8,2, FALSE)</f>
        <v>101-500</v>
      </c>
      <c r="E54" s="8" t="str">
        <f>VLOOKUP(F54,'Price Ranges'!$A$2:$C$8,3, FALSE)</f>
        <v>100-600</v>
      </c>
      <c r="F54" s="18" t="s">
        <v>19</v>
      </c>
      <c r="G54" s="18" t="s">
        <v>40</v>
      </c>
      <c r="H54" s="23">
        <v>222</v>
      </c>
      <c r="I54" s="18" t="s">
        <v>12</v>
      </c>
      <c r="J54" s="20" t="s">
        <v>13</v>
      </c>
    </row>
    <row r="55" spans="1:10" ht="12.75">
      <c r="A55" s="24" t="str">
        <f t="shared" ref="A55:A56" si="2">HYPERLINK("https://www.dndbeyond.com/magic-items/band-of-loyalty", "Band Of Loyalty")</f>
        <v>Band Of Loyalty</v>
      </c>
      <c r="B55" s="6"/>
      <c r="C55" s="7"/>
      <c r="D55" s="18" t="str">
        <f>VLOOKUP(F55,'Price Ranges'!$A$2:$B$8,2, FALSE)</f>
        <v>101-500</v>
      </c>
      <c r="E55" s="8" t="str">
        <f>VLOOKUP(F55,'Price Ranges'!$A$2:$C$8,3, FALSE)</f>
        <v>100-600</v>
      </c>
      <c r="F55" s="18" t="s">
        <v>19</v>
      </c>
      <c r="G55" s="18" t="s">
        <v>36</v>
      </c>
      <c r="H55" s="26"/>
      <c r="I55" s="18" t="s">
        <v>41</v>
      </c>
      <c r="J55" s="20" t="s">
        <v>15</v>
      </c>
    </row>
    <row r="56" spans="1:10" ht="12.75">
      <c r="A56" s="5" t="str">
        <f t="shared" si="2"/>
        <v>Band Of Loyalty</v>
      </c>
      <c r="B56" s="6"/>
      <c r="C56" s="7"/>
      <c r="D56" s="8" t="str">
        <f>VLOOKUP(F56,'Price Ranges'!$A$2:$B$8,2, FALSE)</f>
        <v>50-100</v>
      </c>
      <c r="E56" s="8" t="str">
        <f>VLOOKUP(F56,'Price Ranges'!$A$2:$C$8,3, FALSE)</f>
        <v>20-70</v>
      </c>
      <c r="F56" s="9" t="s">
        <v>35</v>
      </c>
      <c r="G56" s="9" t="s">
        <v>33</v>
      </c>
      <c r="H56" s="10"/>
      <c r="I56" s="9" t="s">
        <v>42</v>
      </c>
      <c r="J56" s="13" t="s">
        <v>15</v>
      </c>
    </row>
    <row r="57" spans="1:10" ht="12.75">
      <c r="A57" s="24" t="str">
        <f>HYPERLINK("https://www.dndbeyond.com/magic-items/banner-of-the-krig-rune", "Banner Of The Krig Rune")</f>
        <v>Banner Of The Krig Rune</v>
      </c>
      <c r="B57" s="6"/>
      <c r="C57" s="22">
        <v>4400</v>
      </c>
      <c r="D57" s="18" t="str">
        <f>VLOOKUP(F57,'Price Ranges'!$A$2:$B$8,2, FALSE)</f>
        <v>501-5000</v>
      </c>
      <c r="E57" s="8" t="str">
        <f>VLOOKUP(F57,'Price Ranges'!$A$2:$C$8,3, FALSE)</f>
        <v>2000-20000</v>
      </c>
      <c r="F57" s="18" t="s">
        <v>16</v>
      </c>
      <c r="G57" s="18" t="s">
        <v>43</v>
      </c>
      <c r="H57" s="23">
        <v>233</v>
      </c>
      <c r="I57" s="18" t="s">
        <v>12</v>
      </c>
      <c r="J57" s="20" t="s">
        <v>15</v>
      </c>
    </row>
    <row r="58" spans="1:10" ht="12.75">
      <c r="A58" s="5" t="str">
        <f>HYPERLINK("https://www.dndbeyond.com/magic-items/barrier-tattoo", "Barrier Tattoo")</f>
        <v>Barrier Tattoo</v>
      </c>
      <c r="B58" s="6"/>
      <c r="C58" s="7"/>
      <c r="D58" s="8" t="str">
        <f>VLOOKUP(F58,'Price Ranges'!$A$2:$B$8,2, FALSE)</f>
        <v>Varies</v>
      </c>
      <c r="E58" s="8" t="str">
        <f>VLOOKUP(F58,'Price Ranges'!$A$2:$C$8,3, FALSE)</f>
        <v>Varies</v>
      </c>
      <c r="F58" s="12" t="s">
        <v>24</v>
      </c>
      <c r="G58" s="12" t="s">
        <v>14</v>
      </c>
      <c r="H58" s="10"/>
      <c r="I58" s="8" t="s">
        <v>12</v>
      </c>
      <c r="J58" s="13" t="s">
        <v>15</v>
      </c>
    </row>
    <row r="59" spans="1:10" ht="12.75">
      <c r="A59" s="5" t="str">
        <f>HYPERLINK("https://www.dndbeyond.com/magic-items/battering-shield", "Battering Shield")</f>
        <v>Battering Shield</v>
      </c>
      <c r="B59" s="6"/>
      <c r="C59" s="14">
        <v>850</v>
      </c>
      <c r="D59" s="8" t="str">
        <f>VLOOKUP(F59,'Price Ranges'!$A$2:$B$8,2, FALSE)</f>
        <v>501-5000</v>
      </c>
      <c r="E59" s="8" t="str">
        <f>VLOOKUP(F59,'Price Ranges'!$A$2:$C$8,3, FALSE)</f>
        <v>2000-20000</v>
      </c>
      <c r="F59" s="9" t="s">
        <v>16</v>
      </c>
      <c r="G59" s="9" t="s">
        <v>17</v>
      </c>
      <c r="H59" s="12">
        <v>266</v>
      </c>
      <c r="I59" s="9" t="s">
        <v>21</v>
      </c>
      <c r="J59" s="13" t="s">
        <v>15</v>
      </c>
    </row>
    <row r="60" spans="1:10" ht="12.75">
      <c r="A60" s="24" t="str">
        <f>HYPERLINK("https://www.dndbeyond.com/magic-items/battle-standard-of-infernal-power", "Battle Standard Of Infernal Power")</f>
        <v>Battle Standard Of Infernal Power</v>
      </c>
      <c r="B60" s="6"/>
      <c r="C60" s="14">
        <v>6000</v>
      </c>
      <c r="D60" s="18" t="str">
        <f>VLOOKUP(F60,'Price Ranges'!$A$2:$B$8,2, FALSE)</f>
        <v>5001-50000</v>
      </c>
      <c r="E60" s="8" t="str">
        <f>VLOOKUP(F60,'Price Ranges'!$A$2:$C$8,3, FALSE)</f>
        <v>20000-50000</v>
      </c>
      <c r="F60" s="18" t="s">
        <v>10</v>
      </c>
      <c r="G60" s="18" t="s">
        <v>44</v>
      </c>
      <c r="H60" s="26"/>
      <c r="I60" s="18" t="s">
        <v>12</v>
      </c>
      <c r="J60" s="20" t="s">
        <v>15</v>
      </c>
    </row>
    <row r="61" spans="1:10" ht="12.75">
      <c r="A61" s="24" t="str">
        <f>HYPERLINK("https://www.dndbeyond.com/magic-items/bead-of-force", "Bead Of Force")</f>
        <v>Bead Of Force</v>
      </c>
      <c r="B61" s="16">
        <v>960</v>
      </c>
      <c r="C61" s="21">
        <v>3000</v>
      </c>
      <c r="D61" s="18" t="str">
        <f>VLOOKUP(F61,'Price Ranges'!$A$2:$B$8,2, FALSE)</f>
        <v>501-5000</v>
      </c>
      <c r="E61" s="8" t="str">
        <f>VLOOKUP(F61,'Price Ranges'!$A$2:$C$8,3, FALSE)</f>
        <v>2000-20000</v>
      </c>
      <c r="F61" s="18" t="s">
        <v>16</v>
      </c>
      <c r="G61" s="18" t="s">
        <v>20</v>
      </c>
      <c r="H61" s="19">
        <v>154</v>
      </c>
      <c r="I61" s="18" t="s">
        <v>12</v>
      </c>
      <c r="J61" s="20" t="s">
        <v>13</v>
      </c>
    </row>
    <row r="62" spans="1:10" ht="12.75">
      <c r="A62" s="24" t="str">
        <f>HYPERLINK("https://www.dndbeyond.com/magic-items/bead-of-nourishment", "Bead Of Nourishment")</f>
        <v>Bead Of Nourishment</v>
      </c>
      <c r="B62" s="6"/>
      <c r="C62" s="22">
        <v>25</v>
      </c>
      <c r="D62" s="18" t="str">
        <f>VLOOKUP(F62,'Price Ranges'!$A$2:$B$8,2, FALSE)</f>
        <v>50-100</v>
      </c>
      <c r="E62" s="8" t="str">
        <f>VLOOKUP(F62,'Price Ranges'!$A$2:$C$8,3, FALSE)</f>
        <v>20-70</v>
      </c>
      <c r="F62" s="18" t="s">
        <v>35</v>
      </c>
      <c r="G62" s="18" t="s">
        <v>37</v>
      </c>
      <c r="H62" s="19">
        <v>136</v>
      </c>
      <c r="I62" s="18" t="s">
        <v>12</v>
      </c>
      <c r="J62" s="20" t="s">
        <v>13</v>
      </c>
    </row>
    <row r="63" spans="1:10" ht="12.75">
      <c r="A63" s="24" t="str">
        <f>HYPERLINK("https://www.dndbeyond.com/magic-items/bead-of-refreshment", "Bead Of Refreshment")</f>
        <v>Bead Of Refreshment</v>
      </c>
      <c r="B63" s="6"/>
      <c r="C63" s="22">
        <v>25</v>
      </c>
      <c r="D63" s="18" t="str">
        <f>VLOOKUP(F63,'Price Ranges'!$A$2:$B$8,2, FALSE)</f>
        <v>50-100</v>
      </c>
      <c r="E63" s="8" t="str">
        <f>VLOOKUP(F63,'Price Ranges'!$A$2:$C$8,3, FALSE)</f>
        <v>20-70</v>
      </c>
      <c r="F63" s="18" t="s">
        <v>35</v>
      </c>
      <c r="G63" s="18" t="s">
        <v>37</v>
      </c>
      <c r="H63" s="19">
        <v>136</v>
      </c>
      <c r="I63" s="18" t="s">
        <v>12</v>
      </c>
      <c r="J63" s="20" t="s">
        <v>13</v>
      </c>
    </row>
    <row r="64" spans="1:10" ht="12.75">
      <c r="A64" s="5" t="str">
        <f>HYPERLINK("https://www.dndbeyond.com/magic-items/belashyrras-beholder-crown", "Belashyrras Beholder Crown")</f>
        <v>Belashyrras Beholder Crown</v>
      </c>
      <c r="B64" s="6"/>
      <c r="C64" s="14">
        <v>51000</v>
      </c>
      <c r="D64" s="8" t="str">
        <f>VLOOKUP(F64,'Price Ranges'!$A$2:$B$8,2, FALSE)</f>
        <v>50001+</v>
      </c>
      <c r="E64" s="8" t="str">
        <f>VLOOKUP(F64,'Price Ranges'!$A$2:$C$8,3, FALSE)</f>
        <v>50000-300000</v>
      </c>
      <c r="F64" s="9" t="s">
        <v>31</v>
      </c>
      <c r="G64" s="9" t="s">
        <v>33</v>
      </c>
      <c r="H64" s="10"/>
      <c r="I64" s="9" t="s">
        <v>12</v>
      </c>
      <c r="J64" s="13" t="s">
        <v>15</v>
      </c>
    </row>
    <row r="65" spans="1:10" ht="12.75">
      <c r="A65" s="5" t="str">
        <f>HYPERLINK("https://www.dndbeyond.com/magic-items/bell-branch", "Bell Branch")</f>
        <v>Bell Branch</v>
      </c>
      <c r="B65" s="6"/>
      <c r="C65" s="7"/>
      <c r="D65" s="8" t="str">
        <f>VLOOKUP(F65,'Price Ranges'!$A$2:$B$8,2, FALSE)</f>
        <v>501-5000</v>
      </c>
      <c r="E65" s="8" t="str">
        <f>VLOOKUP(F65,'Price Ranges'!$A$2:$C$8,3, FALSE)</f>
        <v>2000-20000</v>
      </c>
      <c r="F65" s="12" t="s">
        <v>16</v>
      </c>
      <c r="G65" s="12" t="s">
        <v>14</v>
      </c>
      <c r="H65" s="10"/>
      <c r="I65" s="8" t="s">
        <v>12</v>
      </c>
      <c r="J65" s="13" t="s">
        <v>15</v>
      </c>
    </row>
    <row r="66" spans="1:10" ht="12.75">
      <c r="A66" s="24" t="str">
        <f>HYPERLINK("https://www.dndbeyond.com/magic-items/belt-of-dwarvenkind", "Belt Of Dwarvenkind")</f>
        <v>Belt Of Dwarvenkind</v>
      </c>
      <c r="B66" s="16">
        <v>6000</v>
      </c>
      <c r="C66" s="21">
        <v>5000</v>
      </c>
      <c r="D66" s="18" t="str">
        <f>VLOOKUP(F66,'Price Ranges'!$A$2:$B$8,2, FALSE)</f>
        <v>501-5000</v>
      </c>
      <c r="E66" s="8" t="str">
        <f>VLOOKUP(F66,'Price Ranges'!$A$2:$C$8,3, FALSE)</f>
        <v>2000-20000</v>
      </c>
      <c r="F66" s="18" t="s">
        <v>16</v>
      </c>
      <c r="G66" s="18" t="s">
        <v>20</v>
      </c>
      <c r="H66" s="19">
        <v>155</v>
      </c>
      <c r="I66" s="18" t="s">
        <v>45</v>
      </c>
      <c r="J66" s="20" t="s">
        <v>15</v>
      </c>
    </row>
    <row r="67" spans="1:10" ht="12.75">
      <c r="A67" s="24" t="str">
        <f>HYPERLINK("https://www.dndbeyond.com/magic-items/belt-of-giant-strength", "Belt Of Giant Strength (Cloud)")</f>
        <v>Belt Of Giant Strength (Cloud)</v>
      </c>
      <c r="B67" s="6"/>
      <c r="C67" s="22">
        <v>66000</v>
      </c>
      <c r="D67" s="18" t="str">
        <f>VLOOKUP(F67,'Price Ranges'!$A$2:$B$8,2, FALSE)</f>
        <v>50001+</v>
      </c>
      <c r="E67" s="8" t="str">
        <f>VLOOKUP(F67,'Price Ranges'!$A$2:$C$8,3, FALSE)</f>
        <v>50000-300000</v>
      </c>
      <c r="F67" s="18" t="s">
        <v>31</v>
      </c>
      <c r="G67" s="18" t="s">
        <v>20</v>
      </c>
      <c r="H67" s="23">
        <v>155</v>
      </c>
      <c r="I67" s="18" t="s">
        <v>45</v>
      </c>
      <c r="J67" s="20" t="s">
        <v>15</v>
      </c>
    </row>
    <row r="68" spans="1:10" ht="12.75">
      <c r="A68" s="24" t="str">
        <f>HYPERLINK("https://www.dndbeyond.com/magic-items/belt-of-giant-strength", "Belt Of Giant Strength (Fire)")</f>
        <v>Belt Of Giant Strength (Fire)</v>
      </c>
      <c r="B68" s="6"/>
      <c r="C68" s="22">
        <v>36000</v>
      </c>
      <c r="D68" s="18" t="str">
        <f>VLOOKUP(F68,'Price Ranges'!$A$2:$B$8,2, FALSE)</f>
        <v>5001-50000</v>
      </c>
      <c r="E68" s="8" t="str">
        <f>VLOOKUP(F68,'Price Ranges'!$A$2:$C$8,3, FALSE)</f>
        <v>20000-50000</v>
      </c>
      <c r="F68" s="18" t="s">
        <v>10</v>
      </c>
      <c r="G68" s="18" t="s">
        <v>20</v>
      </c>
      <c r="H68" s="23">
        <v>155</v>
      </c>
      <c r="I68" s="18" t="s">
        <v>45</v>
      </c>
      <c r="J68" s="20" t="s">
        <v>15</v>
      </c>
    </row>
    <row r="69" spans="1:10" ht="12.75">
      <c r="A69" s="24" t="str">
        <f>HYPERLINK("https://www.dndbeyond.com/magic-items/belt-of-giant-strength", "Belt Of Giant Strength (Hill)")</f>
        <v>Belt Of Giant Strength (Hill)</v>
      </c>
      <c r="B69" s="6"/>
      <c r="C69" s="22">
        <v>4000</v>
      </c>
      <c r="D69" s="18" t="str">
        <f>VLOOKUP(F69,'Price Ranges'!$A$2:$B$8,2, FALSE)</f>
        <v>501-5000</v>
      </c>
      <c r="E69" s="8" t="str">
        <f>VLOOKUP(F69,'Price Ranges'!$A$2:$C$8,3, FALSE)</f>
        <v>2000-20000</v>
      </c>
      <c r="F69" s="18" t="s">
        <v>16</v>
      </c>
      <c r="G69" s="18" t="s">
        <v>20</v>
      </c>
      <c r="H69" s="23">
        <v>155</v>
      </c>
      <c r="I69" s="18" t="s">
        <v>45</v>
      </c>
      <c r="J69" s="20" t="s">
        <v>15</v>
      </c>
    </row>
    <row r="70" spans="1:10" ht="12.75">
      <c r="A70" s="24" t="str">
        <f>HYPERLINK("https://www.dndbeyond.com/magic-items/belt-of-giant-strength", "Belt Of Giant Strength (Stone/Frost)")</f>
        <v>Belt Of Giant Strength (Stone/Frost)</v>
      </c>
      <c r="B70" s="6"/>
      <c r="C70" s="22">
        <v>12000</v>
      </c>
      <c r="D70" s="18" t="str">
        <f>VLOOKUP(F70,'Price Ranges'!$A$2:$B$8,2, FALSE)</f>
        <v>5001-50000</v>
      </c>
      <c r="E70" s="8" t="str">
        <f>VLOOKUP(F70,'Price Ranges'!$A$2:$C$8,3, FALSE)</f>
        <v>20000-50000</v>
      </c>
      <c r="F70" s="18" t="s">
        <v>10</v>
      </c>
      <c r="G70" s="18" t="s">
        <v>20</v>
      </c>
      <c r="H70" s="23">
        <v>155</v>
      </c>
      <c r="I70" s="18" t="s">
        <v>45</v>
      </c>
      <c r="J70" s="20" t="s">
        <v>15</v>
      </c>
    </row>
    <row r="71" spans="1:10" ht="12.75">
      <c r="A71" s="24" t="str">
        <f>HYPERLINK("https://www.dndbeyond.com/magic-items/belt-of-giant-strength", "Belt Of Giant Strength (Storm)")</f>
        <v>Belt Of Giant Strength (Storm)</v>
      </c>
      <c r="B71" s="6"/>
      <c r="C71" s="22">
        <v>100000</v>
      </c>
      <c r="D71" s="18" t="str">
        <f>VLOOKUP(F71,'Price Ranges'!$A$2:$B$8,2, FALSE)</f>
        <v>50001+</v>
      </c>
      <c r="E71" s="8" t="str">
        <f>VLOOKUP(F71,'Price Ranges'!$A$2:$C$8,3, FALSE)</f>
        <v>50000-300000</v>
      </c>
      <c r="F71" s="18" t="s">
        <v>31</v>
      </c>
      <c r="G71" s="18" t="s">
        <v>20</v>
      </c>
      <c r="H71" s="23">
        <v>155</v>
      </c>
      <c r="I71" s="18" t="s">
        <v>45</v>
      </c>
      <c r="J71" s="20" t="s">
        <v>15</v>
      </c>
    </row>
    <row r="72" spans="1:10" ht="12.75">
      <c r="A72" s="24" t="str">
        <f>HYPERLINK("https://www.dndbeyond.com/magic-items/berserker-axe", "Berserker Axe")</f>
        <v>Berserker Axe</v>
      </c>
      <c r="B72" s="6"/>
      <c r="C72" s="14">
        <v>2000</v>
      </c>
      <c r="D72" s="18" t="str">
        <f>VLOOKUP(F72,'Price Ranges'!$A$2:$B$8,2, FALSE)</f>
        <v>501-5000</v>
      </c>
      <c r="E72" s="8" t="str">
        <f>VLOOKUP(F72,'Price Ranges'!$A$2:$C$8,3, FALSE)</f>
        <v>2000-20000</v>
      </c>
      <c r="F72" s="18" t="s">
        <v>16</v>
      </c>
      <c r="G72" s="18" t="s">
        <v>32</v>
      </c>
      <c r="H72" s="26"/>
      <c r="I72" s="18" t="s">
        <v>18</v>
      </c>
      <c r="J72" s="20" t="s">
        <v>15</v>
      </c>
    </row>
    <row r="73" spans="1:10" ht="12.75">
      <c r="A73" s="24" t="str">
        <f>HYPERLINK("https://www.dndbeyond.com/magic-items/black-crystal-tablet", "Black Crystal Tablet")</f>
        <v>Black Crystal Tablet</v>
      </c>
      <c r="B73" s="6"/>
      <c r="C73" s="7"/>
      <c r="D73" s="18" t="str">
        <f>VLOOKUP(F73,'Price Ranges'!$A$2:$B$8,2, FALSE)</f>
        <v>50001+</v>
      </c>
      <c r="E73" s="8" t="str">
        <f>VLOOKUP(F73,'Price Ranges'!$A$2:$C$8,3, FALSE)</f>
        <v>50000-300000</v>
      </c>
      <c r="F73" s="18" t="s">
        <v>31</v>
      </c>
      <c r="G73" s="18" t="s">
        <v>46</v>
      </c>
      <c r="H73" s="26"/>
      <c r="I73" s="18" t="s">
        <v>12</v>
      </c>
      <c r="J73" s="20" t="s">
        <v>15</v>
      </c>
    </row>
    <row r="74" spans="1:10" ht="12.75">
      <c r="A74" s="24" t="str">
        <f>HYPERLINK("https://www.dndbeyond.com/magic-items/black-dragon-mask", "Black Dragon Mask")</f>
        <v>Black Dragon Mask</v>
      </c>
      <c r="B74" s="6"/>
      <c r="C74" s="22">
        <v>95000</v>
      </c>
      <c r="D74" s="18" t="str">
        <f>VLOOKUP(F74,'Price Ranges'!$A$2:$B$8,2, FALSE)</f>
        <v>50001+</v>
      </c>
      <c r="E74" s="8" t="str">
        <f>VLOOKUP(F74,'Price Ranges'!$A$2:$C$8,3, FALSE)</f>
        <v>50000-300000</v>
      </c>
      <c r="F74" s="18" t="s">
        <v>31</v>
      </c>
      <c r="G74" s="18" t="s">
        <v>47</v>
      </c>
      <c r="H74" s="23">
        <v>94</v>
      </c>
      <c r="I74" s="18" t="s">
        <v>48</v>
      </c>
      <c r="J74" s="20" t="s">
        <v>15</v>
      </c>
    </row>
    <row r="75" spans="1:10" ht="12.75">
      <c r="A75" s="24" t="str">
        <f>HYPERLINK("https://www.dndbeyond.com/magic-items/blackrazor", "Blackrazor")</f>
        <v>Blackrazor</v>
      </c>
      <c r="B75" s="6"/>
      <c r="C75" s="7"/>
      <c r="D75" s="18" t="str">
        <f>VLOOKUP(F75,'Price Ranges'!$A$2:$B$8,2, FALSE)</f>
        <v>50001+</v>
      </c>
      <c r="E75" s="8" t="str">
        <f>VLOOKUP(F75,'Price Ranges'!$A$2:$C$8,3, FALSE)</f>
        <v>50000-300000</v>
      </c>
      <c r="F75" s="18" t="s">
        <v>31</v>
      </c>
      <c r="G75" s="18" t="s">
        <v>20</v>
      </c>
      <c r="H75" s="26"/>
      <c r="I75" s="18" t="s">
        <v>18</v>
      </c>
      <c r="J75" s="20" t="s">
        <v>15</v>
      </c>
    </row>
    <row r="76" spans="1:10" ht="12.75">
      <c r="A76" s="24" t="str">
        <f>HYPERLINK("https://www.dndbeyond.com/magic-items/blackstaff", "Blackstaff")</f>
        <v>Blackstaff</v>
      </c>
      <c r="B76" s="6"/>
      <c r="C76" s="22">
        <v>72000</v>
      </c>
      <c r="D76" s="18" t="str">
        <f>VLOOKUP(F76,'Price Ranges'!$A$2:$B$8,2, FALSE)</f>
        <v>50001+</v>
      </c>
      <c r="E76" s="8" t="str">
        <f>VLOOKUP(F76,'Price Ranges'!$A$2:$C$8,3, FALSE)</f>
        <v>50000-300000</v>
      </c>
      <c r="F76" s="18" t="s">
        <v>31</v>
      </c>
      <c r="G76" s="18" t="s">
        <v>39</v>
      </c>
      <c r="H76" s="23">
        <v>190</v>
      </c>
      <c r="I76" s="18" t="s">
        <v>49</v>
      </c>
      <c r="J76" s="20" t="s">
        <v>15</v>
      </c>
    </row>
    <row r="77" spans="1:10" ht="12.75">
      <c r="A77" s="24" t="str">
        <f>HYPERLINK("https://www.dndbeyond.com/magic-items/blade-of-avernus", "Blade Of Avernus")</f>
        <v>Blade Of Avernus</v>
      </c>
      <c r="B77" s="6"/>
      <c r="C77" s="7"/>
      <c r="D77" s="18" t="str">
        <f>VLOOKUP(F77,'Price Ranges'!$A$2:$B$8,2, FALSE)</f>
        <v>Priceless</v>
      </c>
      <c r="E77" s="8" t="str">
        <f>VLOOKUP(F77,'Price Ranges'!$A$2:$C$8,3, FALSE)</f>
        <v>Priceless</v>
      </c>
      <c r="F77" s="18" t="s">
        <v>22</v>
      </c>
      <c r="G77" s="18" t="s">
        <v>44</v>
      </c>
      <c r="H77" s="26"/>
      <c r="I77" s="18" t="s">
        <v>18</v>
      </c>
      <c r="J77" s="20" t="s">
        <v>15</v>
      </c>
    </row>
    <row r="78" spans="1:10" ht="12.75">
      <c r="A78" s="5" t="str">
        <f>HYPERLINK("https://www.dndbeyond.com/magic-items/blade-of-broken-mirrors", "Blade of Broken Mirrors")</f>
        <v>Blade of Broken Mirrors</v>
      </c>
      <c r="B78" s="6"/>
      <c r="C78" s="7"/>
      <c r="D78" s="8" t="str">
        <f>VLOOKUP(F78,'Price Ranges'!$A$2:$B$8,2, FALSE)</f>
        <v>Priceless</v>
      </c>
      <c r="E78" s="8" t="str">
        <f>VLOOKUP(F78,'Price Ranges'!$A$2:$C$8,3, FALSE)</f>
        <v>Priceless</v>
      </c>
      <c r="F78" s="9" t="s">
        <v>22</v>
      </c>
      <c r="G78" s="9" t="s">
        <v>17</v>
      </c>
      <c r="H78" s="12">
        <v>266</v>
      </c>
      <c r="I78" s="9" t="s">
        <v>18</v>
      </c>
      <c r="J78" s="13" t="s">
        <v>15</v>
      </c>
    </row>
    <row r="79" spans="1:10" ht="12.75">
      <c r="A79" s="24" t="str">
        <f>HYPERLINK("https://www.dndbeyond.com/magic-items/blade-of-the-medusa", "Blade Of The Medusa")</f>
        <v>Blade Of The Medusa</v>
      </c>
      <c r="B79" s="6"/>
      <c r="C79" s="7"/>
      <c r="D79" s="18" t="str">
        <f>VLOOKUP(F79,'Price Ranges'!$A$2:$B$8,2, FALSE)</f>
        <v>5001-50000</v>
      </c>
      <c r="E79" s="8" t="str">
        <f>VLOOKUP(F79,'Price Ranges'!$A$2:$C$8,3, FALSE)</f>
        <v>20000-50000</v>
      </c>
      <c r="F79" s="18" t="s">
        <v>10</v>
      </c>
      <c r="G79" s="18" t="s">
        <v>50</v>
      </c>
      <c r="H79" s="26"/>
      <c r="I79" s="18" t="s">
        <v>18</v>
      </c>
      <c r="J79" s="20" t="s">
        <v>15</v>
      </c>
    </row>
    <row r="80" spans="1:10" ht="12.75">
      <c r="A80" s="24" t="str">
        <f>HYPERLINK("https://www.dndbeyond.com/magic-items/blast-scepter", "Blast Scepter")</f>
        <v>Blast Scepter</v>
      </c>
      <c r="B80" s="6"/>
      <c r="C80" s="26"/>
      <c r="D80" s="18" t="str">
        <f>VLOOKUP(F80,'Price Ranges'!$A$2:$B$8,2, FALSE)</f>
        <v>5001-50000</v>
      </c>
      <c r="E80" s="8" t="str">
        <f>VLOOKUP(F80,'Price Ranges'!$A$2:$C$8,3, FALSE)</f>
        <v>20000-50000</v>
      </c>
      <c r="F80" s="18" t="s">
        <v>10</v>
      </c>
      <c r="G80" s="18" t="s">
        <v>46</v>
      </c>
      <c r="H80" s="26"/>
      <c r="I80" s="18" t="s">
        <v>51</v>
      </c>
      <c r="J80" s="20" t="s">
        <v>15</v>
      </c>
    </row>
    <row r="81" spans="1:10" ht="12.75">
      <c r="A81" s="24" t="str">
        <f>HYPERLINK("https://www.dndbeyond.com/magic-items/blod-stone", "Blod Stone")</f>
        <v>Blod Stone</v>
      </c>
      <c r="B81" s="6"/>
      <c r="C81" s="22">
        <v>6500</v>
      </c>
      <c r="D81" s="18" t="str">
        <f>VLOOKUP(F81,'Price Ranges'!$A$2:$B$8,2, FALSE)</f>
        <v>501-5000</v>
      </c>
      <c r="E81" s="8" t="str">
        <f>VLOOKUP(F81,'Price Ranges'!$A$2:$C$8,3, FALSE)</f>
        <v>2000-20000</v>
      </c>
      <c r="F81" s="18" t="s">
        <v>16</v>
      </c>
      <c r="G81" s="18" t="s">
        <v>43</v>
      </c>
      <c r="H81" s="23">
        <v>233</v>
      </c>
      <c r="I81" s="18" t="s">
        <v>12</v>
      </c>
      <c r="J81" s="20" t="s">
        <v>15</v>
      </c>
    </row>
    <row r="82" spans="1:10" ht="12.75">
      <c r="A82" s="5" t="str">
        <f>HYPERLINK("https://www.dndbeyond.com/magic-items/blood-fury-tattoo", "Blood Fury Tattoo")</f>
        <v>Blood Fury Tattoo</v>
      </c>
      <c r="B82" s="6"/>
      <c r="C82" s="7"/>
      <c r="D82" s="8" t="str">
        <f>VLOOKUP(F82,'Price Ranges'!$A$2:$B$8,2, FALSE)</f>
        <v>50001+</v>
      </c>
      <c r="E82" s="8" t="str">
        <f>VLOOKUP(F82,'Price Ranges'!$A$2:$C$8,3, FALSE)</f>
        <v>50000-300000</v>
      </c>
      <c r="F82" s="12" t="s">
        <v>31</v>
      </c>
      <c r="G82" s="12" t="s">
        <v>14</v>
      </c>
      <c r="H82" s="10"/>
      <c r="I82" s="8" t="s">
        <v>12</v>
      </c>
      <c r="J82" s="13" t="s">
        <v>15</v>
      </c>
    </row>
    <row r="83" spans="1:10" ht="12.75">
      <c r="A83" s="24" t="str">
        <f>HYPERLINK("https://www.dndbeyond.com/magic-items/blood-spear", "Blood Spear")</f>
        <v>Blood Spear</v>
      </c>
      <c r="B83" s="6"/>
      <c r="C83" s="22">
        <v>375</v>
      </c>
      <c r="D83" s="18" t="str">
        <f>VLOOKUP(F83,'Price Ranges'!$A$2:$B$8,2, FALSE)</f>
        <v>101-500</v>
      </c>
      <c r="E83" s="8" t="str">
        <f>VLOOKUP(F83,'Price Ranges'!$A$2:$C$8,3, FALSE)</f>
        <v>100-600</v>
      </c>
      <c r="F83" s="18" t="s">
        <v>19</v>
      </c>
      <c r="G83" s="18" t="s">
        <v>52</v>
      </c>
      <c r="H83" s="23">
        <v>221</v>
      </c>
      <c r="I83" s="18" t="s">
        <v>18</v>
      </c>
      <c r="J83" s="20" t="s">
        <v>15</v>
      </c>
    </row>
    <row r="84" spans="1:10" ht="12.75">
      <c r="A84" s="5" t="str">
        <f>HYPERLINK("https://www.dndbeyond.com/magic-items/bloodaxe", "Bloodaxe")</f>
        <v>Bloodaxe</v>
      </c>
      <c r="B84" s="6"/>
      <c r="C84" s="14">
        <v>27000</v>
      </c>
      <c r="D84" s="8" t="str">
        <f>VLOOKUP(F84,'Price Ranges'!$A$2:$B$8,2, FALSE)</f>
        <v>5001-50000</v>
      </c>
      <c r="E84" s="8" t="str">
        <f>VLOOKUP(F84,'Price Ranges'!$A$2:$C$8,3, FALSE)</f>
        <v>20000-50000</v>
      </c>
      <c r="F84" s="9" t="s">
        <v>10</v>
      </c>
      <c r="G84" s="9" t="s">
        <v>17</v>
      </c>
      <c r="H84" s="12">
        <v>266</v>
      </c>
      <c r="I84" s="9" t="s">
        <v>18</v>
      </c>
      <c r="J84" s="13" t="s">
        <v>15</v>
      </c>
    </row>
    <row r="85" spans="1:10" ht="12.75">
      <c r="A85" s="5" t="str">
        <f>HYPERLINK("https://www.dndbeyond.com/magic-items/bloodwell-vial", "Bloodwell Vial")</f>
        <v>Bloodwell Vial</v>
      </c>
      <c r="B85" s="6"/>
      <c r="C85" s="7"/>
      <c r="D85" s="8" t="str">
        <f>VLOOKUP(F85,'Price Ranges'!$A$2:$B$8,2, FALSE)</f>
        <v>Varies</v>
      </c>
      <c r="E85" s="8" t="str">
        <f>VLOOKUP(F85,'Price Ranges'!$A$2:$C$8,3, FALSE)</f>
        <v>Varies</v>
      </c>
      <c r="F85" s="12" t="s">
        <v>24</v>
      </c>
      <c r="G85" s="12" t="s">
        <v>14</v>
      </c>
      <c r="H85" s="10"/>
      <c r="I85" s="8" t="s">
        <v>12</v>
      </c>
      <c r="J85" s="13" t="s">
        <v>15</v>
      </c>
    </row>
    <row r="86" spans="1:10" ht="12.75">
      <c r="A86" s="24" t="str">
        <f>HYPERLINK("https://www.dndbeyond.com/magic-items/blue-dragon-mask", "Blue Dragon Mask")</f>
        <v>Blue Dragon Mask</v>
      </c>
      <c r="B86" s="6"/>
      <c r="C86" s="7"/>
      <c r="D86" s="18" t="str">
        <f>VLOOKUP(F86,'Price Ranges'!$A$2:$B$8,2, FALSE)</f>
        <v>50001+</v>
      </c>
      <c r="E86" s="8" t="str">
        <f>VLOOKUP(F86,'Price Ranges'!$A$2:$C$8,3, FALSE)</f>
        <v>50000-300000</v>
      </c>
      <c r="F86" s="18" t="s">
        <v>31</v>
      </c>
      <c r="G86" s="18" t="s">
        <v>53</v>
      </c>
      <c r="H86" s="26"/>
      <c r="I86" s="18" t="s">
        <v>12</v>
      </c>
      <c r="J86" s="20" t="s">
        <v>15</v>
      </c>
    </row>
    <row r="87" spans="1:10" ht="12.75">
      <c r="A87" s="24" t="str">
        <f>HYPERLINK("https://www.dndbeyond.com/magic-items/bonecounter", "Bonecounter")</f>
        <v>Bonecounter</v>
      </c>
      <c r="B87" s="6"/>
      <c r="C87" s="7"/>
      <c r="D87" s="18" t="str">
        <f>VLOOKUP(F87,'Price Ranges'!$A$2:$B$8,2, FALSE)</f>
        <v>501-5000</v>
      </c>
      <c r="E87" s="8" t="str">
        <f>VLOOKUP(F87,'Price Ranges'!$A$2:$C$8,3, FALSE)</f>
        <v>2000-20000</v>
      </c>
      <c r="F87" s="18" t="s">
        <v>16</v>
      </c>
      <c r="G87" s="18" t="s">
        <v>54</v>
      </c>
      <c r="H87" s="26"/>
      <c r="I87" s="18" t="s">
        <v>18</v>
      </c>
      <c r="J87" s="20" t="s">
        <v>13</v>
      </c>
    </row>
    <row r="88" spans="1:10" ht="12.75">
      <c r="A88" s="24" t="str">
        <f>HYPERLINK("https://www.dndbeyond.com/magic-items/book-of-exalted-deeds", "Book Of Exalted Deeds")</f>
        <v>Book Of Exalted Deeds</v>
      </c>
      <c r="B88" s="6"/>
      <c r="C88" s="7"/>
      <c r="D88" s="18" t="str">
        <f>VLOOKUP(F88,'Price Ranges'!$A$2:$B$8,2, FALSE)</f>
        <v>Priceless</v>
      </c>
      <c r="E88" s="8" t="str">
        <f>VLOOKUP(F88,'Price Ranges'!$A$2:$C$8,3, FALSE)</f>
        <v>Priceless</v>
      </c>
      <c r="F88" s="18" t="s">
        <v>22</v>
      </c>
      <c r="G88" s="18" t="s">
        <v>20</v>
      </c>
      <c r="H88" s="26"/>
      <c r="I88" s="18" t="s">
        <v>12</v>
      </c>
      <c r="J88" s="20" t="s">
        <v>15</v>
      </c>
    </row>
    <row r="89" spans="1:10" ht="12.75">
      <c r="A89" s="24" t="str">
        <f>HYPERLINK("https://www.dndbeyond.com/magic-items/book-of-vile-darkness", "Book Of Vile Darkness")</f>
        <v>Book Of Vile Darkness</v>
      </c>
      <c r="B89" s="6"/>
      <c r="C89" s="7"/>
      <c r="D89" s="18" t="str">
        <f>VLOOKUP(F89,'Price Ranges'!$A$2:$B$8,2, FALSE)</f>
        <v>Priceless</v>
      </c>
      <c r="E89" s="8" t="str">
        <f>VLOOKUP(F89,'Price Ranges'!$A$2:$C$8,3, FALSE)</f>
        <v>Priceless</v>
      </c>
      <c r="F89" s="18" t="s">
        <v>22</v>
      </c>
      <c r="G89" s="18" t="s">
        <v>20</v>
      </c>
      <c r="H89" s="26"/>
      <c r="I89" s="18" t="s">
        <v>12</v>
      </c>
      <c r="J89" s="20" t="s">
        <v>15</v>
      </c>
    </row>
    <row r="90" spans="1:10" ht="12.75">
      <c r="A90" s="24" t="str">
        <f>HYPERLINK("https://www.dndbeyond.com/magic-items/bookmark", "Bookmark (dagger)")</f>
        <v>Bookmark (dagger)</v>
      </c>
      <c r="B90" s="6"/>
      <c r="C90" s="22">
        <v>30000</v>
      </c>
      <c r="D90" s="18" t="str">
        <f>VLOOKUP(F90,'Price Ranges'!$A$2:$B$8,2, FALSE)</f>
        <v>50001+</v>
      </c>
      <c r="E90" s="8" t="str">
        <f>VLOOKUP(F90,'Price Ranges'!$A$2:$C$8,3, FALSE)</f>
        <v>50000-300000</v>
      </c>
      <c r="F90" s="18" t="s">
        <v>31</v>
      </c>
      <c r="G90" s="18" t="s">
        <v>28</v>
      </c>
      <c r="H90" s="23">
        <v>206</v>
      </c>
      <c r="I90" s="18" t="s">
        <v>18</v>
      </c>
      <c r="J90" s="20" t="s">
        <v>15</v>
      </c>
    </row>
    <row r="91" spans="1:10" ht="12.75">
      <c r="A91" s="24" t="str">
        <f>HYPERLINK("https://www.dndbeyond.com/magic-items/boomerang-1", "Boomerang +1")</f>
        <v>Boomerang +1</v>
      </c>
      <c r="B91" s="6"/>
      <c r="C91" s="27"/>
      <c r="D91" s="18" t="str">
        <f>VLOOKUP(F91,'Price Ranges'!$A$2:$B$8,2, FALSE)</f>
        <v>101-500</v>
      </c>
      <c r="E91" s="8" t="str">
        <f>VLOOKUP(F91,'Price Ranges'!$A$2:$C$8,3, FALSE)</f>
        <v>100-600</v>
      </c>
      <c r="F91" s="18" t="s">
        <v>19</v>
      </c>
      <c r="G91" s="18" t="s">
        <v>32</v>
      </c>
      <c r="H91" s="18"/>
      <c r="I91" s="18" t="s">
        <v>18</v>
      </c>
      <c r="J91" s="20" t="s">
        <v>13</v>
      </c>
    </row>
    <row r="92" spans="1:10" ht="12.75">
      <c r="A92" s="24" t="str">
        <f>HYPERLINK("https://www.dndbeyond.com/magic-items/boomerang-2", "Boomerang +2")</f>
        <v>Boomerang +2</v>
      </c>
      <c r="B92" s="6"/>
      <c r="C92" s="27"/>
      <c r="D92" s="18" t="str">
        <f>VLOOKUP(F92,'Price Ranges'!$A$2:$B$8,2, FALSE)</f>
        <v>101-500</v>
      </c>
      <c r="E92" s="8" t="str">
        <f>VLOOKUP(F92,'Price Ranges'!$A$2:$C$8,3, FALSE)</f>
        <v>100-600</v>
      </c>
      <c r="F92" s="18" t="s">
        <v>19</v>
      </c>
      <c r="G92" s="18" t="s">
        <v>32</v>
      </c>
      <c r="H92" s="18"/>
      <c r="I92" s="18" t="s">
        <v>18</v>
      </c>
      <c r="J92" s="20" t="s">
        <v>13</v>
      </c>
    </row>
    <row r="93" spans="1:10" ht="12.75">
      <c r="A93" s="24" t="str">
        <f>HYPERLINK("https://www.dndbeyond.com/magic-items/boomerang-3", "Boomerang +3")</f>
        <v>Boomerang +3</v>
      </c>
      <c r="B93" s="6"/>
      <c r="C93" s="27"/>
      <c r="D93" s="18" t="str">
        <f>VLOOKUP(F93,'Price Ranges'!$A$2:$B$8,2, FALSE)</f>
        <v>501-5000</v>
      </c>
      <c r="E93" s="8" t="str">
        <f>VLOOKUP(F93,'Price Ranges'!$A$2:$C$8,3, FALSE)</f>
        <v>2000-20000</v>
      </c>
      <c r="F93" s="18" t="s">
        <v>16</v>
      </c>
      <c r="G93" s="18" t="s">
        <v>32</v>
      </c>
      <c r="H93" s="18"/>
      <c r="I93" s="18" t="s">
        <v>18</v>
      </c>
      <c r="J93" s="20" t="s">
        <v>13</v>
      </c>
    </row>
    <row r="94" spans="1:10" ht="12.75">
      <c r="A94" s="24" t="str">
        <f>HYPERLINK("https://www.dndbeyond.com/magic-items/boots-of-elvenkind", "Boots Of Elvenkind")</f>
        <v>Boots Of Elvenkind</v>
      </c>
      <c r="B94" s="16">
        <v>2500</v>
      </c>
      <c r="C94" s="21">
        <v>400</v>
      </c>
      <c r="D94" s="18" t="str">
        <f>VLOOKUP(F94,'Price Ranges'!$A$2:$B$8,2, FALSE)</f>
        <v>101-500</v>
      </c>
      <c r="E94" s="8" t="str">
        <f>VLOOKUP(F94,'Price Ranges'!$A$2:$C$8,3, FALSE)</f>
        <v>100-600</v>
      </c>
      <c r="F94" s="18" t="s">
        <v>19</v>
      </c>
      <c r="G94" s="18" t="s">
        <v>20</v>
      </c>
      <c r="H94" s="19">
        <v>155</v>
      </c>
      <c r="I94" s="18" t="s">
        <v>55</v>
      </c>
      <c r="J94" s="20" t="s">
        <v>13</v>
      </c>
    </row>
    <row r="95" spans="1:10" ht="12.75">
      <c r="A95" s="24" t="str">
        <f>HYPERLINK("https://www.dndbeyond.com/magic-items/boots-of-false-tracks", "Boots Of False Tracks")</f>
        <v>Boots Of False Tracks</v>
      </c>
      <c r="B95" s="6"/>
      <c r="C95" s="22">
        <v>60</v>
      </c>
      <c r="D95" s="18" t="str">
        <f>VLOOKUP(F95,'Price Ranges'!$A$2:$B$8,2, FALSE)</f>
        <v>50-100</v>
      </c>
      <c r="E95" s="8" t="str">
        <f>VLOOKUP(F95,'Price Ranges'!$A$2:$C$8,3, FALSE)</f>
        <v>20-70</v>
      </c>
      <c r="F95" s="18" t="s">
        <v>35</v>
      </c>
      <c r="G95" s="18" t="s">
        <v>37</v>
      </c>
      <c r="H95" s="19">
        <v>136</v>
      </c>
      <c r="I95" s="18" t="s">
        <v>55</v>
      </c>
      <c r="J95" s="20" t="s">
        <v>13</v>
      </c>
    </row>
    <row r="96" spans="1:10" ht="12.75">
      <c r="A96" s="24" t="str">
        <f>HYPERLINK("https://www.dndbeyond.com/magic-items/boots-of-levitation", "Boots Of Levitation")</f>
        <v>Boots Of Levitation</v>
      </c>
      <c r="B96" s="16">
        <v>4000</v>
      </c>
      <c r="C96" s="21">
        <v>4500</v>
      </c>
      <c r="D96" s="18" t="str">
        <f>VLOOKUP(F96,'Price Ranges'!$A$2:$B$8,2, FALSE)</f>
        <v>501-5000</v>
      </c>
      <c r="E96" s="8" t="str">
        <f>VLOOKUP(F96,'Price Ranges'!$A$2:$C$8,3, FALSE)</f>
        <v>2000-20000</v>
      </c>
      <c r="F96" s="18" t="s">
        <v>16</v>
      </c>
      <c r="G96" s="18" t="s">
        <v>20</v>
      </c>
      <c r="H96" s="19">
        <v>155</v>
      </c>
      <c r="I96" s="18" t="s">
        <v>55</v>
      </c>
      <c r="J96" s="20" t="s">
        <v>15</v>
      </c>
    </row>
    <row r="97" spans="1:10" ht="12.75">
      <c r="A97" s="24" t="str">
        <f>HYPERLINK("https://www.dndbeyond.com/magic-items/boots-of-speed", "Boots Of Speed")</f>
        <v>Boots Of Speed</v>
      </c>
      <c r="B97" s="16">
        <v>4000</v>
      </c>
      <c r="C97" s="21">
        <v>3000</v>
      </c>
      <c r="D97" s="18" t="str">
        <f>VLOOKUP(F97,'Price Ranges'!$A$2:$B$8,2, FALSE)</f>
        <v>501-5000</v>
      </c>
      <c r="E97" s="8" t="str">
        <f>VLOOKUP(F97,'Price Ranges'!$A$2:$C$8,3, FALSE)</f>
        <v>2000-20000</v>
      </c>
      <c r="F97" s="18" t="s">
        <v>16</v>
      </c>
      <c r="G97" s="18" t="s">
        <v>20</v>
      </c>
      <c r="H97" s="19">
        <v>155</v>
      </c>
      <c r="I97" s="18" t="s">
        <v>55</v>
      </c>
      <c r="J97" s="20" t="s">
        <v>15</v>
      </c>
    </row>
    <row r="98" spans="1:10" ht="12.75">
      <c r="A98" s="24" t="str">
        <f>HYPERLINK("https://www.dndbeyond.com/magic-items/boots-of-striding-and-springing", "Boots Of Striding And Springing")</f>
        <v>Boots Of Striding And Springing</v>
      </c>
      <c r="B98" s="16">
        <v>5000</v>
      </c>
      <c r="C98" s="21">
        <v>200</v>
      </c>
      <c r="D98" s="18" t="str">
        <f>VLOOKUP(F98,'Price Ranges'!$A$2:$B$8,2, FALSE)</f>
        <v>101-500</v>
      </c>
      <c r="E98" s="8" t="str">
        <f>VLOOKUP(F98,'Price Ranges'!$A$2:$C$8,3, FALSE)</f>
        <v>100-600</v>
      </c>
      <c r="F98" s="18" t="s">
        <v>19</v>
      </c>
      <c r="G98" s="18" t="s">
        <v>20</v>
      </c>
      <c r="H98" s="19">
        <v>156</v>
      </c>
      <c r="I98" s="18" t="s">
        <v>55</v>
      </c>
      <c r="J98" s="20" t="s">
        <v>15</v>
      </c>
    </row>
    <row r="99" spans="1:10" ht="12.75">
      <c r="A99" s="24" t="str">
        <f>HYPERLINK("https://www.dndbeyond.com/magic-items/boots-of-the-winding-path", "Boots Of The Winding Path")</f>
        <v>Boots Of The Winding Path</v>
      </c>
      <c r="B99" s="6"/>
      <c r="C99" s="7"/>
      <c r="D99" s="18" t="str">
        <f>VLOOKUP(F99,'Price Ranges'!$A$2:$B$8,2, FALSE)</f>
        <v>Varies</v>
      </c>
      <c r="E99" s="8" t="str">
        <f>VLOOKUP(F99,'Price Ranges'!$A$2:$C$8,3, FALSE)</f>
        <v>Varies</v>
      </c>
      <c r="F99" s="18" t="s">
        <v>24</v>
      </c>
      <c r="G99" s="18" t="s">
        <v>34</v>
      </c>
      <c r="H99" s="18"/>
      <c r="I99" s="18" t="s">
        <v>55</v>
      </c>
      <c r="J99" s="20" t="s">
        <v>15</v>
      </c>
    </row>
    <row r="100" spans="1:10" ht="12.75">
      <c r="A100" s="24" t="str">
        <f>HYPERLINK("https://www.dndbeyond.com/magic-items/boots-of-the-winterlands", "Boots Of The Winterlands")</f>
        <v>Boots Of The Winterlands</v>
      </c>
      <c r="B100" s="16">
        <v>10000</v>
      </c>
      <c r="C100" s="21">
        <v>300</v>
      </c>
      <c r="D100" s="18" t="str">
        <f>VLOOKUP(F100,'Price Ranges'!$A$2:$B$8,2, FALSE)</f>
        <v>101-500</v>
      </c>
      <c r="E100" s="8" t="str">
        <f>VLOOKUP(F100,'Price Ranges'!$A$2:$C$8,3, FALSE)</f>
        <v>100-600</v>
      </c>
      <c r="F100" s="18" t="s">
        <v>19</v>
      </c>
      <c r="G100" s="18" t="s">
        <v>20</v>
      </c>
      <c r="H100" s="19">
        <v>156</v>
      </c>
      <c r="I100" s="18" t="s">
        <v>55</v>
      </c>
      <c r="J100" s="20" t="s">
        <v>15</v>
      </c>
    </row>
    <row r="101" spans="1:10" ht="12.75">
      <c r="A101" s="24" t="str">
        <f>HYPERLINK("https://www.dndbeyond.com/magic-items/bottled-breath", "Bottled Breath")</f>
        <v>Bottled Breath</v>
      </c>
      <c r="B101" s="6"/>
      <c r="C101" s="22">
        <v>350</v>
      </c>
      <c r="D101" s="18" t="str">
        <f>VLOOKUP(F101,'Price Ranges'!$A$2:$B$8,2, FALSE)</f>
        <v>101-500</v>
      </c>
      <c r="E101" s="8" t="str">
        <f>VLOOKUP(F101,'Price Ranges'!$A$2:$C$8,3, FALSE)</f>
        <v>100-600</v>
      </c>
      <c r="F101" s="18" t="s">
        <v>19</v>
      </c>
      <c r="G101" s="18" t="s">
        <v>40</v>
      </c>
      <c r="H101" s="23">
        <v>222</v>
      </c>
      <c r="I101" s="18" t="s">
        <v>56</v>
      </c>
      <c r="J101" s="20" t="s">
        <v>13</v>
      </c>
    </row>
    <row r="102" spans="1:10" ht="12.75">
      <c r="A102" s="24" t="str">
        <f>HYPERLINK("https://www.dndbeyond.com/magic-items/bowl-of-commanding-water-elementals", "Bowl Of Commanding Water Elementals")</f>
        <v>Bowl Of Commanding Water Elementals</v>
      </c>
      <c r="B102" s="16">
        <v>8000</v>
      </c>
      <c r="C102" s="21">
        <v>4700</v>
      </c>
      <c r="D102" s="18" t="str">
        <f>VLOOKUP(F102,'Price Ranges'!$A$2:$B$8,2, FALSE)</f>
        <v>501-5000</v>
      </c>
      <c r="E102" s="8" t="str">
        <f>VLOOKUP(F102,'Price Ranges'!$A$2:$C$8,3, FALSE)</f>
        <v>2000-20000</v>
      </c>
      <c r="F102" s="18" t="s">
        <v>16</v>
      </c>
      <c r="G102" s="18" t="s">
        <v>20</v>
      </c>
      <c r="H102" s="19">
        <v>156</v>
      </c>
      <c r="I102" s="18" t="s">
        <v>12</v>
      </c>
      <c r="J102" s="20" t="s">
        <v>13</v>
      </c>
    </row>
    <row r="103" spans="1:10" ht="12.75">
      <c r="A103" s="24" t="str">
        <f>HYPERLINK("https://www.dndbeyond.com/magic-items/bracelet-of-rock-magic", "Bracelet Of Rock Magic")</f>
        <v>Bracelet Of Rock Magic</v>
      </c>
      <c r="B103" s="6"/>
      <c r="C103" s="22">
        <v>9000</v>
      </c>
      <c r="D103" s="18" t="str">
        <f>VLOOKUP(F103,'Price Ranges'!$A$2:$B$8,2, FALSE)</f>
        <v>5001-50000</v>
      </c>
      <c r="E103" s="8" t="str">
        <f>VLOOKUP(F103,'Price Ranges'!$A$2:$C$8,3, FALSE)</f>
        <v>20000-50000</v>
      </c>
      <c r="F103" s="18" t="s">
        <v>10</v>
      </c>
      <c r="G103" s="18" t="s">
        <v>27</v>
      </c>
      <c r="H103" s="23">
        <v>228</v>
      </c>
      <c r="I103" s="18" t="s">
        <v>57</v>
      </c>
      <c r="J103" s="20" t="s">
        <v>15</v>
      </c>
    </row>
    <row r="104" spans="1:10" ht="12.75">
      <c r="A104" s="24" t="str">
        <f>HYPERLINK("https://www.dndbeyond.com/magic-items/bracer-of-flying-daggers", "Bracer Of Flying Daggers")</f>
        <v>Bracer Of Flying Daggers</v>
      </c>
      <c r="B104" s="6"/>
      <c r="C104" s="22">
        <v>1000</v>
      </c>
      <c r="D104" s="18" t="str">
        <f>VLOOKUP(F104,'Price Ranges'!$A$2:$B$8,2, FALSE)</f>
        <v>501-5000</v>
      </c>
      <c r="E104" s="8" t="str">
        <f>VLOOKUP(F104,'Price Ranges'!$A$2:$C$8,3, FALSE)</f>
        <v>2000-20000</v>
      </c>
      <c r="F104" s="18" t="s">
        <v>16</v>
      </c>
      <c r="G104" s="18" t="s">
        <v>39</v>
      </c>
      <c r="H104" s="23">
        <v>190</v>
      </c>
      <c r="I104" s="18" t="s">
        <v>57</v>
      </c>
      <c r="J104" s="20" t="s">
        <v>15</v>
      </c>
    </row>
    <row r="105" spans="1:10" ht="12.75">
      <c r="A105" s="24" t="str">
        <f>HYPERLINK("https://www.dndbeyond.com/magic-items/bracers-of-archery", "Bracers Of Archery")</f>
        <v>Bracers Of Archery</v>
      </c>
      <c r="B105" s="16">
        <v>1500</v>
      </c>
      <c r="C105" s="21">
        <v>350</v>
      </c>
      <c r="D105" s="18" t="str">
        <f>VLOOKUP(F105,'Price Ranges'!$A$2:$B$8,2, FALSE)</f>
        <v>101-500</v>
      </c>
      <c r="E105" s="8" t="str">
        <f>VLOOKUP(F105,'Price Ranges'!$A$2:$C$8,3, FALSE)</f>
        <v>100-600</v>
      </c>
      <c r="F105" s="18" t="s">
        <v>19</v>
      </c>
      <c r="G105" s="18" t="s">
        <v>20</v>
      </c>
      <c r="H105" s="19">
        <v>156</v>
      </c>
      <c r="I105" s="18" t="s">
        <v>57</v>
      </c>
      <c r="J105" s="20" t="s">
        <v>15</v>
      </c>
    </row>
    <row r="106" spans="1:10" ht="12.75">
      <c r="A106" s="24" t="str">
        <f>HYPERLINK("https://www.dndbeyond.com/magic-items/bracers-of-defense", "Bracers Of Defense")</f>
        <v>Bracers Of Defense</v>
      </c>
      <c r="B106" s="16">
        <v>6000</v>
      </c>
      <c r="C106" s="21">
        <v>4000</v>
      </c>
      <c r="D106" s="18" t="str">
        <f>VLOOKUP(F106,'Price Ranges'!$A$2:$B$8,2, FALSE)</f>
        <v>501-5000</v>
      </c>
      <c r="E106" s="8" t="str">
        <f>VLOOKUP(F106,'Price Ranges'!$A$2:$C$8,3, FALSE)</f>
        <v>2000-20000</v>
      </c>
      <c r="F106" s="18" t="s">
        <v>16</v>
      </c>
      <c r="G106" s="18" t="s">
        <v>20</v>
      </c>
      <c r="H106" s="19">
        <v>156</v>
      </c>
      <c r="I106" s="18" t="s">
        <v>57</v>
      </c>
      <c r="J106" s="20" t="s">
        <v>15</v>
      </c>
    </row>
    <row r="107" spans="1:10" ht="12.75">
      <c r="A107" s="24" t="str">
        <f>HYPERLINK("https://www.dndbeyond.com/magic-items/brazier-of-commanding-fire-elementals", "Brazier Of Commanding Fire Elementals")</f>
        <v>Brazier Of Commanding Fire Elementals</v>
      </c>
      <c r="B107" s="16">
        <v>8000</v>
      </c>
      <c r="C107" s="21">
        <v>4700</v>
      </c>
      <c r="D107" s="18" t="str">
        <f>VLOOKUP(F107,'Price Ranges'!$A$2:$B$8,2, FALSE)</f>
        <v>501-5000</v>
      </c>
      <c r="E107" s="8" t="str">
        <f>VLOOKUP(F107,'Price Ranges'!$A$2:$C$8,3, FALSE)</f>
        <v>2000-20000</v>
      </c>
      <c r="F107" s="18" t="s">
        <v>16</v>
      </c>
      <c r="G107" s="18" t="s">
        <v>20</v>
      </c>
      <c r="H107" s="19">
        <v>156</v>
      </c>
      <c r="I107" s="18" t="s">
        <v>12</v>
      </c>
      <c r="J107" s="20" t="s">
        <v>13</v>
      </c>
    </row>
    <row r="108" spans="1:10" ht="12.75">
      <c r="A108" s="5" t="str">
        <f>HYPERLINK("https://www.dndbeyond.com/magic-items/breathing-bubble", "Breathing Bubble")</f>
        <v>Breathing Bubble</v>
      </c>
      <c r="B108" s="6"/>
      <c r="C108" s="14">
        <v>50</v>
      </c>
      <c r="D108" s="8" t="str">
        <f>VLOOKUP(F108,'Price Ranges'!$A$2:$B$8,2, FALSE)</f>
        <v>50-100</v>
      </c>
      <c r="E108" s="8" t="str">
        <f>VLOOKUP(F108,'Price Ranges'!$A$2:$C$8,3, FALSE)</f>
        <v>20-70</v>
      </c>
      <c r="F108" s="9" t="s">
        <v>35</v>
      </c>
      <c r="G108" s="9" t="s">
        <v>17</v>
      </c>
      <c r="H108" s="12">
        <v>266</v>
      </c>
      <c r="I108" s="9" t="s">
        <v>29</v>
      </c>
      <c r="J108" s="13" t="s">
        <v>13</v>
      </c>
    </row>
    <row r="109" spans="1:10" ht="12.75">
      <c r="A109" s="5" t="str">
        <f>HYPERLINK("https://www.dndbeyond.com/magic-items/brooch-of-living-essence", "Brooch of Living Essence")</f>
        <v>Brooch of Living Essence</v>
      </c>
      <c r="B109" s="6"/>
      <c r="C109" s="14">
        <v>250</v>
      </c>
      <c r="D109" s="8" t="str">
        <f>VLOOKUP(F109,'Price Ranges'!$A$2:$B$8,2, FALSE)</f>
        <v>101-500</v>
      </c>
      <c r="E109" s="8" t="str">
        <f>VLOOKUP(F109,'Price Ranges'!$A$2:$C$8,3, FALSE)</f>
        <v>100-600</v>
      </c>
      <c r="F109" s="9" t="s">
        <v>19</v>
      </c>
      <c r="G109" s="9" t="s">
        <v>17</v>
      </c>
      <c r="H109" s="12">
        <v>266</v>
      </c>
      <c r="I109" s="9" t="s">
        <v>29</v>
      </c>
      <c r="J109" s="13" t="s">
        <v>15</v>
      </c>
    </row>
    <row r="110" spans="1:10" ht="12.75">
      <c r="A110" s="24" t="str">
        <f>HYPERLINK("https://www.dndbeyond.com/magic-items/brooch-of-shielding", "Brooch Of Shielding")</f>
        <v>Brooch Of Shielding</v>
      </c>
      <c r="B110" s="16">
        <v>7500</v>
      </c>
      <c r="C110" s="21">
        <v>375</v>
      </c>
      <c r="D110" s="18" t="str">
        <f>VLOOKUP(F110,'Price Ranges'!$A$2:$B$8,2, FALSE)</f>
        <v>101-500</v>
      </c>
      <c r="E110" s="8" t="str">
        <f>VLOOKUP(F110,'Price Ranges'!$A$2:$C$8,3, FALSE)</f>
        <v>100-600</v>
      </c>
      <c r="F110" s="18" t="s">
        <v>19</v>
      </c>
      <c r="G110" s="18" t="s">
        <v>20</v>
      </c>
      <c r="H110" s="19">
        <v>156</v>
      </c>
      <c r="I110" s="18" t="s">
        <v>26</v>
      </c>
      <c r="J110" s="20" t="s">
        <v>15</v>
      </c>
    </row>
    <row r="111" spans="1:10" ht="12.75">
      <c r="A111" s="24" t="str">
        <f>HYPERLINK("https://www.dndbeyond.com/magic-items/broom-of-flying", "Broom Of Flying")</f>
        <v>Broom Of Flying</v>
      </c>
      <c r="B111" s="16">
        <v>8000</v>
      </c>
      <c r="C111" s="21">
        <v>450</v>
      </c>
      <c r="D111" s="18" t="str">
        <f>VLOOKUP(F111,'Price Ranges'!$A$2:$B$8,2, FALSE)</f>
        <v>101-500</v>
      </c>
      <c r="E111" s="8" t="str">
        <f>VLOOKUP(F111,'Price Ranges'!$A$2:$C$8,3, FALSE)</f>
        <v>100-600</v>
      </c>
      <c r="F111" s="18" t="s">
        <v>19</v>
      </c>
      <c r="G111" s="18" t="s">
        <v>20</v>
      </c>
      <c r="H111" s="19">
        <v>156</v>
      </c>
      <c r="I111" s="18" t="s">
        <v>12</v>
      </c>
      <c r="J111" s="20" t="s">
        <v>13</v>
      </c>
    </row>
    <row r="112" spans="1:10" ht="12.75">
      <c r="A112" s="5" t="str">
        <f>HYPERLINK("https://www.dndbeyond.com/magic-items/butchers-bib", "Butchers Bib")</f>
        <v>Butchers Bib</v>
      </c>
      <c r="B112" s="6"/>
      <c r="C112" s="14">
        <v>2750</v>
      </c>
      <c r="D112" s="8" t="str">
        <f>VLOOKUP(F112,'Price Ranges'!$A$2:$B$8,2, FALSE)</f>
        <v>501-5000</v>
      </c>
      <c r="E112" s="8" t="str">
        <f>VLOOKUP(F112,'Price Ranges'!$A$2:$C$8,3, FALSE)</f>
        <v>2000-20000</v>
      </c>
      <c r="F112" s="9" t="s">
        <v>16</v>
      </c>
      <c r="G112" s="9" t="s">
        <v>17</v>
      </c>
      <c r="H112" s="12">
        <v>266</v>
      </c>
      <c r="I112" s="9" t="s">
        <v>29</v>
      </c>
      <c r="J112" s="13" t="s">
        <v>15</v>
      </c>
    </row>
    <row r="113" spans="1:10" ht="12.75">
      <c r="A113" s="24" t="str">
        <f>HYPERLINK("https://www.dndbeyond.com/magic-items/candle-of-invocation", "Candle Of Invocation")</f>
        <v>Candle Of Invocation</v>
      </c>
      <c r="B113" s="6"/>
      <c r="C113" s="22">
        <v>8400</v>
      </c>
      <c r="D113" s="18" t="str">
        <f>VLOOKUP(F113,'Price Ranges'!$A$2:$B$8,2, FALSE)</f>
        <v>5001-50000</v>
      </c>
      <c r="E113" s="8" t="str">
        <f>VLOOKUP(F113,'Price Ranges'!$A$2:$C$8,3, FALSE)</f>
        <v>20000-50000</v>
      </c>
      <c r="F113" s="18" t="s">
        <v>10</v>
      </c>
      <c r="G113" s="18" t="s">
        <v>20</v>
      </c>
      <c r="H113" s="23">
        <v>157</v>
      </c>
      <c r="I113" s="18" t="s">
        <v>12</v>
      </c>
      <c r="J113" s="20" t="s">
        <v>15</v>
      </c>
    </row>
    <row r="114" spans="1:10" ht="12.75">
      <c r="A114" s="24" t="str">
        <f>HYPERLINK("https://www.dndbeyond.com/magic-items/candle-of-the-deep", "Candle Of The Deep")</f>
        <v>Candle Of The Deep</v>
      </c>
      <c r="B114" s="6"/>
      <c r="C114" s="22">
        <v>50</v>
      </c>
      <c r="D114" s="18" t="str">
        <f>VLOOKUP(F114,'Price Ranges'!$A$2:$B$8,2, FALSE)</f>
        <v>50-100</v>
      </c>
      <c r="E114" s="8" t="str">
        <f>VLOOKUP(F114,'Price Ranges'!$A$2:$C$8,3, FALSE)</f>
        <v>20-70</v>
      </c>
      <c r="F114" s="18" t="s">
        <v>35</v>
      </c>
      <c r="G114" s="18" t="s">
        <v>37</v>
      </c>
      <c r="H114" s="19">
        <v>136</v>
      </c>
      <c r="I114" s="18" t="s">
        <v>12</v>
      </c>
      <c r="J114" s="20" t="s">
        <v>13</v>
      </c>
    </row>
    <row r="115" spans="1:10" ht="12.75">
      <c r="A115" s="24" t="str">
        <f>HYPERLINK("https://www.dndbeyond.com/magic-items/cap-of-water-breathing", "Cap Of Water Breathing")</f>
        <v>Cap Of Water Breathing</v>
      </c>
      <c r="B115" s="16">
        <v>1000</v>
      </c>
      <c r="C115" s="21">
        <v>450</v>
      </c>
      <c r="D115" s="18" t="str">
        <f>VLOOKUP(F115,'Price Ranges'!$A$2:$B$8,2, FALSE)</f>
        <v>101-500</v>
      </c>
      <c r="E115" s="8" t="str">
        <f>VLOOKUP(F115,'Price Ranges'!$A$2:$C$8,3, FALSE)</f>
        <v>100-600</v>
      </c>
      <c r="F115" s="18" t="s">
        <v>19</v>
      </c>
      <c r="G115" s="18" t="s">
        <v>20</v>
      </c>
      <c r="H115" s="19">
        <v>157</v>
      </c>
      <c r="I115" s="18" t="s">
        <v>58</v>
      </c>
      <c r="J115" s="20" t="s">
        <v>13</v>
      </c>
    </row>
    <row r="116" spans="1:10" ht="12.75">
      <c r="A116" s="24" t="str">
        <f>HYPERLINK("https://www.dndbeyond.com/magic-items/cape-of-the-mountebank", "Cape Of The Mountebank")</f>
        <v>Cape Of The Mountebank</v>
      </c>
      <c r="B116" s="16">
        <v>8000</v>
      </c>
      <c r="C116" s="21">
        <v>3900</v>
      </c>
      <c r="D116" s="18" t="str">
        <f>VLOOKUP(F116,'Price Ranges'!$A$2:$B$8,2, FALSE)</f>
        <v>501-5000</v>
      </c>
      <c r="E116" s="8" t="str">
        <f>VLOOKUP(F116,'Price Ranges'!$A$2:$C$8,3, FALSE)</f>
        <v>2000-20000</v>
      </c>
      <c r="F116" s="18" t="s">
        <v>16</v>
      </c>
      <c r="G116" s="18" t="s">
        <v>20</v>
      </c>
      <c r="H116" s="19">
        <v>157</v>
      </c>
      <c r="I116" s="18" t="s">
        <v>59</v>
      </c>
      <c r="J116" s="20" t="s">
        <v>13</v>
      </c>
    </row>
    <row r="117" spans="1:10" ht="12.75">
      <c r="A117" s="24" t="str">
        <f>HYPERLINK("https://www.dndbeyond.com/magic-items/carpet-of-flying", "Carpet Of Flying")</f>
        <v>Carpet Of Flying</v>
      </c>
      <c r="B117" s="16">
        <v>12000</v>
      </c>
      <c r="C117" s="21">
        <v>44000</v>
      </c>
      <c r="D117" s="18" t="str">
        <f>VLOOKUP(F117,'Price Ranges'!$A$2:$B$8,2, FALSE)</f>
        <v>5001-50000</v>
      </c>
      <c r="E117" s="8" t="str">
        <f>VLOOKUP(F117,'Price Ranges'!$A$2:$C$8,3, FALSE)</f>
        <v>20000-50000</v>
      </c>
      <c r="F117" s="18" t="s">
        <v>10</v>
      </c>
      <c r="G117" s="18" t="s">
        <v>20</v>
      </c>
      <c r="H117" s="19">
        <v>157</v>
      </c>
      <c r="I117" s="18" t="s">
        <v>12</v>
      </c>
      <c r="J117" s="20" t="s">
        <v>13</v>
      </c>
    </row>
    <row r="118" spans="1:10" ht="12.75">
      <c r="A118" s="24" t="str">
        <f>HYPERLINK("https://www.dndbeyond.com/magic-items/cartographers-map-case", "Cartographers Map Case")</f>
        <v>Cartographers Map Case</v>
      </c>
      <c r="B118" s="6"/>
      <c r="C118" s="27"/>
      <c r="D118" s="18" t="str">
        <f>VLOOKUP(F118,'Price Ranges'!$A$2:$B$8,2, FALSE)</f>
        <v>50-100</v>
      </c>
      <c r="E118" s="8" t="str">
        <f>VLOOKUP(F118,'Price Ranges'!$A$2:$C$8,3, FALSE)</f>
        <v>20-70</v>
      </c>
      <c r="F118" s="18" t="s">
        <v>35</v>
      </c>
      <c r="G118" s="18" t="s">
        <v>60</v>
      </c>
      <c r="H118" s="18"/>
      <c r="I118" s="18" t="s">
        <v>61</v>
      </c>
      <c r="J118" s="20" t="s">
        <v>13</v>
      </c>
    </row>
    <row r="119" spans="1:10" ht="12.75">
      <c r="A119" s="24" t="str">
        <f>HYPERLINK("https://www.dndbeyond.com/magic-items/cast-off-armor", "Cast Off Armor")</f>
        <v>Cast Off Armor</v>
      </c>
      <c r="B119" s="6"/>
      <c r="C119" s="28">
        <v>50</v>
      </c>
      <c r="D119" s="18" t="str">
        <f>VLOOKUP(F119,'Price Ranges'!$A$2:$B$8,2, FALSE)</f>
        <v>50-100</v>
      </c>
      <c r="E119" s="8" t="str">
        <f>VLOOKUP(F119,'Price Ranges'!$A$2:$C$8,3, FALSE)</f>
        <v>20-70</v>
      </c>
      <c r="F119" s="18" t="s">
        <v>35</v>
      </c>
      <c r="G119" s="18" t="s">
        <v>37</v>
      </c>
      <c r="H119" s="19">
        <v>136</v>
      </c>
      <c r="I119" s="18" t="s">
        <v>21</v>
      </c>
      <c r="J119" s="20" t="s">
        <v>13</v>
      </c>
    </row>
    <row r="120" spans="1:10" ht="12.75">
      <c r="A120" s="5" t="str">
        <f>HYPERLINK("https://www.dndbeyond.com/magic-items/cauldron-of-plenty", "Cauldron of Plenty")</f>
        <v>Cauldron of Plenty</v>
      </c>
      <c r="B120" s="6"/>
      <c r="C120" s="7"/>
      <c r="D120" s="8" t="str">
        <f>VLOOKUP(F120,'Price Ranges'!$A$2:$B$8,2, FALSE)</f>
        <v>501-5000</v>
      </c>
      <c r="E120" s="8" t="str">
        <f>VLOOKUP(F120,'Price Ranges'!$A$2:$C$8,3, FALSE)</f>
        <v>2000-20000</v>
      </c>
      <c r="F120" s="9" t="s">
        <v>16</v>
      </c>
      <c r="G120" s="9" t="s">
        <v>11</v>
      </c>
      <c r="H120" s="10"/>
      <c r="I120" s="8" t="s">
        <v>12</v>
      </c>
      <c r="J120" s="11" t="s">
        <v>13</v>
      </c>
    </row>
    <row r="121" spans="1:10" ht="12.75">
      <c r="A121" s="5" t="str">
        <f>HYPERLINK("https://www.dndbeyond.com/magic-items/cauldron-of-rebirth", "Cauldron of Rebirth")</f>
        <v>Cauldron of Rebirth</v>
      </c>
      <c r="B121" s="6"/>
      <c r="C121" s="7"/>
      <c r="D121" s="8" t="str">
        <f>VLOOKUP(F121,'Price Ranges'!$A$2:$B$8,2, FALSE)</f>
        <v>5001-50000</v>
      </c>
      <c r="E121" s="8" t="str">
        <f>VLOOKUP(F121,'Price Ranges'!$A$2:$C$8,3, FALSE)</f>
        <v>20000-50000</v>
      </c>
      <c r="F121" s="12" t="s">
        <v>10</v>
      </c>
      <c r="G121" s="12" t="s">
        <v>14</v>
      </c>
      <c r="H121" s="10"/>
      <c r="I121" s="8" t="s">
        <v>12</v>
      </c>
      <c r="J121" s="13" t="s">
        <v>15</v>
      </c>
    </row>
    <row r="122" spans="1:10" ht="12.75">
      <c r="A122" s="24" t="str">
        <f>HYPERLINK("https://www.dndbeyond.com/magic-items/censer-of-controlling-air-elementals", "Censer Of Controlling Air Elementals")</f>
        <v>Censer Of Controlling Air Elementals</v>
      </c>
      <c r="B122" s="16">
        <v>8000</v>
      </c>
      <c r="C122" s="21">
        <v>4700</v>
      </c>
      <c r="D122" s="18" t="str">
        <f>VLOOKUP(F122,'Price Ranges'!$A$2:$B$8,2, FALSE)</f>
        <v>501-5000</v>
      </c>
      <c r="E122" s="8" t="str">
        <f>VLOOKUP(F122,'Price Ranges'!$A$2:$C$8,3, FALSE)</f>
        <v>2000-20000</v>
      </c>
      <c r="F122" s="18" t="s">
        <v>16</v>
      </c>
      <c r="G122" s="18" t="s">
        <v>20</v>
      </c>
      <c r="H122" s="19">
        <v>158</v>
      </c>
      <c r="I122" s="18" t="s">
        <v>12</v>
      </c>
      <c r="J122" s="20" t="s">
        <v>13</v>
      </c>
    </row>
    <row r="123" spans="1:10" ht="12.75">
      <c r="A123" s="24" t="str">
        <f>HYPERLINK("https://www.dndbeyond.com/magic-items/charlatans-die", "Charlatan's Die")</f>
        <v>Charlatan's Die</v>
      </c>
      <c r="B123" s="6"/>
      <c r="C123" s="22">
        <v>80</v>
      </c>
      <c r="D123" s="18" t="str">
        <f>VLOOKUP(F123,'Price Ranges'!$A$2:$B$8,2, FALSE)</f>
        <v>50-100</v>
      </c>
      <c r="E123" s="8" t="str">
        <f>VLOOKUP(F123,'Price Ranges'!$A$2:$C$8,3, FALSE)</f>
        <v>20-70</v>
      </c>
      <c r="F123" s="18" t="s">
        <v>35</v>
      </c>
      <c r="G123" s="18" t="s">
        <v>37</v>
      </c>
      <c r="H123" s="19">
        <v>136</v>
      </c>
      <c r="I123" s="18" t="s">
        <v>12</v>
      </c>
      <c r="J123" s="20" t="s">
        <v>15</v>
      </c>
    </row>
    <row r="124" spans="1:10" ht="12.75">
      <c r="A124" s="24" t="str">
        <f>HYPERLINK("https://www.dndbeyond.com/magic-items/charm-of-plant-command", "Charm Of Plant Command")</f>
        <v>Charm Of Plant Command</v>
      </c>
      <c r="B124" s="6"/>
      <c r="C124" s="14">
        <v>1500</v>
      </c>
      <c r="D124" s="18" t="str">
        <f>VLOOKUP(F124,'Price Ranges'!$A$2:$B$8,2, FALSE)</f>
        <v>501-5000</v>
      </c>
      <c r="E124" s="8" t="str">
        <f>VLOOKUP(F124,'Price Ranges'!$A$2:$C$8,3, FALSE)</f>
        <v>2000-20000</v>
      </c>
      <c r="F124" s="18" t="s">
        <v>16</v>
      </c>
      <c r="G124" s="18" t="s">
        <v>62</v>
      </c>
      <c r="H124" s="26"/>
      <c r="I124" s="18" t="s">
        <v>12</v>
      </c>
      <c r="J124" s="20" t="s">
        <v>15</v>
      </c>
    </row>
    <row r="125" spans="1:10" ht="12.75">
      <c r="A125" s="24" t="str">
        <f>HYPERLINK("https://www.dndbeyond.com/magic-items/chest-of-preserving", "Chest Of Preserving")</f>
        <v>Chest Of Preserving</v>
      </c>
      <c r="B125" s="6"/>
      <c r="C125" s="7"/>
      <c r="D125" s="18" t="str">
        <f>VLOOKUP(F125,'Price Ranges'!$A$2:$B$8,2, FALSE)</f>
        <v>50-100</v>
      </c>
      <c r="E125" s="8" t="str">
        <f>VLOOKUP(F125,'Price Ranges'!$A$2:$C$8,3, FALSE)</f>
        <v>20-70</v>
      </c>
      <c r="F125" s="18" t="s">
        <v>35</v>
      </c>
      <c r="G125" s="18" t="s">
        <v>46</v>
      </c>
      <c r="H125" s="18"/>
      <c r="I125" s="18" t="s">
        <v>12</v>
      </c>
      <c r="J125" s="20" t="s">
        <v>13</v>
      </c>
    </row>
    <row r="126" spans="1:10" ht="12.75">
      <c r="A126" s="24" t="str">
        <f>HYPERLINK("https://www.dndbeyond.com/magic-items/chime-of-opening", "Chime Of Opening")</f>
        <v>Chime Of Opening</v>
      </c>
      <c r="B126" s="16">
        <v>1500</v>
      </c>
      <c r="C126" s="21">
        <v>3000</v>
      </c>
      <c r="D126" s="18" t="str">
        <f>VLOOKUP(F126,'Price Ranges'!$A$2:$B$8,2, FALSE)</f>
        <v>501-5000</v>
      </c>
      <c r="E126" s="8" t="str">
        <f>VLOOKUP(F126,'Price Ranges'!$A$2:$C$8,3, FALSE)</f>
        <v>2000-20000</v>
      </c>
      <c r="F126" s="18" t="s">
        <v>16</v>
      </c>
      <c r="G126" s="18" t="s">
        <v>20</v>
      </c>
      <c r="H126" s="19">
        <v>158</v>
      </c>
      <c r="I126" s="18" t="s">
        <v>12</v>
      </c>
      <c r="J126" s="20" t="s">
        <v>13</v>
      </c>
    </row>
    <row r="127" spans="1:10" ht="12.75">
      <c r="A127" s="24" t="str">
        <f>HYPERLINK("https://www.dndbeyond.com/magic-items/chronolometer", "Chronolometer")</f>
        <v>Chronolometer</v>
      </c>
      <c r="B127" s="6"/>
      <c r="C127" s="14">
        <v>12500</v>
      </c>
      <c r="D127" s="18" t="str">
        <f>VLOOKUP(F127,'Price Ranges'!$A$2:$B$8,2, FALSE)</f>
        <v>5001-50000</v>
      </c>
      <c r="E127" s="8" t="str">
        <f>VLOOKUP(F127,'Price Ranges'!$A$2:$C$8,3, FALSE)</f>
        <v>20000-50000</v>
      </c>
      <c r="F127" s="18" t="s">
        <v>10</v>
      </c>
      <c r="G127" s="18" t="s">
        <v>60</v>
      </c>
      <c r="H127" s="18"/>
      <c r="I127" s="18" t="s">
        <v>12</v>
      </c>
      <c r="J127" s="20" t="s">
        <v>15</v>
      </c>
    </row>
    <row r="128" spans="1:10" ht="12.75">
      <c r="A128" s="24" t="str">
        <f>HYPERLINK("https://www.dndbeyond.com/magic-items/circlet-of-blasting", "Circlet Of Blasting")</f>
        <v>Circlet Of Blasting</v>
      </c>
      <c r="B128" s="16">
        <v>1500</v>
      </c>
      <c r="C128" s="21">
        <v>350</v>
      </c>
      <c r="D128" s="18" t="str">
        <f>VLOOKUP(F128,'Price Ranges'!$A$2:$B$8,2, FALSE)</f>
        <v>101-500</v>
      </c>
      <c r="E128" s="8" t="str">
        <f>VLOOKUP(F128,'Price Ranges'!$A$2:$C$8,3, FALSE)</f>
        <v>100-600</v>
      </c>
      <c r="F128" s="18" t="s">
        <v>19</v>
      </c>
      <c r="G128" s="18" t="s">
        <v>20</v>
      </c>
      <c r="H128" s="19">
        <v>158</v>
      </c>
      <c r="I128" s="18" t="s">
        <v>58</v>
      </c>
      <c r="J128" s="20" t="s">
        <v>13</v>
      </c>
    </row>
    <row r="129" spans="1:10" ht="12.75">
      <c r="A129" s="24" t="str">
        <f>HYPERLINK("https://www.dndbeyond.com/magic-items/circlet-of-human-perfection", "Circlet Of Human Perfection")</f>
        <v>Circlet Of Human Perfection</v>
      </c>
      <c r="B129" s="6"/>
      <c r="C129" s="29"/>
      <c r="D129" s="18" t="str">
        <f>VLOOKUP(F129,'Price Ranges'!$A$2:$B$8,2, FALSE)</f>
        <v>101-500</v>
      </c>
      <c r="E129" s="8" t="str">
        <f>VLOOKUP(F129,'Price Ranges'!$A$2:$C$8,3, FALSE)</f>
        <v>100-600</v>
      </c>
      <c r="F129" s="18" t="s">
        <v>19</v>
      </c>
      <c r="G129" s="18" t="s">
        <v>46</v>
      </c>
      <c r="H129" s="26"/>
      <c r="I129" s="18" t="s">
        <v>12</v>
      </c>
      <c r="J129" s="20" t="s">
        <v>15</v>
      </c>
    </row>
    <row r="130" spans="1:10" ht="12.75">
      <c r="A130" s="24" t="str">
        <f>HYPERLINK("https://www.dndbeyond.com/magic-items/claw-of-the-wyrm-rune", "Claw Of The Wyrm Rune")</f>
        <v>Claw Of The Wyrm Rune</v>
      </c>
      <c r="B130" s="6"/>
      <c r="C130" s="22">
        <v>4400</v>
      </c>
      <c r="D130" s="18" t="str">
        <f>VLOOKUP(F130,'Price Ranges'!$A$2:$B$8,2, FALSE)</f>
        <v>501-5000</v>
      </c>
      <c r="E130" s="8" t="str">
        <f>VLOOKUP(F130,'Price Ranges'!$A$2:$C$8,3, FALSE)</f>
        <v>2000-20000</v>
      </c>
      <c r="F130" s="18" t="s">
        <v>16</v>
      </c>
      <c r="G130" s="18" t="s">
        <v>43</v>
      </c>
      <c r="H130" s="23">
        <v>233</v>
      </c>
      <c r="I130" s="18" t="s">
        <v>12</v>
      </c>
      <c r="J130" s="20" t="s">
        <v>15</v>
      </c>
    </row>
    <row r="131" spans="1:10" ht="12.75">
      <c r="A131" s="24" t="str">
        <f>HYPERLINK("https://www.dndbeyond.com/magic-items/claws-of-the-umber-hulk", "Claws Of The Umber Hulk")</f>
        <v>Claws Of The Umber Hulk</v>
      </c>
      <c r="B131" s="6"/>
      <c r="C131" s="22">
        <v>4300</v>
      </c>
      <c r="D131" s="18" t="str">
        <f>VLOOKUP(F131,'Price Ranges'!$A$2:$B$8,2, FALSE)</f>
        <v>501-5000</v>
      </c>
      <c r="E131" s="8" t="str">
        <f>VLOOKUP(F131,'Price Ranges'!$A$2:$C$8,3, FALSE)</f>
        <v>2000-20000</v>
      </c>
      <c r="F131" s="18" t="s">
        <v>16</v>
      </c>
      <c r="G131" s="18" t="s">
        <v>40</v>
      </c>
      <c r="H131" s="23">
        <v>222</v>
      </c>
      <c r="I131" s="18" t="s">
        <v>63</v>
      </c>
      <c r="J131" s="20" t="s">
        <v>15</v>
      </c>
    </row>
    <row r="132" spans="1:10" ht="12.75">
      <c r="A132" s="24" t="str">
        <f t="shared" ref="A132:A133" si="3">HYPERLINK("https://www.dndbeyond.com/magic-items/cleansing-stone", "Cleansing Stone")</f>
        <v>Cleansing Stone</v>
      </c>
      <c r="B132" s="6"/>
      <c r="C132" s="14">
        <v>50</v>
      </c>
      <c r="D132" s="18" t="str">
        <f>VLOOKUP(F132,'Price Ranges'!$A$2:$B$8,2, FALSE)</f>
        <v>50-100</v>
      </c>
      <c r="E132" s="8" t="str">
        <f>VLOOKUP(F132,'Price Ranges'!$A$2:$C$8,3, FALSE)</f>
        <v>20-70</v>
      </c>
      <c r="F132" s="18" t="s">
        <v>35</v>
      </c>
      <c r="G132" s="18" t="s">
        <v>36</v>
      </c>
      <c r="H132" s="26"/>
      <c r="I132" s="18" t="s">
        <v>12</v>
      </c>
      <c r="J132" s="20" t="s">
        <v>13</v>
      </c>
    </row>
    <row r="133" spans="1:10" ht="12.75">
      <c r="A133" s="30" t="str">
        <f t="shared" si="3"/>
        <v>Cleansing Stone</v>
      </c>
      <c r="B133" s="6"/>
      <c r="C133" s="14">
        <v>50</v>
      </c>
      <c r="D133" s="8" t="str">
        <f>VLOOKUP(F133,'Price Ranges'!$A$2:$B$8,2, FALSE)</f>
        <v>50-100</v>
      </c>
      <c r="E133" s="8" t="str">
        <f>VLOOKUP(F133,'Price Ranges'!$A$2:$C$8,3, FALSE)</f>
        <v>20-70</v>
      </c>
      <c r="F133" s="9" t="s">
        <v>35</v>
      </c>
      <c r="G133" s="9" t="s">
        <v>33</v>
      </c>
      <c r="H133" s="10"/>
      <c r="I133" s="9" t="s">
        <v>12</v>
      </c>
      <c r="J133" s="13" t="s">
        <v>13</v>
      </c>
    </row>
    <row r="134" spans="1:10" ht="12.75">
      <c r="A134" s="31" t="str">
        <f>HYPERLINK("https://www.dndbeyond.com/magic-items/cloak-of-arachnida", "Cloak Of Arachnida")</f>
        <v>Cloak Of Arachnida</v>
      </c>
      <c r="B134" s="16">
        <v>5000</v>
      </c>
      <c r="C134" s="21">
        <v>14000</v>
      </c>
      <c r="D134" s="18" t="str">
        <f>VLOOKUP(F134,'Price Ranges'!$A$2:$B$8,2, FALSE)</f>
        <v>5001-50000</v>
      </c>
      <c r="E134" s="8" t="str">
        <f>VLOOKUP(F134,'Price Ranges'!$A$2:$C$8,3, FALSE)</f>
        <v>20000-50000</v>
      </c>
      <c r="F134" s="18" t="s">
        <v>10</v>
      </c>
      <c r="G134" s="18" t="s">
        <v>20</v>
      </c>
      <c r="H134" s="19">
        <v>158</v>
      </c>
      <c r="I134" s="18" t="s">
        <v>59</v>
      </c>
      <c r="J134" s="20" t="s">
        <v>15</v>
      </c>
    </row>
    <row r="135" spans="1:10" ht="12.75">
      <c r="A135" s="24" t="str">
        <f>HYPERLINK("https://www.dndbeyond.com/magic-items/cloak-of-billowing", "Cloak Of Billowing")</f>
        <v>Cloak Of Billowing</v>
      </c>
      <c r="B135" s="6"/>
      <c r="C135" s="22">
        <v>100</v>
      </c>
      <c r="D135" s="18" t="str">
        <f>VLOOKUP(F135,'Price Ranges'!$A$2:$B$8,2, FALSE)</f>
        <v>50-100</v>
      </c>
      <c r="E135" s="8" t="str">
        <f>VLOOKUP(F135,'Price Ranges'!$A$2:$C$8,3, FALSE)</f>
        <v>20-70</v>
      </c>
      <c r="F135" s="18" t="s">
        <v>35</v>
      </c>
      <c r="G135" s="18" t="s">
        <v>37</v>
      </c>
      <c r="H135" s="19">
        <v>136</v>
      </c>
      <c r="I135" s="18" t="s">
        <v>59</v>
      </c>
      <c r="J135" s="20" t="s">
        <v>13</v>
      </c>
    </row>
    <row r="136" spans="1:10" ht="12.75">
      <c r="A136" s="24" t="str">
        <f>HYPERLINK("https://www.dndbeyond.com/magic-items/cloak-of-displacement", "Cloak Of Displacement")</f>
        <v>Cloak Of Displacement</v>
      </c>
      <c r="B136" s="16">
        <v>60000</v>
      </c>
      <c r="C136" s="21">
        <v>3600</v>
      </c>
      <c r="D136" s="18" t="str">
        <f>VLOOKUP(F136,'Price Ranges'!$A$2:$B$8,2, FALSE)</f>
        <v>501-5000</v>
      </c>
      <c r="E136" s="8" t="str">
        <f>VLOOKUP(F136,'Price Ranges'!$A$2:$C$8,3, FALSE)</f>
        <v>2000-20000</v>
      </c>
      <c r="F136" s="18" t="s">
        <v>16</v>
      </c>
      <c r="G136" s="18" t="s">
        <v>20</v>
      </c>
      <c r="H136" s="19">
        <v>158</v>
      </c>
      <c r="I136" s="18" t="s">
        <v>59</v>
      </c>
      <c r="J136" s="20" t="s">
        <v>15</v>
      </c>
    </row>
    <row r="137" spans="1:10" ht="12.75">
      <c r="A137" s="24" t="str">
        <f>HYPERLINK("https://www.dndbeyond.com/magic-items/cloak-of-elvenkind", "Cloak Of Elvenkind")</f>
        <v>Cloak Of Elvenkind</v>
      </c>
      <c r="B137" s="16">
        <v>5000</v>
      </c>
      <c r="C137" s="21">
        <v>250</v>
      </c>
      <c r="D137" s="18" t="str">
        <f>VLOOKUP(F137,'Price Ranges'!$A$2:$B$8,2, FALSE)</f>
        <v>101-500</v>
      </c>
      <c r="E137" s="8" t="str">
        <f>VLOOKUP(F137,'Price Ranges'!$A$2:$C$8,3, FALSE)</f>
        <v>100-600</v>
      </c>
      <c r="F137" s="18" t="s">
        <v>19</v>
      </c>
      <c r="G137" s="18" t="s">
        <v>20</v>
      </c>
      <c r="H137" s="19">
        <v>158</v>
      </c>
      <c r="I137" s="18" t="s">
        <v>59</v>
      </c>
      <c r="J137" s="20" t="s">
        <v>15</v>
      </c>
    </row>
    <row r="138" spans="1:10" ht="12.75">
      <c r="A138" s="24" t="str">
        <f>HYPERLINK("https://www.dndbeyond.com/magic-items/cloak-of-invisibility", "Cloak Of Invisibility")</f>
        <v>Cloak Of Invisibility</v>
      </c>
      <c r="B138" s="16">
        <v>80000</v>
      </c>
      <c r="C138" s="21">
        <v>54000</v>
      </c>
      <c r="D138" s="18" t="str">
        <f>VLOOKUP(F138,'Price Ranges'!$A$2:$B$8,2, FALSE)</f>
        <v>50001+</v>
      </c>
      <c r="E138" s="8" t="str">
        <f>VLOOKUP(F138,'Price Ranges'!$A$2:$C$8,3, FALSE)</f>
        <v>50000-300000</v>
      </c>
      <c r="F138" s="18" t="s">
        <v>31</v>
      </c>
      <c r="G138" s="18" t="s">
        <v>20</v>
      </c>
      <c r="H138" s="19">
        <v>158</v>
      </c>
      <c r="I138" s="18" t="s">
        <v>59</v>
      </c>
      <c r="J138" s="20" t="s">
        <v>15</v>
      </c>
    </row>
    <row r="139" spans="1:10" ht="12.75">
      <c r="A139" s="24" t="str">
        <f>HYPERLINK("https://www.dndbeyond.com/magic-items/cloak-of-many-fashions", "Cloak Of Many Fashions")</f>
        <v>Cloak Of Many Fashions</v>
      </c>
      <c r="B139" s="6"/>
      <c r="C139" s="22">
        <v>90</v>
      </c>
      <c r="D139" s="18" t="str">
        <f>VLOOKUP(F139,'Price Ranges'!$A$2:$B$8,2, FALSE)</f>
        <v>50-100</v>
      </c>
      <c r="E139" s="8" t="str">
        <f>VLOOKUP(F139,'Price Ranges'!$A$2:$C$8,3, FALSE)</f>
        <v>20-70</v>
      </c>
      <c r="F139" s="18" t="s">
        <v>35</v>
      </c>
      <c r="G139" s="18" t="s">
        <v>37</v>
      </c>
      <c r="H139" s="19">
        <v>136</v>
      </c>
      <c r="I139" s="18" t="s">
        <v>59</v>
      </c>
      <c r="J139" s="20" t="s">
        <v>13</v>
      </c>
    </row>
    <row r="140" spans="1:10" ht="12.75">
      <c r="A140" s="24" t="str">
        <f>HYPERLINK("https://www.dndbeyond.com/magic-items/cloak-of-protection", "Cloak Of Protection")</f>
        <v>Cloak Of Protection</v>
      </c>
      <c r="B140" s="16">
        <v>3500</v>
      </c>
      <c r="C140" s="21">
        <v>400</v>
      </c>
      <c r="D140" s="18" t="str">
        <f>VLOOKUP(F140,'Price Ranges'!$A$2:$B$8,2, FALSE)</f>
        <v>101-500</v>
      </c>
      <c r="E140" s="8" t="str">
        <f>VLOOKUP(F140,'Price Ranges'!$A$2:$C$8,3, FALSE)</f>
        <v>100-600</v>
      </c>
      <c r="F140" s="18" t="s">
        <v>19</v>
      </c>
      <c r="G140" s="18" t="s">
        <v>20</v>
      </c>
      <c r="H140" s="19">
        <v>159</v>
      </c>
      <c r="I140" s="18" t="s">
        <v>59</v>
      </c>
      <c r="J140" s="20" t="s">
        <v>15</v>
      </c>
    </row>
    <row r="141" spans="1:10" ht="12.75">
      <c r="A141" s="24" t="str">
        <f>HYPERLINK("https://www.dndbeyond.com/magic-items/cloak-of-the-bat", "Cloak Of The Bat")</f>
        <v>Cloak Of The Bat</v>
      </c>
      <c r="B141" s="16">
        <v>6000</v>
      </c>
      <c r="C141" s="21">
        <v>4600</v>
      </c>
      <c r="D141" s="18" t="str">
        <f>VLOOKUP(F141,'Price Ranges'!$A$2:$B$8,2, FALSE)</f>
        <v>501-5000</v>
      </c>
      <c r="E141" s="8" t="str">
        <f>VLOOKUP(F141,'Price Ranges'!$A$2:$C$8,3, FALSE)</f>
        <v>2000-20000</v>
      </c>
      <c r="F141" s="18" t="s">
        <v>16</v>
      </c>
      <c r="G141" s="18" t="s">
        <v>20</v>
      </c>
      <c r="H141" s="19">
        <v>159</v>
      </c>
      <c r="I141" s="18" t="s">
        <v>59</v>
      </c>
      <c r="J141" s="20" t="s">
        <v>15</v>
      </c>
    </row>
    <row r="142" spans="1:10" ht="12.75">
      <c r="A142" s="24" t="str">
        <f>HYPERLINK("https://www.dndbeyond.com/magic-items/cloak-of-the-manta-ray", "Cloak Of The Manta Ray")</f>
        <v>Cloak Of The Manta Ray</v>
      </c>
      <c r="B142" s="16">
        <v>6000</v>
      </c>
      <c r="C142" s="21">
        <v>350</v>
      </c>
      <c r="D142" s="18" t="str">
        <f>VLOOKUP(F142,'Price Ranges'!$A$2:$B$8,2, FALSE)</f>
        <v>101-500</v>
      </c>
      <c r="E142" s="8" t="str">
        <f>VLOOKUP(F142,'Price Ranges'!$A$2:$C$8,3, FALSE)</f>
        <v>100-600</v>
      </c>
      <c r="F142" s="18" t="s">
        <v>19</v>
      </c>
      <c r="G142" s="18" t="s">
        <v>20</v>
      </c>
      <c r="H142" s="19">
        <v>159</v>
      </c>
      <c r="I142" s="18" t="s">
        <v>59</v>
      </c>
      <c r="J142" s="20" t="s">
        <v>13</v>
      </c>
    </row>
    <row r="143" spans="1:10" ht="12.75">
      <c r="A143" s="24" t="str">
        <f>HYPERLINK("https://www.dndbeyond.com/magic-items/clockwork-amulet", "Clockwork Amulet")</f>
        <v>Clockwork Amulet</v>
      </c>
      <c r="B143" s="6"/>
      <c r="C143" s="22">
        <v>100</v>
      </c>
      <c r="D143" s="18" t="str">
        <f>VLOOKUP(F143,'Price Ranges'!$A$2:$B$8,2, FALSE)</f>
        <v>50-100</v>
      </c>
      <c r="E143" s="8" t="str">
        <f>VLOOKUP(F143,'Price Ranges'!$A$2:$C$8,3, FALSE)</f>
        <v>20-70</v>
      </c>
      <c r="F143" s="18" t="s">
        <v>35</v>
      </c>
      <c r="G143" s="18" t="s">
        <v>37</v>
      </c>
      <c r="H143" s="19">
        <v>137</v>
      </c>
      <c r="I143" s="18" t="s">
        <v>26</v>
      </c>
      <c r="J143" s="20" t="s">
        <v>13</v>
      </c>
    </row>
    <row r="144" spans="1:10" ht="12.75">
      <c r="A144" s="24" t="str">
        <f>HYPERLINK("https://www.dndbeyond.com/magic-items/clothes-of-mending", "Clothes Of Mending")</f>
        <v>Clothes Of Mending</v>
      </c>
      <c r="B144" s="6"/>
      <c r="C144" s="22">
        <v>50</v>
      </c>
      <c r="D144" s="18" t="str">
        <f>VLOOKUP(F144,'Price Ranges'!$A$2:$B$8,2, FALSE)</f>
        <v>50-100</v>
      </c>
      <c r="E144" s="8" t="str">
        <f>VLOOKUP(F144,'Price Ranges'!$A$2:$C$8,3, FALSE)</f>
        <v>20-70</v>
      </c>
      <c r="F144" s="18" t="s">
        <v>35</v>
      </c>
      <c r="G144" s="18" t="s">
        <v>37</v>
      </c>
      <c r="H144" s="19">
        <v>137</v>
      </c>
      <c r="I144" s="18" t="s">
        <v>64</v>
      </c>
      <c r="J144" s="20" t="s">
        <v>13</v>
      </c>
    </row>
    <row r="145" spans="1:10" ht="12.75">
      <c r="A145" s="5" t="str">
        <f>HYPERLINK("https://www.dndbeyond.com/magic-items/coiling-grasp-tattoo", "Coiling Grasp Tattoo")</f>
        <v>Coiling Grasp Tattoo</v>
      </c>
      <c r="B145" s="6"/>
      <c r="C145" s="7"/>
      <c r="D145" s="8" t="str">
        <f>VLOOKUP(F145,'Price Ranges'!$A$2:$B$8,2, FALSE)</f>
        <v>101-500</v>
      </c>
      <c r="E145" s="8" t="str">
        <f>VLOOKUP(F145,'Price Ranges'!$A$2:$C$8,3, FALSE)</f>
        <v>100-600</v>
      </c>
      <c r="F145" s="12" t="s">
        <v>19</v>
      </c>
      <c r="G145" s="12" t="s">
        <v>14</v>
      </c>
      <c r="H145" s="10"/>
      <c r="I145" s="8" t="s">
        <v>12</v>
      </c>
      <c r="J145" s="13" t="s">
        <v>15</v>
      </c>
    </row>
    <row r="146" spans="1:10" ht="12.75">
      <c r="A146" s="24" t="str">
        <f>HYPERLINK("https://www.dndbeyond.com/magic-items/coin-of-decisionry", "Coin Of Decisionry")</f>
        <v>Coin Of Decisionry</v>
      </c>
      <c r="B146" s="6"/>
      <c r="C146" s="7"/>
      <c r="D146" s="18" t="str">
        <f>VLOOKUP(F146,'Price Ranges'!$A$2:$B$8,2, FALSE)</f>
        <v>Varies</v>
      </c>
      <c r="E146" s="8" t="str">
        <f>VLOOKUP(F146,'Price Ranges'!$A$2:$C$8,3, FALSE)</f>
        <v>Varies</v>
      </c>
      <c r="F146" s="18" t="s">
        <v>24</v>
      </c>
      <c r="G146" s="18" t="s">
        <v>60</v>
      </c>
      <c r="H146" s="18"/>
      <c r="I146" s="18" t="s">
        <v>12</v>
      </c>
      <c r="J146" s="20" t="s">
        <v>13</v>
      </c>
    </row>
    <row r="147" spans="1:10" ht="12.75">
      <c r="A147" s="5" t="str">
        <f>HYPERLINK("https://www.dndbeyond.com/magic-items/coin-of-delving", "Coin of Delving")</f>
        <v>Coin of Delving</v>
      </c>
      <c r="B147" s="6"/>
      <c r="C147" s="14">
        <v>50</v>
      </c>
      <c r="D147" s="8" t="str">
        <f>VLOOKUP(F147,'Price Ranges'!$A$2:$B$8,2, FALSE)</f>
        <v>50-100</v>
      </c>
      <c r="E147" s="8" t="str">
        <f>VLOOKUP(F147,'Price Ranges'!$A$2:$C$8,3, FALSE)</f>
        <v>20-70</v>
      </c>
      <c r="F147" s="9" t="s">
        <v>35</v>
      </c>
      <c r="G147" s="9" t="s">
        <v>17</v>
      </c>
      <c r="H147" s="12">
        <v>266</v>
      </c>
      <c r="I147" s="9" t="s">
        <v>29</v>
      </c>
      <c r="J147" s="13" t="s">
        <v>13</v>
      </c>
    </row>
    <row r="148" spans="1:10" ht="12.75">
      <c r="A148" s="24" t="str">
        <f>HYPERLINK("https://www.dndbeyond.com/magic-items/conch-of-teleportation", "Conch Of Teleportation")</f>
        <v>Conch Of Teleportation</v>
      </c>
      <c r="B148" s="6"/>
      <c r="C148" s="22">
        <v>1850</v>
      </c>
      <c r="D148" s="18" t="str">
        <f>VLOOKUP(F148,'Price Ranges'!$A$2:$B$8,2, FALSE)</f>
        <v>5001-50000</v>
      </c>
      <c r="E148" s="8" t="str">
        <f>VLOOKUP(F148,'Price Ranges'!$A$2:$C$8,3, FALSE)</f>
        <v>20000-50000</v>
      </c>
      <c r="F148" s="18" t="s">
        <v>10</v>
      </c>
      <c r="G148" s="18" t="s">
        <v>43</v>
      </c>
      <c r="H148" s="23">
        <v>234</v>
      </c>
      <c r="I148" s="18" t="s">
        <v>12</v>
      </c>
      <c r="J148" s="20" t="s">
        <v>15</v>
      </c>
    </row>
    <row r="149" spans="1:10" ht="12.75">
      <c r="A149" s="5" t="str">
        <f>HYPERLINK("https://www.dndbeyond.com/magic-items/corpse-slayer", "Corpse Slayer")</f>
        <v>Corpse Slayer</v>
      </c>
      <c r="B149" s="6"/>
      <c r="C149" s="14">
        <v>1300</v>
      </c>
      <c r="D149" s="8" t="str">
        <f>VLOOKUP(F149,'Price Ranges'!$A$2:$B$8,2, FALSE)</f>
        <v>501-5000</v>
      </c>
      <c r="E149" s="8" t="str">
        <f>VLOOKUP(F149,'Price Ranges'!$A$2:$C$8,3, FALSE)</f>
        <v>2000-20000</v>
      </c>
      <c r="F149" s="9" t="s">
        <v>16</v>
      </c>
      <c r="G149" s="9" t="s">
        <v>17</v>
      </c>
      <c r="H149" s="12">
        <v>266</v>
      </c>
      <c r="I149" s="9" t="s">
        <v>18</v>
      </c>
      <c r="J149" s="13" t="s">
        <v>15</v>
      </c>
    </row>
    <row r="150" spans="1:10" ht="12.75">
      <c r="A150" s="5" t="str">
        <f>HYPERLINK("https://www.dndbeyond.com/magic-items/crook-of-rao", "Crook of Rao")</f>
        <v>Crook of Rao</v>
      </c>
      <c r="B150" s="6"/>
      <c r="C150" s="7"/>
      <c r="D150" s="8" t="str">
        <f>VLOOKUP(F150,'Price Ranges'!$A$2:$B$8,2, FALSE)</f>
        <v>Priceless</v>
      </c>
      <c r="E150" s="8" t="str">
        <f>VLOOKUP(F150,'Price Ranges'!$A$2:$C$8,3, FALSE)</f>
        <v>Priceless</v>
      </c>
      <c r="F150" s="12" t="s">
        <v>22</v>
      </c>
      <c r="G150" s="12" t="s">
        <v>14</v>
      </c>
      <c r="H150" s="10"/>
      <c r="I150" s="8" t="s">
        <v>12</v>
      </c>
      <c r="J150" s="13" t="s">
        <v>15</v>
      </c>
    </row>
    <row r="151" spans="1:10" ht="12.75">
      <c r="A151" s="24" t="str">
        <f>HYPERLINK("https://www.dndbeyond.com/magic-items/crystal-ball", "Crystal Ball")</f>
        <v>Crystal Ball</v>
      </c>
      <c r="B151" s="16">
        <v>50000</v>
      </c>
      <c r="C151" s="21">
        <v>42000</v>
      </c>
      <c r="D151" s="18" t="str">
        <f>VLOOKUP(F151,'Price Ranges'!$A$2:$B$8,2, FALSE)</f>
        <v>5001-50000</v>
      </c>
      <c r="E151" s="8" t="str">
        <f>VLOOKUP(F151,'Price Ranges'!$A$2:$C$8,3, FALSE)</f>
        <v>20000-50000</v>
      </c>
      <c r="F151" s="18" t="s">
        <v>10</v>
      </c>
      <c r="G151" s="18" t="s">
        <v>20</v>
      </c>
      <c r="H151" s="19">
        <v>159</v>
      </c>
      <c r="I151" s="18" t="s">
        <v>12</v>
      </c>
      <c r="J151" s="20" t="s">
        <v>15</v>
      </c>
    </row>
    <row r="152" spans="1:10" ht="12.75">
      <c r="A152" s="24" t="str">
        <f>HYPERLINK("https://www.dndbeyond.com/magic-items/crystal-ball-of-mind-reading", "Crystal Ball Of Mind Reading")</f>
        <v>Crystal Ball Of Mind Reading</v>
      </c>
      <c r="B152" s="6"/>
      <c r="C152" s="21">
        <v>51000</v>
      </c>
      <c r="D152" s="18" t="str">
        <f>VLOOKUP(F152,'Price Ranges'!$A$2:$B$8,2, FALSE)</f>
        <v>50001+</v>
      </c>
      <c r="E152" s="8" t="str">
        <f>VLOOKUP(F152,'Price Ranges'!$A$2:$C$8,3, FALSE)</f>
        <v>50000-300000</v>
      </c>
      <c r="F152" s="18" t="s">
        <v>31</v>
      </c>
      <c r="G152" s="18" t="s">
        <v>20</v>
      </c>
      <c r="H152" s="19">
        <v>159</v>
      </c>
      <c r="I152" s="18" t="s">
        <v>12</v>
      </c>
      <c r="J152" s="20" t="s">
        <v>15</v>
      </c>
    </row>
    <row r="153" spans="1:10" ht="12.75">
      <c r="A153" s="24" t="str">
        <f>HYPERLINK("https://www.dndbeyond.com/magic-items/crystal-ball-of-telepathy", "Crystal Ball Of Telepathy")</f>
        <v>Crystal Ball Of Telepathy</v>
      </c>
      <c r="B153" s="6"/>
      <c r="C153" s="21">
        <v>70000</v>
      </c>
      <c r="D153" s="18" t="str">
        <f>VLOOKUP(F153,'Price Ranges'!$A$2:$B$8,2, FALSE)</f>
        <v>50001+</v>
      </c>
      <c r="E153" s="8" t="str">
        <f>VLOOKUP(F153,'Price Ranges'!$A$2:$C$8,3, FALSE)</f>
        <v>50000-300000</v>
      </c>
      <c r="F153" s="18" t="s">
        <v>31</v>
      </c>
      <c r="G153" s="18" t="s">
        <v>20</v>
      </c>
      <c r="H153" s="19">
        <v>159</v>
      </c>
      <c r="I153" s="18" t="s">
        <v>12</v>
      </c>
      <c r="J153" s="20" t="s">
        <v>15</v>
      </c>
    </row>
    <row r="154" spans="1:10" ht="12.75">
      <c r="A154" s="24" t="str">
        <f>HYPERLINK("https://www.dndbeyond.com/magic-items/crystal-ball-of-true-seeing", "Crystal Ball Of True Seeing")</f>
        <v>Crystal Ball Of True Seeing</v>
      </c>
      <c r="B154" s="6"/>
      <c r="C154" s="21">
        <v>80000</v>
      </c>
      <c r="D154" s="18" t="str">
        <f>VLOOKUP(F154,'Price Ranges'!$A$2:$B$8,2, FALSE)</f>
        <v>50001+</v>
      </c>
      <c r="E154" s="8" t="str">
        <f>VLOOKUP(F154,'Price Ranges'!$A$2:$C$8,3, FALSE)</f>
        <v>50000-300000</v>
      </c>
      <c r="F154" s="18" t="s">
        <v>31</v>
      </c>
      <c r="G154" s="18" t="s">
        <v>20</v>
      </c>
      <c r="H154" s="19">
        <v>159</v>
      </c>
      <c r="I154" s="18" t="s">
        <v>12</v>
      </c>
      <c r="J154" s="20" t="s">
        <v>15</v>
      </c>
    </row>
    <row r="155" spans="1:10" ht="12.75">
      <c r="A155" s="5" t="str">
        <f>HYPERLINK("https://www.dndbeyond.com/magic-items/crystalline-chronicle", "Crystalline Chronicle")</f>
        <v>Crystalline Chronicle</v>
      </c>
      <c r="B155" s="6"/>
      <c r="C155" s="7"/>
      <c r="D155" s="8" t="str">
        <f>VLOOKUP(F155,'Price Ranges'!$A$2:$B$8,2, FALSE)</f>
        <v>5001-50000</v>
      </c>
      <c r="E155" s="8" t="str">
        <f>VLOOKUP(F155,'Price Ranges'!$A$2:$C$8,3, FALSE)</f>
        <v>20000-50000</v>
      </c>
      <c r="F155" s="12" t="s">
        <v>10</v>
      </c>
      <c r="G155" s="12" t="s">
        <v>14</v>
      </c>
      <c r="H155" s="10"/>
      <c r="I155" s="8" t="s">
        <v>12</v>
      </c>
      <c r="J155" s="13" t="s">
        <v>15</v>
      </c>
    </row>
    <row r="156" spans="1:10" ht="12.75">
      <c r="A156" s="24" t="str">
        <f>HYPERLINK("https://www.dndbeyond.com/magic-items/cube-of-force", "Cube Of Force")</f>
        <v>Cube Of Force</v>
      </c>
      <c r="B156" s="16">
        <v>16000</v>
      </c>
      <c r="C156" s="21">
        <v>5000</v>
      </c>
      <c r="D156" s="18" t="str">
        <f>VLOOKUP(F156,'Price Ranges'!$A$2:$B$8,2, FALSE)</f>
        <v>501-5000</v>
      </c>
      <c r="E156" s="8" t="str">
        <f>VLOOKUP(F156,'Price Ranges'!$A$2:$C$8,3, FALSE)</f>
        <v>2000-20000</v>
      </c>
      <c r="F156" s="18" t="s">
        <v>16</v>
      </c>
      <c r="G156" s="18" t="s">
        <v>20</v>
      </c>
      <c r="H156" s="19">
        <v>159</v>
      </c>
      <c r="I156" s="18" t="s">
        <v>12</v>
      </c>
      <c r="J156" s="20" t="s">
        <v>15</v>
      </c>
    </row>
    <row r="157" spans="1:10" ht="12.75">
      <c r="A157" s="24" t="str">
        <f>HYPERLINK("https://www.dndbeyond.com/magic-items/cubic-gate", "Cubic Gate")</f>
        <v>Cubic Gate</v>
      </c>
      <c r="B157" s="16">
        <v>40000</v>
      </c>
      <c r="C157" s="21">
        <v>164000</v>
      </c>
      <c r="D157" s="18" t="str">
        <f>VLOOKUP(F157,'Price Ranges'!$A$2:$B$8,2, FALSE)</f>
        <v>50001+</v>
      </c>
      <c r="E157" s="8" t="str">
        <f>VLOOKUP(F157,'Price Ranges'!$A$2:$C$8,3, FALSE)</f>
        <v>50000-300000</v>
      </c>
      <c r="F157" s="18" t="s">
        <v>31</v>
      </c>
      <c r="G157" s="18" t="s">
        <v>20</v>
      </c>
      <c r="H157" s="19">
        <v>160</v>
      </c>
      <c r="I157" s="18" t="s">
        <v>12</v>
      </c>
      <c r="J157" s="20" t="s">
        <v>13</v>
      </c>
    </row>
    <row r="158" spans="1:10" ht="12.75">
      <c r="A158" s="24" t="str">
        <f>HYPERLINK("https://www.dndbeyond.com/magic-items/cursed-luckstone", "Cursed Luckstone")</f>
        <v>Cursed Luckstone</v>
      </c>
      <c r="B158" s="6"/>
      <c r="C158" s="14">
        <v>250</v>
      </c>
      <c r="D158" s="18" t="str">
        <f>VLOOKUP(F158,'Price Ranges'!$A$2:$B$8,2, FALSE)</f>
        <v>101-500</v>
      </c>
      <c r="E158" s="8" t="str">
        <f>VLOOKUP(F158,'Price Ranges'!$A$2:$C$8,3, FALSE)</f>
        <v>100-600</v>
      </c>
      <c r="F158" s="18" t="s">
        <v>19</v>
      </c>
      <c r="G158" s="18" t="s">
        <v>62</v>
      </c>
      <c r="H158" s="26"/>
      <c r="I158" s="18" t="s">
        <v>12</v>
      </c>
      <c r="J158" s="20" t="s">
        <v>15</v>
      </c>
    </row>
    <row r="159" spans="1:10" ht="12.75">
      <c r="A159" s="24" t="str">
        <f>HYPERLINK("https://www.dndbeyond.com/magic-items/daerns-instant-fortress", "Daern's Instant Fortress")</f>
        <v>Daern's Instant Fortress</v>
      </c>
      <c r="B159" s="16">
        <v>75000</v>
      </c>
      <c r="C159" s="21">
        <v>5000</v>
      </c>
      <c r="D159" s="18" t="str">
        <f>VLOOKUP(F159,'Price Ranges'!$A$2:$B$8,2, FALSE)</f>
        <v>501-5000</v>
      </c>
      <c r="E159" s="8" t="str">
        <f>VLOOKUP(F159,'Price Ranges'!$A$2:$C$8,3, FALSE)</f>
        <v>2000-20000</v>
      </c>
      <c r="F159" s="18" t="s">
        <v>16</v>
      </c>
      <c r="G159" s="18" t="s">
        <v>20</v>
      </c>
      <c r="H159" s="19">
        <v>160</v>
      </c>
      <c r="I159" s="18" t="s">
        <v>12</v>
      </c>
      <c r="J159" s="20" t="s">
        <v>13</v>
      </c>
    </row>
    <row r="160" spans="1:10" ht="12.75">
      <c r="A160" s="24" t="str">
        <f>HYPERLINK("https://www.dndbeyond.com/magic-items/dagger-of-blindsight", "Dagger Of Blindsight")</f>
        <v>Dagger Of Blindsight</v>
      </c>
      <c r="B160" s="6"/>
      <c r="C160" s="7"/>
      <c r="D160" s="18" t="str">
        <f>VLOOKUP(F160,'Price Ranges'!$A$2:$B$8,2, FALSE)</f>
        <v>501-5000</v>
      </c>
      <c r="E160" s="8" t="str">
        <f>VLOOKUP(F160,'Price Ranges'!$A$2:$C$8,3, FALSE)</f>
        <v>2000-20000</v>
      </c>
      <c r="F160" s="18" t="s">
        <v>16</v>
      </c>
      <c r="G160" s="18" t="s">
        <v>46</v>
      </c>
      <c r="H160" s="26"/>
      <c r="I160" s="18" t="s">
        <v>18</v>
      </c>
      <c r="J160" s="20" t="s">
        <v>15</v>
      </c>
    </row>
    <row r="161" spans="1:10" ht="12.75">
      <c r="A161" s="24" t="str">
        <f>HYPERLINK("https://www.dndbeyond.com/magic-items/dagger-of-venom", "Dagger Of Venom")</f>
        <v>Dagger Of Venom</v>
      </c>
      <c r="B161" s="16">
        <v>2500</v>
      </c>
      <c r="C161" s="21">
        <v>1500</v>
      </c>
      <c r="D161" s="18" t="str">
        <f>VLOOKUP(F161,'Price Ranges'!$A$2:$B$8,2, FALSE)</f>
        <v>501-5000</v>
      </c>
      <c r="E161" s="8" t="str">
        <f>VLOOKUP(F161,'Price Ranges'!$A$2:$C$8,3, FALSE)</f>
        <v>2000-20000</v>
      </c>
      <c r="F161" s="18" t="s">
        <v>16</v>
      </c>
      <c r="G161" s="18" t="s">
        <v>20</v>
      </c>
      <c r="H161" s="19">
        <v>160</v>
      </c>
      <c r="I161" s="18" t="s">
        <v>18</v>
      </c>
      <c r="J161" s="20" t="s">
        <v>13</v>
      </c>
    </row>
    <row r="162" spans="1:10" ht="12.75">
      <c r="A162" s="24" t="str">
        <f>HYPERLINK("https://www.dndbeyond.com/magic-items/dancing-sword", "Dancing Sword (any sword)")</f>
        <v>Dancing Sword (any sword)</v>
      </c>
      <c r="B162" s="16">
        <v>2000</v>
      </c>
      <c r="C162" s="21">
        <v>10000</v>
      </c>
      <c r="D162" s="18" t="str">
        <f>VLOOKUP(F162,'Price Ranges'!$A$2:$B$8,2, FALSE)</f>
        <v>5001-50000</v>
      </c>
      <c r="E162" s="8" t="str">
        <f>VLOOKUP(F162,'Price Ranges'!$A$2:$C$8,3, FALSE)</f>
        <v>20000-50000</v>
      </c>
      <c r="F162" s="18" t="s">
        <v>10</v>
      </c>
      <c r="G162" s="18" t="s">
        <v>20</v>
      </c>
      <c r="H162" s="19">
        <v>160</v>
      </c>
      <c r="I162" s="18" t="s">
        <v>18</v>
      </c>
      <c r="J162" s="20" t="s">
        <v>15</v>
      </c>
    </row>
    <row r="163" spans="1:10" ht="12.75">
      <c r="A163" s="5" t="str">
        <f>HYPERLINK("https://www.dndbeyond.com/magic-items/danoths-visor", "Danoth's Visor")</f>
        <v>Danoth's Visor</v>
      </c>
      <c r="B163" s="6"/>
      <c r="C163" s="7"/>
      <c r="D163" s="8" t="str">
        <f>VLOOKUP(F163,'Price Ranges'!$A$2:$B$8,2, FALSE)</f>
        <v>50001+</v>
      </c>
      <c r="E163" s="8" t="str">
        <f>VLOOKUP(F163,'Price Ranges'!$A$2:$C$8,3, FALSE)</f>
        <v>50000-300000</v>
      </c>
      <c r="F163" s="9" t="s">
        <v>31</v>
      </c>
      <c r="G163" s="9" t="s">
        <v>17</v>
      </c>
      <c r="H163" s="12">
        <v>270</v>
      </c>
      <c r="I163" s="9" t="s">
        <v>29</v>
      </c>
      <c r="J163" s="13" t="s">
        <v>15</v>
      </c>
    </row>
    <row r="164" spans="1:10" ht="12.75">
      <c r="A164" s="24" t="str">
        <f>HYPERLINK("https://www.dndbeyond.com/magic-items/dark-shard-amulet", "Dark Shard Amulet")</f>
        <v>Dark Shard Amulet</v>
      </c>
      <c r="B164" s="6"/>
      <c r="C164" s="22">
        <v>75</v>
      </c>
      <c r="D164" s="18" t="str">
        <f>VLOOKUP(F164,'Price Ranges'!$A$2:$B$8,2, FALSE)</f>
        <v>50-100</v>
      </c>
      <c r="E164" s="8" t="str">
        <f>VLOOKUP(F164,'Price Ranges'!$A$2:$C$8,3, FALSE)</f>
        <v>20-70</v>
      </c>
      <c r="F164" s="18" t="s">
        <v>35</v>
      </c>
      <c r="G164" s="18" t="s">
        <v>37</v>
      </c>
      <c r="H164" s="19">
        <v>137</v>
      </c>
      <c r="I164" s="18" t="s">
        <v>26</v>
      </c>
      <c r="J164" s="20" t="s">
        <v>15</v>
      </c>
    </row>
    <row r="165" spans="1:10" ht="12.75">
      <c r="A165" s="24" t="str">
        <f>HYPERLINK("https://www.dndbeyond.com/magic-items/dawnbringer", "Dawnbringer (longsword)")</f>
        <v>Dawnbringer (longsword)</v>
      </c>
      <c r="B165" s="6"/>
      <c r="C165" s="22">
        <v>57000</v>
      </c>
      <c r="D165" s="18" t="str">
        <f>VLOOKUP(F165,'Price Ranges'!$A$2:$B$8,2, FALSE)</f>
        <v>50001+</v>
      </c>
      <c r="E165" s="8" t="str">
        <f>VLOOKUP(F165,'Price Ranges'!$A$2:$C$8,3, FALSE)</f>
        <v>50000-300000</v>
      </c>
      <c r="F165" s="18" t="s">
        <v>31</v>
      </c>
      <c r="G165" s="18" t="s">
        <v>65</v>
      </c>
      <c r="H165" s="23">
        <v>222</v>
      </c>
      <c r="I165" s="18" t="s">
        <v>18</v>
      </c>
      <c r="J165" s="20" t="s">
        <v>15</v>
      </c>
    </row>
    <row r="166" spans="1:10" ht="12.75">
      <c r="A166" s="24" t="str">
        <f>HYPERLINK("https://www.dndbeyond.com/magic-items/decanter-of-endless-water", "Decanter Of Endless Water")</f>
        <v>Decanter Of Endless Water</v>
      </c>
      <c r="B166" s="16">
        <v>135000</v>
      </c>
      <c r="C166" s="21">
        <v>300</v>
      </c>
      <c r="D166" s="18" t="str">
        <f>VLOOKUP(F166,'Price Ranges'!$A$2:$B$8,2, FALSE)</f>
        <v>101-500</v>
      </c>
      <c r="E166" s="8" t="str">
        <f>VLOOKUP(F166,'Price Ranges'!$A$2:$C$8,3, FALSE)</f>
        <v>100-600</v>
      </c>
      <c r="F166" s="18" t="s">
        <v>19</v>
      </c>
      <c r="G166" s="18" t="s">
        <v>20</v>
      </c>
      <c r="H166" s="19">
        <v>160</v>
      </c>
      <c r="I166" s="18" t="s">
        <v>12</v>
      </c>
      <c r="J166" s="20" t="s">
        <v>13</v>
      </c>
    </row>
    <row r="167" spans="1:10" ht="12.75">
      <c r="A167" s="24" t="str">
        <f>HYPERLINK("https://www.dndbeyond.com/magic-items/deck-of-illusions", "Deck Of Illusions")</f>
        <v>Deck Of Illusions</v>
      </c>
      <c r="B167" s="16">
        <v>6120</v>
      </c>
      <c r="C167" s="21">
        <v>450</v>
      </c>
      <c r="D167" s="18" t="str">
        <f>VLOOKUP(F167,'Price Ranges'!$A$2:$B$8,2, FALSE)</f>
        <v>101-500</v>
      </c>
      <c r="E167" s="8" t="str">
        <f>VLOOKUP(F167,'Price Ranges'!$A$2:$C$8,3, FALSE)</f>
        <v>100-600</v>
      </c>
      <c r="F167" s="18" t="s">
        <v>19</v>
      </c>
      <c r="G167" s="18" t="s">
        <v>20</v>
      </c>
      <c r="H167" s="19">
        <v>161</v>
      </c>
      <c r="I167" s="18" t="s">
        <v>12</v>
      </c>
      <c r="J167" s="20" t="s">
        <v>13</v>
      </c>
    </row>
    <row r="168" spans="1:10" ht="12.75">
      <c r="A168" s="24" t="str">
        <f>HYPERLINK("https://www.dndbeyond.com/magic-items/deck-of-many-things", "Deck Of Many Things")</f>
        <v>Deck Of Many Things</v>
      </c>
      <c r="B168" s="6"/>
      <c r="C168" s="22">
        <v>200000</v>
      </c>
      <c r="D168" s="18" t="str">
        <f>VLOOKUP(F168,'Price Ranges'!$A$2:$B$8,2, FALSE)</f>
        <v>50001+</v>
      </c>
      <c r="E168" s="8" t="str">
        <f>VLOOKUP(F168,'Price Ranges'!$A$2:$C$8,3, FALSE)</f>
        <v>50000-300000</v>
      </c>
      <c r="F168" s="18" t="s">
        <v>31</v>
      </c>
      <c r="G168" s="18" t="s">
        <v>20</v>
      </c>
      <c r="H168" s="23">
        <v>162</v>
      </c>
      <c r="I168" s="18" t="s">
        <v>12</v>
      </c>
      <c r="J168" s="20" t="s">
        <v>13</v>
      </c>
    </row>
    <row r="169" spans="1:10" ht="12.75">
      <c r="A169" s="24" t="str">
        <f>HYPERLINK("https://www.dndbeyond.com/magic-items/deck-of-several-things", "Deck Of Several Things")</f>
        <v>Deck Of Several Things</v>
      </c>
      <c r="B169" s="6"/>
      <c r="C169" s="7"/>
      <c r="D169" s="18" t="str">
        <f>VLOOKUP(F169,'Price Ranges'!$A$2:$B$8,2, FALSE)</f>
        <v>50001+</v>
      </c>
      <c r="E169" s="8" t="str">
        <f>VLOOKUP(F169,'Price Ranges'!$A$2:$C$8,3, FALSE)</f>
        <v>50000-300000</v>
      </c>
      <c r="F169" s="18" t="s">
        <v>31</v>
      </c>
      <c r="G169" s="18" t="s">
        <v>50</v>
      </c>
      <c r="H169" s="26"/>
      <c r="I169" s="18" t="s">
        <v>12</v>
      </c>
      <c r="J169" s="20" t="s">
        <v>13</v>
      </c>
    </row>
    <row r="170" spans="1:10" ht="12.75">
      <c r="A170" s="24" t="str">
        <f>HYPERLINK("https://www.dndbeyond.com/magic-items/defender", "Defender (any sword)")</f>
        <v>Defender (any sword)</v>
      </c>
      <c r="B170" s="16">
        <v>24000</v>
      </c>
      <c r="C170" s="21">
        <v>55000</v>
      </c>
      <c r="D170" s="18" t="str">
        <f>VLOOKUP(F170,'Price Ranges'!$A$2:$B$8,2, FALSE)</f>
        <v>50001+</v>
      </c>
      <c r="E170" s="8" t="str">
        <f>VLOOKUP(F170,'Price Ranges'!$A$2:$C$8,3, FALSE)</f>
        <v>50000-300000</v>
      </c>
      <c r="F170" s="18" t="s">
        <v>31</v>
      </c>
      <c r="G170" s="18" t="s">
        <v>20</v>
      </c>
      <c r="H170" s="19">
        <v>164</v>
      </c>
      <c r="I170" s="18" t="s">
        <v>18</v>
      </c>
      <c r="J170" s="20" t="s">
        <v>15</v>
      </c>
    </row>
    <row r="171" spans="1:10" ht="12.75">
      <c r="A171" s="15" t="str">
        <f>HYPERLINK("https://www.dndbeyond.com/magic-items/dekella-bident-of-thassa", "Dekella, Bident of Thassa")</f>
        <v>Dekella, Bident of Thassa</v>
      </c>
      <c r="B171" s="6"/>
      <c r="C171" s="7"/>
      <c r="D171" s="8" t="str">
        <f>VLOOKUP(F171,'Price Ranges'!$A$2:$B$8,2, FALSE)</f>
        <v>Priceless</v>
      </c>
      <c r="E171" s="8" t="str">
        <f>VLOOKUP(F171,'Price Ranges'!$A$2:$C$8,3, FALSE)</f>
        <v>Priceless</v>
      </c>
      <c r="F171" s="9" t="s">
        <v>22</v>
      </c>
      <c r="G171" s="9" t="s">
        <v>23</v>
      </c>
      <c r="H171" s="10"/>
      <c r="I171" s="9" t="s">
        <v>18</v>
      </c>
      <c r="J171" s="13" t="s">
        <v>15</v>
      </c>
    </row>
    <row r="172" spans="1:10" ht="12.75">
      <c r="A172" s="24" t="str">
        <f>HYPERLINK("https://www.dndbeyond.com/magic-items/demon-armor", "Demon Armor (plate) (cursed)")</f>
        <v>Demon Armor (plate) (cursed)</v>
      </c>
      <c r="B172" s="6"/>
      <c r="C172" s="22">
        <v>7500</v>
      </c>
      <c r="D172" s="18" t="str">
        <f>VLOOKUP(F172,'Price Ranges'!$A$2:$B$8,2, FALSE)</f>
        <v>5001-50000</v>
      </c>
      <c r="E172" s="8" t="str">
        <f>VLOOKUP(F172,'Price Ranges'!$A$2:$C$8,3, FALSE)</f>
        <v>20000-50000</v>
      </c>
      <c r="F172" s="18" t="s">
        <v>10</v>
      </c>
      <c r="G172" s="18" t="s">
        <v>20</v>
      </c>
      <c r="H172" s="23">
        <v>165</v>
      </c>
      <c r="I172" s="18" t="s">
        <v>21</v>
      </c>
      <c r="J172" s="20" t="s">
        <v>15</v>
      </c>
    </row>
    <row r="173" spans="1:10" ht="12.75">
      <c r="A173" s="5" t="str">
        <f>HYPERLINK("https://www.dndbeyond.com/magic-items/demonomicon-of-iggwilv", "Demonomicon of Iggwilv")</f>
        <v>Demonomicon of Iggwilv</v>
      </c>
      <c r="B173" s="6"/>
      <c r="C173" s="7"/>
      <c r="D173" s="8" t="str">
        <f>VLOOKUP(F173,'Price Ranges'!$A$2:$B$8,2, FALSE)</f>
        <v>Priceless</v>
      </c>
      <c r="E173" s="8" t="str">
        <f>VLOOKUP(F173,'Price Ranges'!$A$2:$C$8,3, FALSE)</f>
        <v>Priceless</v>
      </c>
      <c r="F173" s="12" t="s">
        <v>22</v>
      </c>
      <c r="G173" s="12" t="s">
        <v>14</v>
      </c>
      <c r="H173" s="10"/>
      <c r="I173" s="8" t="s">
        <v>12</v>
      </c>
      <c r="J173" s="13" t="s">
        <v>15</v>
      </c>
    </row>
    <row r="174" spans="1:10" ht="12.75">
      <c r="A174" s="24" t="str">
        <f>HYPERLINK("https://www.dndbeyond.com/magic-items/devastation-orb", "Devastation Orb (Air)")</f>
        <v>Devastation Orb (Air)</v>
      </c>
      <c r="B174" s="6"/>
      <c r="C174" s="22">
        <v>8000</v>
      </c>
      <c r="D174" s="18" t="str">
        <f>VLOOKUP(F174,'Price Ranges'!$A$2:$B$8,2, FALSE)</f>
        <v>5001-50000</v>
      </c>
      <c r="E174" s="8" t="str">
        <f>VLOOKUP(F174,'Price Ranges'!$A$2:$C$8,3, FALSE)</f>
        <v>20000-50000</v>
      </c>
      <c r="F174" s="18" t="s">
        <v>10</v>
      </c>
      <c r="G174" s="18" t="s">
        <v>40</v>
      </c>
      <c r="H174" s="23">
        <v>222</v>
      </c>
      <c r="I174" s="18" t="s">
        <v>12</v>
      </c>
      <c r="J174" s="20" t="s">
        <v>13</v>
      </c>
    </row>
    <row r="175" spans="1:10" ht="12.75">
      <c r="A175" s="24" t="str">
        <f>HYPERLINK("https://www.dndbeyond.com/magic-items/devastation-orb", "Devastation Orb (Earth)")</f>
        <v>Devastation Orb (Earth)</v>
      </c>
      <c r="B175" s="6"/>
      <c r="C175" s="22">
        <v>11000</v>
      </c>
      <c r="D175" s="18" t="str">
        <f>VLOOKUP(F175,'Price Ranges'!$A$2:$B$8,2, FALSE)</f>
        <v>5001-50000</v>
      </c>
      <c r="E175" s="8" t="str">
        <f>VLOOKUP(F175,'Price Ranges'!$A$2:$C$8,3, FALSE)</f>
        <v>20000-50000</v>
      </c>
      <c r="F175" s="18" t="s">
        <v>10</v>
      </c>
      <c r="G175" s="18" t="s">
        <v>40</v>
      </c>
      <c r="H175" s="23">
        <v>222</v>
      </c>
      <c r="I175" s="18" t="s">
        <v>12</v>
      </c>
      <c r="J175" s="20" t="s">
        <v>13</v>
      </c>
    </row>
    <row r="176" spans="1:10" ht="12.75">
      <c r="A176" s="24" t="str">
        <f>HYPERLINK("https://www.dndbeyond.com/magic-items/devastation-orb", "Devastation Orb (Fire)")</f>
        <v>Devastation Orb (Fire)</v>
      </c>
      <c r="B176" s="6"/>
      <c r="C176" s="22">
        <v>9500</v>
      </c>
      <c r="D176" s="18" t="str">
        <f>VLOOKUP(F176,'Price Ranges'!$A$2:$B$8,2, FALSE)</f>
        <v>5001-50000</v>
      </c>
      <c r="E176" s="8" t="str">
        <f>VLOOKUP(F176,'Price Ranges'!$A$2:$C$8,3, FALSE)</f>
        <v>20000-50000</v>
      </c>
      <c r="F176" s="18" t="s">
        <v>10</v>
      </c>
      <c r="G176" s="18" t="s">
        <v>40</v>
      </c>
      <c r="H176" s="23">
        <v>222</v>
      </c>
      <c r="I176" s="18" t="s">
        <v>12</v>
      </c>
      <c r="J176" s="20" t="s">
        <v>13</v>
      </c>
    </row>
    <row r="177" spans="1:10" ht="12.75">
      <c r="A177" s="24" t="str">
        <f>HYPERLINK("https://www.dndbeyond.com/magic-items/devastation-orb", "Devastation Orb (Water)")</f>
        <v>Devastation Orb (Water)</v>
      </c>
      <c r="B177" s="6"/>
      <c r="C177" s="22">
        <v>9500</v>
      </c>
      <c r="D177" s="18" t="str">
        <f>VLOOKUP(F177,'Price Ranges'!$A$2:$B$8,2, FALSE)</f>
        <v>5001-50000</v>
      </c>
      <c r="E177" s="8" t="str">
        <f>VLOOKUP(F177,'Price Ranges'!$A$2:$C$8,3, FALSE)</f>
        <v>20000-50000</v>
      </c>
      <c r="F177" s="18" t="s">
        <v>10</v>
      </c>
      <c r="G177" s="18" t="s">
        <v>40</v>
      </c>
      <c r="H177" s="23">
        <v>223</v>
      </c>
      <c r="I177" s="18" t="s">
        <v>12</v>
      </c>
      <c r="J177" s="20" t="s">
        <v>13</v>
      </c>
    </row>
    <row r="178" spans="1:10" ht="12.75">
      <c r="A178" s="5" t="str">
        <f>HYPERLINK("https://www.dndbeyond.com/magic-items/devotees-censer", "Devotee's Censer")</f>
        <v>Devotee's Censer</v>
      </c>
      <c r="B178" s="6"/>
      <c r="C178" s="7"/>
      <c r="D178" s="8" t="str">
        <f>VLOOKUP(F178,'Price Ranges'!$A$2:$B$8,2, FALSE)</f>
        <v>501-5000</v>
      </c>
      <c r="E178" s="8" t="str">
        <f>VLOOKUP(F178,'Price Ranges'!$A$2:$C$8,3, FALSE)</f>
        <v>2000-20000</v>
      </c>
      <c r="F178" s="12" t="s">
        <v>16</v>
      </c>
      <c r="G178" s="12" t="s">
        <v>14</v>
      </c>
      <c r="H178" s="10"/>
      <c r="I178" s="9" t="s">
        <v>18</v>
      </c>
      <c r="J178" s="13" t="s">
        <v>15</v>
      </c>
    </row>
    <row r="179" spans="1:10" ht="12.75">
      <c r="A179" s="24" t="str">
        <f>HYPERLINK("https://www.dndbeyond.com/magic-items/dimensional-loop", "Dimensional Loop")</f>
        <v>Dimensional Loop</v>
      </c>
      <c r="B179" s="6"/>
      <c r="C179" s="14">
        <v>6000</v>
      </c>
      <c r="D179" s="18" t="str">
        <f>VLOOKUP(F179,'Price Ranges'!$A$2:$B$8,2, FALSE)</f>
        <v>5001-50000</v>
      </c>
      <c r="E179" s="8" t="str">
        <f>VLOOKUP(F179,'Price Ranges'!$A$2:$C$8,3, FALSE)</f>
        <v>20000-50000</v>
      </c>
      <c r="F179" s="18" t="s">
        <v>10</v>
      </c>
      <c r="G179" s="18" t="s">
        <v>60</v>
      </c>
      <c r="H179" s="18"/>
      <c r="I179" s="18" t="s">
        <v>12</v>
      </c>
      <c r="J179" s="20" t="s">
        <v>15</v>
      </c>
    </row>
    <row r="180" spans="1:10" ht="12.75">
      <c r="A180" s="24" t="str">
        <f t="shared" ref="A180:A181" si="4">HYPERLINK("https://www.dndbeyond.com/magic-items/dimensional-seal", "Dimensional Seal")</f>
        <v>Dimensional Seal</v>
      </c>
      <c r="B180" s="6"/>
      <c r="C180" s="7"/>
      <c r="D180" s="18" t="str">
        <f>VLOOKUP(F180,'Price Ranges'!$A$2:$B$8,2, FALSE)</f>
        <v>50001+</v>
      </c>
      <c r="E180" s="8" t="str">
        <f>VLOOKUP(F180,'Price Ranges'!$A$2:$C$8,3, FALSE)</f>
        <v>50000-300000</v>
      </c>
      <c r="F180" s="18" t="s">
        <v>31</v>
      </c>
      <c r="G180" s="18" t="s">
        <v>36</v>
      </c>
      <c r="H180" s="18"/>
      <c r="I180" s="18" t="s">
        <v>12</v>
      </c>
      <c r="J180" s="20" t="s">
        <v>13</v>
      </c>
    </row>
    <row r="181" spans="1:10" ht="12.75">
      <c r="A181" s="5" t="str">
        <f t="shared" si="4"/>
        <v>Dimensional Seal</v>
      </c>
      <c r="B181" s="6"/>
      <c r="C181" s="7"/>
      <c r="D181" s="8" t="str">
        <f>VLOOKUP(F181,'Price Ranges'!$A$2:$B$8,2, FALSE)</f>
        <v>50001+</v>
      </c>
      <c r="E181" s="8" t="str">
        <f>VLOOKUP(F181,'Price Ranges'!$A$2:$C$8,3, FALSE)</f>
        <v>50000-300000</v>
      </c>
      <c r="F181" s="9" t="s">
        <v>31</v>
      </c>
      <c r="G181" s="9" t="s">
        <v>33</v>
      </c>
      <c r="H181" s="8"/>
      <c r="I181" s="9" t="s">
        <v>12</v>
      </c>
      <c r="J181" s="13" t="s">
        <v>13</v>
      </c>
    </row>
    <row r="182" spans="1:10" ht="12.75">
      <c r="A182" s="24" t="str">
        <f>HYPERLINK("https://www.dndbeyond.com/magic-items/dimensional-shackles", "Dimensional Shackles")</f>
        <v>Dimensional Shackles</v>
      </c>
      <c r="B182" s="16">
        <v>3000</v>
      </c>
      <c r="C182" s="21">
        <v>2800</v>
      </c>
      <c r="D182" s="18" t="str">
        <f>VLOOKUP(F182,'Price Ranges'!$A$2:$B$8,2, FALSE)</f>
        <v>501-5000</v>
      </c>
      <c r="E182" s="8" t="str">
        <f>VLOOKUP(F182,'Price Ranges'!$A$2:$C$8,3, FALSE)</f>
        <v>2000-20000</v>
      </c>
      <c r="F182" s="18" t="s">
        <v>16</v>
      </c>
      <c r="G182" s="18" t="s">
        <v>20</v>
      </c>
      <c r="H182" s="19">
        <v>165</v>
      </c>
      <c r="I182" s="18" t="s">
        <v>12</v>
      </c>
      <c r="J182" s="20" t="s">
        <v>13</v>
      </c>
    </row>
    <row r="183" spans="1:10" ht="12.75">
      <c r="A183" s="5" t="str">
        <f>HYPERLINK("https://www.dndbeyond.com/magic-items/dispelling-stone", "Dispelling Stone")</f>
        <v>Dispelling Stone</v>
      </c>
      <c r="B183" s="6"/>
      <c r="C183" s="14">
        <v>7000</v>
      </c>
      <c r="D183" s="8" t="str">
        <f>VLOOKUP(F183,'Price Ranges'!$A$2:$B$8,2, FALSE)</f>
        <v>5001-50000</v>
      </c>
      <c r="E183" s="8" t="str">
        <f>VLOOKUP(F183,'Price Ranges'!$A$2:$C$8,3, FALSE)</f>
        <v>20000-50000</v>
      </c>
      <c r="F183" s="9" t="s">
        <v>10</v>
      </c>
      <c r="G183" s="9" t="s">
        <v>17</v>
      </c>
      <c r="H183" s="12">
        <v>266</v>
      </c>
      <c r="I183" s="9" t="s">
        <v>29</v>
      </c>
      <c r="J183" s="13" t="s">
        <v>13</v>
      </c>
    </row>
    <row r="184" spans="1:10" ht="12.75">
      <c r="A184" s="24" t="str">
        <f t="shared" ref="A184:A185" si="5">HYPERLINK("https://www.dndbeyond.com/magic-items/docent", "Docent")</f>
        <v>Docent</v>
      </c>
      <c r="B184" s="6"/>
      <c r="C184" s="14">
        <v>4500</v>
      </c>
      <c r="D184" s="18" t="str">
        <f>VLOOKUP(F184,'Price Ranges'!$A$2:$B$8,2, FALSE)</f>
        <v>501-5000</v>
      </c>
      <c r="E184" s="8" t="str">
        <f>VLOOKUP(F184,'Price Ranges'!$A$2:$C$8,3, FALSE)</f>
        <v>2000-20000</v>
      </c>
      <c r="F184" s="18" t="s">
        <v>16</v>
      </c>
      <c r="G184" s="18" t="s">
        <v>36</v>
      </c>
      <c r="H184" s="18"/>
      <c r="I184" s="18" t="s">
        <v>12</v>
      </c>
      <c r="J184" s="20" t="s">
        <v>15</v>
      </c>
    </row>
    <row r="185" spans="1:10" ht="12.75">
      <c r="A185" s="5" t="str">
        <f t="shared" si="5"/>
        <v>Docent</v>
      </c>
      <c r="B185" s="6"/>
      <c r="C185" s="14">
        <v>4500</v>
      </c>
      <c r="D185" s="8" t="str">
        <f>VLOOKUP(F185,'Price Ranges'!$A$2:$B$8,2, FALSE)</f>
        <v>501-5000</v>
      </c>
      <c r="E185" s="8" t="str">
        <f>VLOOKUP(F185,'Price Ranges'!$A$2:$C$8,3, FALSE)</f>
        <v>2000-20000</v>
      </c>
      <c r="F185" s="9" t="s">
        <v>16</v>
      </c>
      <c r="G185" s="9" t="s">
        <v>33</v>
      </c>
      <c r="H185" s="10"/>
      <c r="I185" s="9" t="s">
        <v>12</v>
      </c>
      <c r="J185" s="13" t="s">
        <v>15</v>
      </c>
    </row>
    <row r="186" spans="1:10" ht="12.75">
      <c r="A186" s="24" t="str">
        <f>HYPERLINK("https://www.dndbeyond.com/magic-items/documancy-satchel", "Documancy Satchel")</f>
        <v>Documancy Satchel</v>
      </c>
      <c r="B186" s="6"/>
      <c r="C186" s="7"/>
      <c r="D186" s="18" t="str">
        <f>VLOOKUP(F186,'Price Ranges'!$A$2:$B$8,2, FALSE)</f>
        <v>Varies</v>
      </c>
      <c r="E186" s="8" t="str">
        <f>VLOOKUP(F186,'Price Ranges'!$A$2:$C$8,3, FALSE)</f>
        <v>Varies</v>
      </c>
      <c r="F186" s="18" t="s">
        <v>24</v>
      </c>
      <c r="G186" s="18" t="s">
        <v>60</v>
      </c>
      <c r="H186" s="18"/>
      <c r="I186" s="18" t="s">
        <v>12</v>
      </c>
      <c r="J186" s="20" t="s">
        <v>13</v>
      </c>
    </row>
    <row r="187" spans="1:10" ht="12.75">
      <c r="A187" s="24" t="str">
        <f>HYPERLINK("https://www.dndbeyond.com/magic-items/dodecahedron-of-doom", "Dodecahedron Of Doom")</f>
        <v>Dodecahedron Of Doom</v>
      </c>
      <c r="B187" s="6"/>
      <c r="C187" s="7"/>
      <c r="D187" s="18" t="str">
        <f>VLOOKUP(F187,'Price Ranges'!$A$2:$B$8,2, FALSE)</f>
        <v>501-5000</v>
      </c>
      <c r="E187" s="8" t="str">
        <f>VLOOKUP(F187,'Price Ranges'!$A$2:$C$8,3, FALSE)</f>
        <v>2000-20000</v>
      </c>
      <c r="F187" s="18" t="s">
        <v>16</v>
      </c>
      <c r="G187" s="18" t="s">
        <v>46</v>
      </c>
      <c r="H187" s="26"/>
      <c r="I187" s="18" t="s">
        <v>12</v>
      </c>
      <c r="J187" s="20" t="s">
        <v>13</v>
      </c>
    </row>
    <row r="188" spans="1:10" ht="12.75">
      <c r="A188" s="24" t="str">
        <f>HYPERLINK("https://www.dndbeyond.com/magic-items/draakhorn", "Draakhorn")</f>
        <v>Draakhorn</v>
      </c>
      <c r="B188" s="6"/>
      <c r="C188" s="7"/>
      <c r="D188" s="18" t="str">
        <f>VLOOKUP(F188,'Price Ranges'!$A$2:$B$8,2, FALSE)</f>
        <v>Priceless</v>
      </c>
      <c r="E188" s="8" t="str">
        <f>VLOOKUP(F188,'Price Ranges'!$A$2:$C$8,3, FALSE)</f>
        <v>Priceless</v>
      </c>
      <c r="F188" s="18" t="s">
        <v>22</v>
      </c>
      <c r="G188" s="18" t="s">
        <v>53</v>
      </c>
      <c r="H188" s="26"/>
      <c r="I188" s="18" t="s">
        <v>12</v>
      </c>
      <c r="J188" s="20" t="s">
        <v>13</v>
      </c>
    </row>
    <row r="189" spans="1:10" ht="12.75">
      <c r="A189" s="24" t="str">
        <f>HYPERLINK("https://www.dndbeyond.com/magic-items/dragon-scale-mail", "Dragon Scale Mail")</f>
        <v>Dragon Scale Mail</v>
      </c>
      <c r="B189" s="16">
        <v>4000</v>
      </c>
      <c r="C189" s="21">
        <v>15000</v>
      </c>
      <c r="D189" s="18" t="str">
        <f>VLOOKUP(F189,'Price Ranges'!$A$2:$B$8,2, FALSE)</f>
        <v>5001-50000</v>
      </c>
      <c r="E189" s="8" t="str">
        <f>VLOOKUP(F189,'Price Ranges'!$A$2:$C$8,3, FALSE)</f>
        <v>20000-50000</v>
      </c>
      <c r="F189" s="18" t="s">
        <v>10</v>
      </c>
      <c r="G189" s="18" t="s">
        <v>20</v>
      </c>
      <c r="H189" s="19">
        <v>165</v>
      </c>
      <c r="I189" s="18" t="s">
        <v>21</v>
      </c>
      <c r="J189" s="20" t="s">
        <v>15</v>
      </c>
    </row>
    <row r="190" spans="1:10" ht="12.75">
      <c r="A190" s="24" t="str">
        <f>HYPERLINK("https://www.dndbeyond.com/magic-items/dragon-slayer", "Dragon Slayer (any sword)")</f>
        <v>Dragon Slayer (any sword)</v>
      </c>
      <c r="B190" s="16">
        <v>8000</v>
      </c>
      <c r="C190" s="21">
        <v>5000</v>
      </c>
      <c r="D190" s="18" t="str">
        <f>VLOOKUP(F190,'Price Ranges'!$A$2:$B$8,2, FALSE)</f>
        <v>501-5000</v>
      </c>
      <c r="E190" s="8" t="str">
        <f>VLOOKUP(F190,'Price Ranges'!$A$2:$C$8,3, FALSE)</f>
        <v>2000-20000</v>
      </c>
      <c r="F190" s="18" t="s">
        <v>16</v>
      </c>
      <c r="G190" s="18" t="s">
        <v>20</v>
      </c>
      <c r="H190" s="19">
        <v>166</v>
      </c>
      <c r="I190" s="18" t="s">
        <v>18</v>
      </c>
      <c r="J190" s="20" t="s">
        <v>13</v>
      </c>
    </row>
    <row r="191" spans="1:10" ht="12.75">
      <c r="A191" s="24" t="str">
        <f>HYPERLINK("https://www.dndbeyond.com/magic-items/dragonguard", "Dragonguard")</f>
        <v>Dragonguard</v>
      </c>
      <c r="B191" s="6"/>
      <c r="C191" s="7"/>
      <c r="D191" s="18" t="str">
        <f>VLOOKUP(F191,'Price Ranges'!$A$2:$B$8,2, FALSE)</f>
        <v>501-5000</v>
      </c>
      <c r="E191" s="8" t="str">
        <f>VLOOKUP(F191,'Price Ranges'!$A$2:$C$8,3, FALSE)</f>
        <v>2000-20000</v>
      </c>
      <c r="F191" s="18" t="s">
        <v>16</v>
      </c>
      <c r="G191" s="18" t="s">
        <v>66</v>
      </c>
      <c r="H191" s="18"/>
      <c r="I191" s="18" t="s">
        <v>21</v>
      </c>
      <c r="J191" s="20" t="s">
        <v>13</v>
      </c>
    </row>
    <row r="192" spans="1:10" ht="12.75">
      <c r="A192" s="24" t="str">
        <f>HYPERLINK("https://www.dndbeyond.com/magic-items/dragonstaff-of-ahghairon", "Dragonstaff Of Ahghairon")</f>
        <v>Dragonstaff Of Ahghairon</v>
      </c>
      <c r="B192" s="6"/>
      <c r="C192" s="22">
        <v>50500</v>
      </c>
      <c r="D192" s="18" t="str">
        <f>VLOOKUP(F192,'Price Ranges'!$A$2:$B$8,2, FALSE)</f>
        <v>50001+</v>
      </c>
      <c r="E192" s="8" t="str">
        <f>VLOOKUP(F192,'Price Ranges'!$A$2:$C$8,3, FALSE)</f>
        <v>50000-300000</v>
      </c>
      <c r="F192" s="18" t="s">
        <v>31</v>
      </c>
      <c r="G192" s="18" t="s">
        <v>39</v>
      </c>
      <c r="H192" s="23">
        <v>191</v>
      </c>
      <c r="I192" s="18" t="s">
        <v>49</v>
      </c>
      <c r="J192" s="20" t="s">
        <v>15</v>
      </c>
    </row>
    <row r="193" spans="1:10" ht="12.75">
      <c r="A193" s="24" t="str">
        <f>HYPERLINK("https://www.dndbeyond.com/magic-items/dragontooth-dagger", "Dragontooth Dagger")</f>
        <v>Dragontooth Dagger</v>
      </c>
      <c r="B193" s="6"/>
      <c r="C193" s="22">
        <v>5000</v>
      </c>
      <c r="D193" s="18" t="str">
        <f>VLOOKUP(F193,'Price Ranges'!$A$2:$B$8,2, FALSE)</f>
        <v>501-5000</v>
      </c>
      <c r="E193" s="8" t="str">
        <f>VLOOKUP(F193,'Price Ranges'!$A$2:$C$8,3, FALSE)</f>
        <v>2000-20000</v>
      </c>
      <c r="F193" s="18" t="s">
        <v>16</v>
      </c>
      <c r="G193" s="18" t="s">
        <v>53</v>
      </c>
      <c r="H193" s="23">
        <v>93</v>
      </c>
      <c r="I193" s="18" t="s">
        <v>18</v>
      </c>
      <c r="J193" s="20" t="s">
        <v>13</v>
      </c>
    </row>
    <row r="194" spans="1:10" ht="12.75">
      <c r="A194" s="24" t="str">
        <f>HYPERLINK("https://www.dndbeyond.com/magic-items/dread-helm", "Dread Helm")</f>
        <v>Dread Helm</v>
      </c>
      <c r="B194" s="6"/>
      <c r="C194" s="22">
        <v>55</v>
      </c>
      <c r="D194" s="18" t="str">
        <f>VLOOKUP(F194,'Price Ranges'!$A$2:$B$8,2, FALSE)</f>
        <v>50-100</v>
      </c>
      <c r="E194" s="8" t="str">
        <f>VLOOKUP(F194,'Price Ranges'!$A$2:$C$8,3, FALSE)</f>
        <v>20-70</v>
      </c>
      <c r="F194" s="18" t="s">
        <v>35</v>
      </c>
      <c r="G194" s="18" t="s">
        <v>37</v>
      </c>
      <c r="H194" s="19">
        <v>137</v>
      </c>
      <c r="I194" s="18" t="s">
        <v>58</v>
      </c>
      <c r="J194" s="20" t="s">
        <v>13</v>
      </c>
    </row>
    <row r="195" spans="1:10" ht="12.75">
      <c r="A195" s="24" t="str">
        <f>HYPERLINK("https://www.dndbeyond.com/magic-items/driftglobe", "Driftglobe")</f>
        <v>Driftglobe</v>
      </c>
      <c r="B195" s="16">
        <v>750</v>
      </c>
      <c r="C195" s="21">
        <v>100</v>
      </c>
      <c r="D195" s="18" t="str">
        <f>VLOOKUP(F195,'Price Ranges'!$A$2:$B$8,2, FALSE)</f>
        <v>101-500</v>
      </c>
      <c r="E195" s="8" t="str">
        <f>VLOOKUP(F195,'Price Ranges'!$A$2:$C$8,3, FALSE)</f>
        <v>100-600</v>
      </c>
      <c r="F195" s="18" t="s">
        <v>19</v>
      </c>
      <c r="G195" s="18" t="s">
        <v>20</v>
      </c>
      <c r="H195" s="19">
        <v>166</v>
      </c>
      <c r="I195" s="18" t="s">
        <v>12</v>
      </c>
      <c r="J195" s="20" t="s">
        <v>13</v>
      </c>
    </row>
    <row r="196" spans="1:10" ht="12.75">
      <c r="A196" s="24" t="str">
        <f>HYPERLINK("https://www.dndbeyond.com/magic-items/drown", "Drown (trident)")</f>
        <v>Drown (trident)</v>
      </c>
      <c r="B196" s="6"/>
      <c r="C196" s="22">
        <v>66000</v>
      </c>
      <c r="D196" s="18" t="str">
        <f>VLOOKUP(F196,'Price Ranges'!$A$2:$B$8,2, FALSE)</f>
        <v>50001+</v>
      </c>
      <c r="E196" s="8" t="str">
        <f>VLOOKUP(F196,'Price Ranges'!$A$2:$C$8,3, FALSE)</f>
        <v>50000-300000</v>
      </c>
      <c r="F196" s="18" t="s">
        <v>31</v>
      </c>
      <c r="G196" s="18" t="s">
        <v>40</v>
      </c>
      <c r="H196" s="23">
        <v>224</v>
      </c>
      <c r="I196" s="18" t="s">
        <v>18</v>
      </c>
      <c r="J196" s="20" t="s">
        <v>15</v>
      </c>
    </row>
    <row r="197" spans="1:10" ht="12.75">
      <c r="A197" s="5" t="str">
        <f>HYPERLINK("https://www.dndbeyond.com/magic-items/duplicitous-manuscript", "Duplicitous Manuscript")</f>
        <v>Duplicitous Manuscript</v>
      </c>
      <c r="B197" s="6"/>
      <c r="C197" s="7"/>
      <c r="D197" s="8" t="str">
        <f>VLOOKUP(F197,'Price Ranges'!$A$2:$B$8,2, FALSE)</f>
        <v>501-5000</v>
      </c>
      <c r="E197" s="8" t="str">
        <f>VLOOKUP(F197,'Price Ranges'!$A$2:$C$8,3, FALSE)</f>
        <v>2000-20000</v>
      </c>
      <c r="F197" s="12" t="s">
        <v>16</v>
      </c>
      <c r="G197" s="12" t="s">
        <v>14</v>
      </c>
      <c r="H197" s="10"/>
      <c r="I197" s="8" t="s">
        <v>12</v>
      </c>
      <c r="J197" s="13" t="s">
        <v>15</v>
      </c>
    </row>
    <row r="198" spans="1:10" ht="12.75">
      <c r="A198" s="5" t="str">
        <f>HYPERLINK("https://www.dndbeyond.com/magic-items/duskcrusher", "Duskcrusher")</f>
        <v>Duskcrusher</v>
      </c>
      <c r="B198" s="6"/>
      <c r="C198" s="14">
        <v>8500</v>
      </c>
      <c r="D198" s="8" t="str">
        <f>VLOOKUP(F198,'Price Ranges'!$A$2:$B$8,2, FALSE)</f>
        <v>5001-50000</v>
      </c>
      <c r="E198" s="8" t="str">
        <f>VLOOKUP(F198,'Price Ranges'!$A$2:$C$8,3, FALSE)</f>
        <v>20000-50000</v>
      </c>
      <c r="F198" s="9" t="s">
        <v>10</v>
      </c>
      <c r="G198" s="9" t="s">
        <v>17</v>
      </c>
      <c r="H198" s="12">
        <v>266</v>
      </c>
      <c r="I198" s="9" t="s">
        <v>18</v>
      </c>
      <c r="J198" s="13" t="s">
        <v>15</v>
      </c>
    </row>
    <row r="199" spans="1:10" ht="12.75">
      <c r="A199" s="5" t="str">
        <f>HYPERLINK("https://www.dndbeyond.com/magic-items/dust-of-deliciousness", "Dust of Deliciousness")</f>
        <v>Dust of Deliciousness</v>
      </c>
      <c r="B199" s="6"/>
      <c r="C199" s="14">
        <v>150</v>
      </c>
      <c r="D199" s="8" t="str">
        <f>VLOOKUP(F199,'Price Ranges'!$A$2:$B$8,2, FALSE)</f>
        <v>101-500</v>
      </c>
      <c r="E199" s="8" t="str">
        <f>VLOOKUP(F199,'Price Ranges'!$A$2:$C$8,3, FALSE)</f>
        <v>100-600</v>
      </c>
      <c r="F199" s="9" t="s">
        <v>19</v>
      </c>
      <c r="G199" s="9" t="s">
        <v>17</v>
      </c>
      <c r="H199" s="12">
        <v>267</v>
      </c>
      <c r="I199" s="9" t="s">
        <v>29</v>
      </c>
      <c r="J199" s="13" t="s">
        <v>13</v>
      </c>
    </row>
    <row r="200" spans="1:10" ht="12.75">
      <c r="A200" s="24" t="str">
        <f>HYPERLINK("https://www.dndbeyond.com/magic-items/dust-of-disappearance", "Dust Of Disappearance")</f>
        <v>Dust Of Disappearance</v>
      </c>
      <c r="B200" s="16">
        <v>300</v>
      </c>
      <c r="C200" s="21">
        <v>200</v>
      </c>
      <c r="D200" s="18" t="str">
        <f>VLOOKUP(F200,'Price Ranges'!$A$2:$B$8,2, FALSE)</f>
        <v>101-500</v>
      </c>
      <c r="E200" s="8" t="str">
        <f>VLOOKUP(F200,'Price Ranges'!$A$2:$C$8,3, FALSE)</f>
        <v>100-600</v>
      </c>
      <c r="F200" s="18" t="s">
        <v>19</v>
      </c>
      <c r="G200" s="18" t="s">
        <v>20</v>
      </c>
      <c r="H200" s="19">
        <v>166</v>
      </c>
      <c r="I200" s="18" t="s">
        <v>12</v>
      </c>
      <c r="J200" s="20" t="s">
        <v>13</v>
      </c>
    </row>
    <row r="201" spans="1:10" ht="12.75">
      <c r="A201" s="32" t="str">
        <f>HYPERLINK("https://www.dndbeyond.com/magic-items/dust-of-dryness", "Dust Of Dryness (1 pellet)")</f>
        <v>Dust Of Dryness (1 pellet)</v>
      </c>
      <c r="B201" s="16">
        <v>120</v>
      </c>
      <c r="C201" s="21">
        <v>350</v>
      </c>
      <c r="D201" s="18" t="str">
        <f>VLOOKUP(F201,'Price Ranges'!$A$2:$B$8,2, FALSE)</f>
        <v>101-500</v>
      </c>
      <c r="E201" s="8" t="str">
        <f>VLOOKUP(F201,'Price Ranges'!$A$2:$C$8,3, FALSE)</f>
        <v>100-600</v>
      </c>
      <c r="F201" s="18" t="s">
        <v>19</v>
      </c>
      <c r="G201" s="18" t="s">
        <v>20</v>
      </c>
      <c r="H201" s="19">
        <v>166</v>
      </c>
      <c r="I201" s="18" t="s">
        <v>12</v>
      </c>
      <c r="J201" s="20" t="s">
        <v>13</v>
      </c>
    </row>
    <row r="202" spans="1:10" ht="12.75">
      <c r="A202" s="32" t="str">
        <f>HYPERLINK("https://www.dndbeyond.com/magic-items/dust-of-sneezing-and-choking", "Dust Of Sneezing And Choking")</f>
        <v>Dust Of Sneezing And Choking</v>
      </c>
      <c r="B202" s="16">
        <v>480</v>
      </c>
      <c r="C202" s="21">
        <v>150</v>
      </c>
      <c r="D202" s="18" t="str">
        <f>VLOOKUP(F202,'Price Ranges'!$A$2:$B$8,2, FALSE)</f>
        <v>101-500</v>
      </c>
      <c r="E202" s="8" t="str">
        <f>VLOOKUP(F202,'Price Ranges'!$A$2:$C$8,3, FALSE)</f>
        <v>100-600</v>
      </c>
      <c r="F202" s="18" t="s">
        <v>19</v>
      </c>
      <c r="G202" s="18" t="s">
        <v>20</v>
      </c>
      <c r="H202" s="19">
        <v>166</v>
      </c>
      <c r="I202" s="18" t="s">
        <v>12</v>
      </c>
      <c r="J202" s="20" t="s">
        <v>13</v>
      </c>
    </row>
    <row r="203" spans="1:10" ht="12.75">
      <c r="A203" s="32" t="str">
        <f>HYPERLINK("https://www.dndbeyond.com/magic-items/dwarven-plate", "Dwarven Plate")</f>
        <v>Dwarven Plate</v>
      </c>
      <c r="B203" s="16">
        <v>9000</v>
      </c>
      <c r="C203" s="21">
        <v>25000</v>
      </c>
      <c r="D203" s="18" t="str">
        <f>VLOOKUP(F203,'Price Ranges'!$A$2:$B$8,2, FALSE)</f>
        <v>5001-50000</v>
      </c>
      <c r="E203" s="8" t="str">
        <f>VLOOKUP(F203,'Price Ranges'!$A$2:$C$8,3, FALSE)</f>
        <v>20000-50000</v>
      </c>
      <c r="F203" s="18" t="s">
        <v>10</v>
      </c>
      <c r="G203" s="18" t="s">
        <v>20</v>
      </c>
      <c r="H203" s="19">
        <v>167</v>
      </c>
      <c r="I203" s="18" t="s">
        <v>21</v>
      </c>
      <c r="J203" s="20" t="s">
        <v>13</v>
      </c>
    </row>
    <row r="204" spans="1:10" ht="12.75">
      <c r="A204" s="32" t="str">
        <f>HYPERLINK("https://www.dndbeyond.com/magic-items/dwarven-thrower", "Dwarven Thrower (warhammer)")</f>
        <v>Dwarven Thrower (warhammer)</v>
      </c>
      <c r="B204" s="16">
        <v>18000</v>
      </c>
      <c r="C204" s="21">
        <v>25000</v>
      </c>
      <c r="D204" s="18" t="str">
        <f>VLOOKUP(F204,'Price Ranges'!$A$2:$B$8,2, FALSE)</f>
        <v>5001-50000</v>
      </c>
      <c r="E204" s="8" t="str">
        <f>VLOOKUP(F204,'Price Ranges'!$A$2:$C$8,3, FALSE)</f>
        <v>20000-50000</v>
      </c>
      <c r="F204" s="18" t="s">
        <v>10</v>
      </c>
      <c r="G204" s="18" t="s">
        <v>20</v>
      </c>
      <c r="H204" s="19">
        <v>167</v>
      </c>
      <c r="I204" s="18" t="s">
        <v>18</v>
      </c>
      <c r="J204" s="20" t="s">
        <v>15</v>
      </c>
    </row>
    <row r="205" spans="1:10" ht="12.75">
      <c r="A205" s="5" t="str">
        <f>HYPERLINK("https://www.dndbeyond.com/magic-items/dyrrns-tentacle-whip", "Dyrrns Tentacle Whip")</f>
        <v>Dyrrns Tentacle Whip</v>
      </c>
      <c r="B205" s="6"/>
      <c r="C205" s="14">
        <v>17000</v>
      </c>
      <c r="D205" s="8" t="str">
        <f>VLOOKUP(F205,'Price Ranges'!$A$2:$B$8,2, FALSE)</f>
        <v>5001-50000</v>
      </c>
      <c r="E205" s="8" t="str">
        <f>VLOOKUP(F205,'Price Ranges'!$A$2:$C$8,3, FALSE)</f>
        <v>20000-50000</v>
      </c>
      <c r="F205" s="9" t="s">
        <v>10</v>
      </c>
      <c r="G205" s="9" t="s">
        <v>33</v>
      </c>
      <c r="H205" s="10"/>
      <c r="I205" s="9" t="s">
        <v>18</v>
      </c>
      <c r="J205" s="13" t="s">
        <v>15</v>
      </c>
    </row>
    <row r="206" spans="1:10" ht="12.75">
      <c r="A206" s="32" t="str">
        <f>HYPERLINK("https://www.dndbeyond.com/magic-items/eagle-whistle", "Eagle Whistle")</f>
        <v>Eagle Whistle</v>
      </c>
      <c r="B206" s="6"/>
      <c r="C206" s="22">
        <v>600</v>
      </c>
      <c r="D206" s="18" t="str">
        <f>VLOOKUP(F206,'Price Ranges'!$A$2:$B$8,2, FALSE)</f>
        <v>501-5000</v>
      </c>
      <c r="E206" s="8" t="str">
        <f>VLOOKUP(F206,'Price Ranges'!$A$2:$C$8,3, FALSE)</f>
        <v>2000-20000</v>
      </c>
      <c r="F206" s="18" t="s">
        <v>16</v>
      </c>
      <c r="G206" s="18" t="s">
        <v>27</v>
      </c>
      <c r="H206" s="23">
        <v>228</v>
      </c>
      <c r="I206" s="18" t="s">
        <v>12</v>
      </c>
      <c r="J206" s="20" t="s">
        <v>13</v>
      </c>
    </row>
    <row r="207" spans="1:10" ht="12.75">
      <c r="A207" s="32" t="str">
        <f>HYPERLINK("https://www.dndbeyond.com/magic-items/ear-horn-of-hearing", "Ear Horn Of Hearing")</f>
        <v>Ear Horn Of Hearing</v>
      </c>
      <c r="B207" s="6"/>
      <c r="C207" s="22">
        <v>75</v>
      </c>
      <c r="D207" s="18" t="str">
        <f>VLOOKUP(F207,'Price Ranges'!$A$2:$B$8,2, FALSE)</f>
        <v>50-100</v>
      </c>
      <c r="E207" s="8" t="str">
        <f>VLOOKUP(F207,'Price Ranges'!$A$2:$C$8,3, FALSE)</f>
        <v>20-70</v>
      </c>
      <c r="F207" s="18" t="s">
        <v>35</v>
      </c>
      <c r="G207" s="18" t="s">
        <v>37</v>
      </c>
      <c r="H207" s="19">
        <v>137</v>
      </c>
      <c r="I207" s="18" t="s">
        <v>12</v>
      </c>
      <c r="J207" s="20" t="s">
        <v>13</v>
      </c>
    </row>
    <row r="208" spans="1:10" ht="12.75">
      <c r="A208" s="5" t="str">
        <f>HYPERLINK("https://www.dndbeyond.com/magic-items/earworm", "Earworm")</f>
        <v>Earworm</v>
      </c>
      <c r="B208" s="6"/>
      <c r="C208" s="14">
        <v>225</v>
      </c>
      <c r="D208" s="8" t="str">
        <f>VLOOKUP(F208,'Price Ranges'!$A$2:$B$8,2, FALSE)</f>
        <v>101-500</v>
      </c>
      <c r="E208" s="8" t="str">
        <f>VLOOKUP(F208,'Price Ranges'!$A$2:$C$8,3, FALSE)</f>
        <v>100-600</v>
      </c>
      <c r="F208" s="9" t="s">
        <v>19</v>
      </c>
      <c r="G208" s="9" t="s">
        <v>33</v>
      </c>
      <c r="H208" s="10"/>
      <c r="I208" s="9" t="s">
        <v>12</v>
      </c>
      <c r="J208" s="13" t="s">
        <v>15</v>
      </c>
    </row>
    <row r="209" spans="1:10" ht="12.75">
      <c r="A209" s="32" t="str">
        <f>HYPERLINK("https://www.dndbeyond.com/magic-items/efficient-quiver", "Efficient Quiver")</f>
        <v>Efficient Quiver</v>
      </c>
      <c r="B209" s="6"/>
      <c r="C209" s="7"/>
      <c r="D209" s="18" t="str">
        <f>VLOOKUP(F209,'Price Ranges'!$A$2:$B$8,2, FALSE)</f>
        <v>101-500</v>
      </c>
      <c r="E209" s="8" t="str">
        <f>VLOOKUP(F209,'Price Ranges'!$A$2:$C$8,3, FALSE)</f>
        <v>100-600</v>
      </c>
      <c r="F209" s="18" t="s">
        <v>19</v>
      </c>
      <c r="G209" s="18" t="s">
        <v>32</v>
      </c>
      <c r="H209" s="18"/>
      <c r="I209" s="18" t="s">
        <v>12</v>
      </c>
      <c r="J209" s="20" t="s">
        <v>13</v>
      </c>
    </row>
    <row r="210" spans="1:10" ht="12.75">
      <c r="A210" s="32" t="str">
        <f>HYPERLINK("https://www.dndbeyond.com/magic-items/efreeti-bottle", "Efreeti Bottle")</f>
        <v>Efreeti Bottle</v>
      </c>
      <c r="B210" s="6"/>
      <c r="C210" s="22">
        <v>45000</v>
      </c>
      <c r="D210" s="18" t="str">
        <f>VLOOKUP(F210,'Price Ranges'!$A$2:$B$8,2, FALSE)</f>
        <v>5001-50000</v>
      </c>
      <c r="E210" s="8" t="str">
        <f>VLOOKUP(F210,'Price Ranges'!$A$2:$C$8,3, FALSE)</f>
        <v>20000-50000</v>
      </c>
      <c r="F210" s="18" t="s">
        <v>10</v>
      </c>
      <c r="G210" s="18" t="s">
        <v>20</v>
      </c>
      <c r="H210" s="23">
        <v>167</v>
      </c>
      <c r="I210" s="18" t="s">
        <v>12</v>
      </c>
      <c r="J210" s="20" t="s">
        <v>13</v>
      </c>
    </row>
    <row r="211" spans="1:10" ht="12.75">
      <c r="A211" s="32" t="str">
        <f>HYPERLINK("https://www.dndbeyond.com/magic-items/efreeti-chain", "Efreeti Chain (chain mail)")</f>
        <v>Efreeti Chain (chain mail)</v>
      </c>
      <c r="B211" s="16">
        <v>20000</v>
      </c>
      <c r="C211" s="21">
        <v>80000</v>
      </c>
      <c r="D211" s="18" t="str">
        <f>VLOOKUP(F211,'Price Ranges'!$A$2:$B$8,2, FALSE)</f>
        <v>50001+</v>
      </c>
      <c r="E211" s="8" t="str">
        <f>VLOOKUP(F211,'Price Ranges'!$A$2:$C$8,3, FALSE)</f>
        <v>50000-300000</v>
      </c>
      <c r="F211" s="18" t="s">
        <v>31</v>
      </c>
      <c r="G211" s="18" t="s">
        <v>20</v>
      </c>
      <c r="H211" s="19">
        <v>167</v>
      </c>
      <c r="I211" s="18" t="s">
        <v>21</v>
      </c>
      <c r="J211" s="20" t="s">
        <v>15</v>
      </c>
    </row>
    <row r="212" spans="1:10" ht="12.75">
      <c r="A212" s="32" t="str">
        <f>HYPERLINK("https://www.dndbeyond.com/magic-items/elder-cartographers-glossography", "Elder Cartographers Glossography")</f>
        <v>Elder Cartographers Glossography</v>
      </c>
      <c r="B212" s="6"/>
      <c r="C212" s="7"/>
      <c r="D212" s="18" t="str">
        <f>VLOOKUP(F212,'Price Ranges'!$A$2:$B$8,2, FALSE)</f>
        <v>101-500</v>
      </c>
      <c r="E212" s="8" t="str">
        <f>VLOOKUP(F212,'Price Ranges'!$A$2:$C$8,3, FALSE)</f>
        <v>100-600</v>
      </c>
      <c r="F212" s="18" t="s">
        <v>19</v>
      </c>
      <c r="G212" s="18" t="s">
        <v>60</v>
      </c>
      <c r="H212" s="18"/>
      <c r="I212" s="18" t="s">
        <v>12</v>
      </c>
      <c r="J212" s="20" t="s">
        <v>13</v>
      </c>
    </row>
    <row r="213" spans="1:10" ht="12.75">
      <c r="A213" s="5" t="str">
        <f>HYPERLINK("https://www.dndbeyond.com/magic-items/eldritch-claw-tattoo", "Eldritch Claw Tattoo")</f>
        <v>Eldritch Claw Tattoo</v>
      </c>
      <c r="B213" s="6"/>
      <c r="C213" s="7"/>
      <c r="D213" s="8" t="str">
        <f>VLOOKUP(F213,'Price Ranges'!$A$2:$B$8,2, FALSE)</f>
        <v>101-500</v>
      </c>
      <c r="E213" s="8" t="str">
        <f>VLOOKUP(F213,'Price Ranges'!$A$2:$C$8,3, FALSE)</f>
        <v>100-600</v>
      </c>
      <c r="F213" s="12" t="s">
        <v>19</v>
      </c>
      <c r="G213" s="12" t="s">
        <v>14</v>
      </c>
      <c r="H213" s="10"/>
      <c r="I213" s="8" t="s">
        <v>12</v>
      </c>
      <c r="J213" s="13" t="s">
        <v>15</v>
      </c>
    </row>
    <row r="214" spans="1:10" ht="12.75">
      <c r="A214" s="5" t="str">
        <f>HYPERLINK("https://www.dndbeyond.com/magic-items/elemental-essence-shard", "Elemental Essence Shard")</f>
        <v>Elemental Essence Shard</v>
      </c>
      <c r="B214" s="6"/>
      <c r="C214" s="7"/>
      <c r="D214" s="8" t="str">
        <f>VLOOKUP(F214,'Price Ranges'!$A$2:$B$8,2, FALSE)</f>
        <v>501-5000</v>
      </c>
      <c r="E214" s="8" t="str">
        <f>VLOOKUP(F214,'Price Ranges'!$A$2:$C$8,3, FALSE)</f>
        <v>2000-20000</v>
      </c>
      <c r="F214" s="12" t="s">
        <v>16</v>
      </c>
      <c r="G214" s="12" t="s">
        <v>14</v>
      </c>
      <c r="H214" s="10"/>
      <c r="I214" s="8" t="s">
        <v>12</v>
      </c>
      <c r="J214" s="13" t="s">
        <v>15</v>
      </c>
    </row>
    <row r="215" spans="1:10" ht="12.75">
      <c r="A215" s="24" t="str">
        <f>HYPERLINK("https://www.dndbeyond.com/magic-items/elemental-gem", "Elemental Gem")</f>
        <v>Elemental Gem</v>
      </c>
      <c r="B215" s="16">
        <v>960</v>
      </c>
      <c r="C215" s="21">
        <v>250</v>
      </c>
      <c r="D215" s="18" t="str">
        <f>VLOOKUP(F215,'Price Ranges'!$A$2:$B$8,2, FALSE)</f>
        <v>101-500</v>
      </c>
      <c r="E215" s="8" t="str">
        <f>VLOOKUP(F215,'Price Ranges'!$A$2:$C$8,3, FALSE)</f>
        <v>100-600</v>
      </c>
      <c r="F215" s="18" t="s">
        <v>19</v>
      </c>
      <c r="G215" s="18" t="s">
        <v>20</v>
      </c>
      <c r="H215" s="19">
        <v>167</v>
      </c>
      <c r="I215" s="18" t="s">
        <v>12</v>
      </c>
      <c r="J215" s="20" t="s">
        <v>13</v>
      </c>
    </row>
    <row r="216" spans="1:10" ht="12.75">
      <c r="A216" s="24" t="str">
        <f>HYPERLINK("https://www.dndbeyond.com/magic-items/elixir-of-health", "Elixir Of Health")</f>
        <v>Elixir Of Health</v>
      </c>
      <c r="B216" s="16">
        <v>120</v>
      </c>
      <c r="C216" s="21">
        <v>2000</v>
      </c>
      <c r="D216" s="18" t="str">
        <f>VLOOKUP(F216,'Price Ranges'!$A$2:$B$8,2, FALSE)</f>
        <v>501-5000</v>
      </c>
      <c r="E216" s="8" t="str">
        <f>VLOOKUP(F216,'Price Ranges'!$A$2:$C$8,3, FALSE)</f>
        <v>2000-20000</v>
      </c>
      <c r="F216" s="18" t="s">
        <v>16</v>
      </c>
      <c r="G216" s="18" t="s">
        <v>20</v>
      </c>
      <c r="H216" s="19">
        <v>168</v>
      </c>
      <c r="I216" s="18" t="s">
        <v>56</v>
      </c>
      <c r="J216" s="20" t="s">
        <v>13</v>
      </c>
    </row>
    <row r="217" spans="1:10" ht="12.75">
      <c r="A217" s="24" t="str">
        <f>HYPERLINK("https://www.dndbeyond.com/magic-items/elven-chain", "Elven Chain")</f>
        <v>Elven Chain</v>
      </c>
      <c r="B217" s="16">
        <v>4000</v>
      </c>
      <c r="C217" s="21">
        <v>4500</v>
      </c>
      <c r="D217" s="18" t="str">
        <f>VLOOKUP(F217,'Price Ranges'!$A$2:$B$8,2, FALSE)</f>
        <v>501-5000</v>
      </c>
      <c r="E217" s="8" t="str">
        <f>VLOOKUP(F217,'Price Ranges'!$A$2:$C$8,3, FALSE)</f>
        <v>2000-20000</v>
      </c>
      <c r="F217" s="18" t="s">
        <v>16</v>
      </c>
      <c r="G217" s="18" t="s">
        <v>20</v>
      </c>
      <c r="H217" s="19">
        <v>168</v>
      </c>
      <c r="I217" s="18" t="s">
        <v>21</v>
      </c>
      <c r="J217" s="20" t="s">
        <v>13</v>
      </c>
    </row>
    <row r="218" spans="1:10" ht="12.75">
      <c r="A218" s="24" t="str">
        <f>HYPERLINK("https://www.dndbeyond.com/magic-items/enduring-spellbook", "Enduring Spellbook")</f>
        <v>Enduring Spellbook</v>
      </c>
      <c r="B218" s="6"/>
      <c r="C218" s="22">
        <v>100</v>
      </c>
      <c r="D218" s="18" t="str">
        <f>VLOOKUP(F218,'Price Ranges'!$A$2:$B$8,2, FALSE)</f>
        <v>50-100</v>
      </c>
      <c r="E218" s="8" t="str">
        <f>VLOOKUP(F218,'Price Ranges'!$A$2:$C$8,3, FALSE)</f>
        <v>20-70</v>
      </c>
      <c r="F218" s="18" t="s">
        <v>35</v>
      </c>
      <c r="G218" s="18" t="s">
        <v>37</v>
      </c>
      <c r="H218" s="19">
        <v>137</v>
      </c>
      <c r="I218" s="18" t="s">
        <v>12</v>
      </c>
      <c r="J218" s="20" t="s">
        <v>13</v>
      </c>
    </row>
    <row r="219" spans="1:10" ht="12.75">
      <c r="A219" s="15" t="str">
        <f>HYPERLINK("https://www.dndbeyond.com/magic-items/ephixis-bow-of-nylea", "Ephixis, Bow of Nylea")</f>
        <v>Ephixis, Bow of Nylea</v>
      </c>
      <c r="B219" s="6"/>
      <c r="C219" s="7"/>
      <c r="D219" s="8" t="str">
        <f>VLOOKUP(F219,'Price Ranges'!$A$2:$B$8,2, FALSE)</f>
        <v>Priceless</v>
      </c>
      <c r="E219" s="8" t="str">
        <f>VLOOKUP(F219,'Price Ranges'!$A$2:$C$8,3, FALSE)</f>
        <v>Priceless</v>
      </c>
      <c r="F219" s="9" t="s">
        <v>22</v>
      </c>
      <c r="G219" s="9" t="s">
        <v>23</v>
      </c>
      <c r="H219" s="10"/>
      <c r="I219" s="9" t="s">
        <v>18</v>
      </c>
      <c r="J219" s="13" t="s">
        <v>15</v>
      </c>
    </row>
    <row r="220" spans="1:10" ht="12.75">
      <c r="A220" s="24" t="str">
        <f>HYPERLINK("https://www.dndbeyond.com/magic-items/ersatz-eye", "Ersatz Eye")</f>
        <v>Ersatz Eye</v>
      </c>
      <c r="B220" s="6"/>
      <c r="C220" s="22">
        <v>75</v>
      </c>
      <c r="D220" s="18" t="str">
        <f>VLOOKUP(F220,'Price Ranges'!$A$2:$B$8,2, FALSE)</f>
        <v>50-100</v>
      </c>
      <c r="E220" s="8" t="str">
        <f>VLOOKUP(F220,'Price Ranges'!$A$2:$C$8,3, FALSE)</f>
        <v>20-70</v>
      </c>
      <c r="F220" s="18" t="s">
        <v>35</v>
      </c>
      <c r="G220" s="18" t="s">
        <v>37</v>
      </c>
      <c r="H220" s="19">
        <v>137</v>
      </c>
      <c r="I220" s="18" t="s">
        <v>48</v>
      </c>
      <c r="J220" s="20" t="s">
        <v>15</v>
      </c>
    </row>
    <row r="221" spans="1:10" ht="12.75">
      <c r="A221" s="24" t="str">
        <f t="shared" ref="A221:A222" si="6">HYPERLINK("https://www.dndbeyond.com/magic-items/everbright-lantern", "Everbright Lantern")</f>
        <v>Everbright Lantern</v>
      </c>
      <c r="B221" s="6"/>
      <c r="C221" s="14">
        <v>100</v>
      </c>
      <c r="D221" s="18" t="str">
        <f>VLOOKUP(F221,'Price Ranges'!$A$2:$B$8,2, FALSE)</f>
        <v>50-100</v>
      </c>
      <c r="E221" s="8" t="str">
        <f>VLOOKUP(F221,'Price Ranges'!$A$2:$C$8,3, FALSE)</f>
        <v>20-70</v>
      </c>
      <c r="F221" s="18" t="s">
        <v>35</v>
      </c>
      <c r="G221" s="18" t="s">
        <v>36</v>
      </c>
      <c r="H221" s="18"/>
      <c r="I221" s="18" t="s">
        <v>12</v>
      </c>
      <c r="J221" s="20" t="s">
        <v>13</v>
      </c>
    </row>
    <row r="222" spans="1:10" ht="12.75">
      <c r="A222" s="5" t="str">
        <f t="shared" si="6"/>
        <v>Everbright Lantern</v>
      </c>
      <c r="B222" s="6"/>
      <c r="C222" s="14">
        <v>100</v>
      </c>
      <c r="D222" s="8" t="str">
        <f>VLOOKUP(F222,'Price Ranges'!$A$2:$B$8,2, FALSE)</f>
        <v>50-100</v>
      </c>
      <c r="E222" s="8" t="str">
        <f>VLOOKUP(F222,'Price Ranges'!$A$2:$C$8,3, FALSE)</f>
        <v>20-70</v>
      </c>
      <c r="F222" s="9" t="s">
        <v>35</v>
      </c>
      <c r="G222" s="9" t="s">
        <v>33</v>
      </c>
      <c r="H222" s="10"/>
      <c r="I222" s="9" t="s">
        <v>12</v>
      </c>
      <c r="J222" s="13" t="s">
        <v>13</v>
      </c>
    </row>
    <row r="223" spans="1:10" ht="12.75">
      <c r="A223" s="24" t="str">
        <f>HYPERLINK("https://www.dndbeyond.com/magic-items/eversmoking-bottle", "Eversmoking Bottle")</f>
        <v>Eversmoking Bottle</v>
      </c>
      <c r="B223" s="16">
        <v>1000</v>
      </c>
      <c r="C223" s="21">
        <v>270</v>
      </c>
      <c r="D223" s="18" t="str">
        <f>VLOOKUP(F223,'Price Ranges'!$A$2:$B$8,2, FALSE)</f>
        <v>101-500</v>
      </c>
      <c r="E223" s="8" t="str">
        <f>VLOOKUP(F223,'Price Ranges'!$A$2:$C$8,3, FALSE)</f>
        <v>100-600</v>
      </c>
      <c r="F223" s="18" t="s">
        <v>19</v>
      </c>
      <c r="G223" s="18" t="s">
        <v>20</v>
      </c>
      <c r="H223" s="19">
        <v>168</v>
      </c>
      <c r="I223" s="18" t="s">
        <v>12</v>
      </c>
      <c r="J223" s="20" t="s">
        <v>13</v>
      </c>
    </row>
    <row r="224" spans="1:10" ht="12.75">
      <c r="A224" s="24" t="str">
        <f>HYPERLINK("https://www.dndbeyond.com/magic-items/eye-and-hand-of-vecna", "Eye And Hand Of Vecna")</f>
        <v>Eye And Hand Of Vecna</v>
      </c>
      <c r="B224" s="6"/>
      <c r="C224" s="7"/>
      <c r="D224" s="18" t="str">
        <f>VLOOKUP(F224,'Price Ranges'!$A$2:$B$8,2, FALSE)</f>
        <v>Priceless</v>
      </c>
      <c r="E224" s="8" t="str">
        <f>VLOOKUP(F224,'Price Ranges'!$A$2:$C$8,3, FALSE)</f>
        <v>Priceless</v>
      </c>
      <c r="F224" s="18" t="s">
        <v>22</v>
      </c>
      <c r="G224" s="18" t="s">
        <v>20</v>
      </c>
      <c r="H224" s="26"/>
      <c r="I224" s="18" t="s">
        <v>12</v>
      </c>
      <c r="J224" s="20" t="s">
        <v>15</v>
      </c>
    </row>
    <row r="225" spans="1:10" ht="12.75">
      <c r="A225" s="24" t="str">
        <f>HYPERLINK("https://www.dndbeyond.com/magic-items/eye-of-vecna", "Eye Of Vecna")</f>
        <v>Eye Of Vecna</v>
      </c>
      <c r="B225" s="6"/>
      <c r="C225" s="7"/>
      <c r="D225" s="18" t="str">
        <f>VLOOKUP(F225,'Price Ranges'!$A$2:$B$8,2, FALSE)</f>
        <v>Priceless</v>
      </c>
      <c r="E225" s="8" t="str">
        <f>VLOOKUP(F225,'Price Ranges'!$A$2:$C$8,3, FALSE)</f>
        <v>Priceless</v>
      </c>
      <c r="F225" s="18" t="s">
        <v>22</v>
      </c>
      <c r="G225" s="18" t="s">
        <v>20</v>
      </c>
      <c r="H225" s="26"/>
      <c r="I225" s="18" t="s">
        <v>12</v>
      </c>
      <c r="J225" s="20" t="s">
        <v>15</v>
      </c>
    </row>
    <row r="226" spans="1:10" ht="12.75">
      <c r="A226" s="24" t="str">
        <f>HYPERLINK("https://www.dndbeyond.com/magic-items/eyes-of-charming", "Eyes Of Charming")</f>
        <v>Eyes Of Charming</v>
      </c>
      <c r="B226" s="16">
        <v>3000</v>
      </c>
      <c r="C226" s="21">
        <v>300</v>
      </c>
      <c r="D226" s="18" t="str">
        <f>VLOOKUP(F226,'Price Ranges'!$A$2:$B$8,2, FALSE)</f>
        <v>101-500</v>
      </c>
      <c r="E226" s="8" t="str">
        <f>VLOOKUP(F226,'Price Ranges'!$A$2:$C$8,3, FALSE)</f>
        <v>100-600</v>
      </c>
      <c r="F226" s="18" t="s">
        <v>19</v>
      </c>
      <c r="G226" s="18" t="s">
        <v>20</v>
      </c>
      <c r="H226" s="19">
        <v>168</v>
      </c>
      <c r="I226" s="18" t="s">
        <v>48</v>
      </c>
      <c r="J226" s="20" t="s">
        <v>15</v>
      </c>
    </row>
    <row r="227" spans="1:10" ht="12.75">
      <c r="A227" s="24" t="str">
        <f>HYPERLINK("https://www.dndbeyond.com/magic-items/eyes-of-minute-seeing", "Eyes Of Minute Seeing")</f>
        <v>Eyes Of Minute Seeing</v>
      </c>
      <c r="B227" s="16">
        <v>2500</v>
      </c>
      <c r="C227" s="21">
        <v>150</v>
      </c>
      <c r="D227" s="18" t="str">
        <f>VLOOKUP(F227,'Price Ranges'!$A$2:$B$8,2, FALSE)</f>
        <v>101-500</v>
      </c>
      <c r="E227" s="8" t="str">
        <f>VLOOKUP(F227,'Price Ranges'!$A$2:$C$8,3, FALSE)</f>
        <v>100-600</v>
      </c>
      <c r="F227" s="18" t="s">
        <v>19</v>
      </c>
      <c r="G227" s="18" t="s">
        <v>20</v>
      </c>
      <c r="H227" s="19">
        <v>168</v>
      </c>
      <c r="I227" s="18" t="s">
        <v>48</v>
      </c>
      <c r="J227" s="20" t="s">
        <v>13</v>
      </c>
    </row>
    <row r="228" spans="1:10" ht="12.75">
      <c r="A228" s="24" t="str">
        <f>HYPERLINK("https://www.dndbeyond.com/magic-items/eyes-of-the-eagle", "Eyes Of The Eagle")</f>
        <v>Eyes Of The Eagle</v>
      </c>
      <c r="B228" s="16">
        <v>2500</v>
      </c>
      <c r="C228" s="21">
        <v>400</v>
      </c>
      <c r="D228" s="18" t="str">
        <f>VLOOKUP(F228,'Price Ranges'!$A$2:$B$8,2, FALSE)</f>
        <v>101-500</v>
      </c>
      <c r="E228" s="8" t="str">
        <f>VLOOKUP(F228,'Price Ranges'!$A$2:$C$8,3, FALSE)</f>
        <v>100-600</v>
      </c>
      <c r="F228" s="18" t="s">
        <v>19</v>
      </c>
      <c r="G228" s="18" t="s">
        <v>20</v>
      </c>
      <c r="H228" s="19">
        <v>168</v>
      </c>
      <c r="I228" s="18" t="s">
        <v>48</v>
      </c>
      <c r="J228" s="20" t="s">
        <v>15</v>
      </c>
    </row>
    <row r="229" spans="1:10" ht="12.75">
      <c r="A229" s="24" t="str">
        <f>HYPERLINK("https://www.dndbeyond.com/magic-items/failed-experiment-wand", "Failed Experiment Wand")</f>
        <v>Failed Experiment Wand</v>
      </c>
      <c r="B229" s="6"/>
      <c r="C229" s="7"/>
      <c r="D229" s="18" t="str">
        <f>VLOOKUP(F229,'Price Ranges'!$A$2:$B$8,2, FALSE)</f>
        <v>501-5000</v>
      </c>
      <c r="E229" s="8" t="str">
        <f>VLOOKUP(F229,'Price Ranges'!$A$2:$C$8,3, FALSE)</f>
        <v>2000-20000</v>
      </c>
      <c r="F229" s="18" t="s">
        <v>16</v>
      </c>
      <c r="G229" s="18" t="s">
        <v>60</v>
      </c>
      <c r="H229" s="18"/>
      <c r="I229" s="18" t="s">
        <v>38</v>
      </c>
      <c r="J229" s="20" t="s">
        <v>15</v>
      </c>
    </row>
    <row r="230" spans="1:10" ht="12.75">
      <c r="A230" s="24" t="str">
        <f>HYPERLINK("https://www.dndbeyond.com/magic-items/fane-eater", "Fane-Eater")</f>
        <v>Fane-Eater</v>
      </c>
      <c r="B230" s="6"/>
      <c r="C230" s="14">
        <v>55000</v>
      </c>
      <c r="D230" s="18" t="str">
        <f>VLOOKUP(F230,'Price Ranges'!$A$2:$B$8,2, FALSE)</f>
        <v>50001+</v>
      </c>
      <c r="E230" s="8" t="str">
        <f>VLOOKUP(F230,'Price Ranges'!$A$2:$C$8,3, FALSE)</f>
        <v>50000-300000</v>
      </c>
      <c r="F230" s="18" t="s">
        <v>31</v>
      </c>
      <c r="G230" s="18" t="s">
        <v>44</v>
      </c>
      <c r="H230" s="26"/>
      <c r="I230" s="18" t="s">
        <v>18</v>
      </c>
      <c r="J230" s="20" t="s">
        <v>15</v>
      </c>
    </row>
    <row r="231" spans="1:10" ht="12.75">
      <c r="A231" s="24" t="str">
        <f>HYPERLINK("https://www.dndbeyond.com/magic-items/far-gear", "Far Gear")</f>
        <v>Far Gear</v>
      </c>
      <c r="B231" s="6"/>
      <c r="C231" s="14">
        <v>7500</v>
      </c>
      <c r="D231" s="18" t="str">
        <f>VLOOKUP(F231,'Price Ranges'!$A$2:$B$8,2, FALSE)</f>
        <v>5001-50000</v>
      </c>
      <c r="E231" s="8" t="str">
        <f>VLOOKUP(F231,'Price Ranges'!$A$2:$C$8,3, FALSE)</f>
        <v>20000-50000</v>
      </c>
      <c r="F231" s="18" t="s">
        <v>10</v>
      </c>
      <c r="G231" s="18" t="s">
        <v>60</v>
      </c>
      <c r="H231" s="26"/>
      <c r="I231" s="18" t="s">
        <v>12</v>
      </c>
      <c r="J231" s="20" t="s">
        <v>15</v>
      </c>
    </row>
    <row r="232" spans="1:10" ht="12.75">
      <c r="A232" s="5" t="str">
        <f>HYPERLINK("https://www.dndbeyond.com/magic-items/far-realm-shard", "Far Realm Shard")</f>
        <v>Far Realm Shard</v>
      </c>
      <c r="B232" s="6"/>
      <c r="C232" s="7"/>
      <c r="D232" s="8" t="str">
        <f>VLOOKUP(F232,'Price Ranges'!$A$2:$B$8,2, FALSE)</f>
        <v>501-5000</v>
      </c>
      <c r="E232" s="8" t="str">
        <f>VLOOKUP(F232,'Price Ranges'!$A$2:$C$8,3, FALSE)</f>
        <v>2000-20000</v>
      </c>
      <c r="F232" s="12" t="s">
        <v>16</v>
      </c>
      <c r="G232" s="12" t="s">
        <v>14</v>
      </c>
      <c r="H232" s="10"/>
      <c r="I232" s="8" t="s">
        <v>12</v>
      </c>
      <c r="J232" s="13" t="s">
        <v>15</v>
      </c>
    </row>
    <row r="233" spans="1:10" ht="12.75">
      <c r="A233" s="24" t="str">
        <f>HYPERLINK("https://www.dndbeyond.com/magic-items/feather-of-diatryma-summoning", "Feather Of Diatryma Summoning")</f>
        <v>Feather Of Diatryma Summoning</v>
      </c>
      <c r="B233" s="6"/>
      <c r="C233" s="22">
        <v>600</v>
      </c>
      <c r="D233" s="18" t="str">
        <f>VLOOKUP(F233,'Price Ranges'!$A$2:$B$8,2, FALSE)</f>
        <v>501-5000</v>
      </c>
      <c r="E233" s="8" t="str">
        <f>VLOOKUP(F233,'Price Ranges'!$A$2:$C$8,3, FALSE)</f>
        <v>2000-20000</v>
      </c>
      <c r="F233" s="18" t="s">
        <v>16</v>
      </c>
      <c r="G233" s="18" t="s">
        <v>39</v>
      </c>
      <c r="H233" s="23">
        <v>191</v>
      </c>
      <c r="I233" s="18" t="s">
        <v>12</v>
      </c>
      <c r="J233" s="20" t="s">
        <v>15</v>
      </c>
    </row>
    <row r="234" spans="1:10" ht="12.75">
      <c r="A234" s="24" t="str">
        <f>HYPERLINK("https://www.dndbeyond.com/magic-items/feather-token", "Feather Token")</f>
        <v>Feather Token</v>
      </c>
      <c r="B234" s="6"/>
      <c r="C234" s="14">
        <v>25</v>
      </c>
      <c r="D234" s="18" t="str">
        <f>VLOOKUP(F234,'Price Ranges'!$A$2:$B$8,2, FALSE)</f>
        <v>501-5000</v>
      </c>
      <c r="E234" s="8" t="str">
        <f>VLOOKUP(F234,'Price Ranges'!$A$2:$C$8,3, FALSE)</f>
        <v>2000-20000</v>
      </c>
      <c r="F234" s="18" t="s">
        <v>16</v>
      </c>
      <c r="G234" s="18" t="s">
        <v>32</v>
      </c>
      <c r="H234" s="26"/>
      <c r="I234" s="18" t="s">
        <v>12</v>
      </c>
      <c r="J234" s="20" t="s">
        <v>13</v>
      </c>
    </row>
    <row r="235" spans="1:10" ht="12.75">
      <c r="A235" s="24" t="str">
        <f>HYPERLINK("https://www.dndbeyond.com/magic-items/feather-token-feather-fall", "Feather Token (Feather Fall)")</f>
        <v>Feather Token (Feather Fall)</v>
      </c>
      <c r="B235" s="6"/>
      <c r="C235" s="14">
        <v>25</v>
      </c>
      <c r="D235" s="18" t="str">
        <f>VLOOKUP(F235,'Price Ranges'!$A$2:$B$8,2, FALSE)</f>
        <v>50-100</v>
      </c>
      <c r="E235" s="8" t="str">
        <f>VLOOKUP(F235,'Price Ranges'!$A$2:$C$8,3, FALSE)</f>
        <v>20-70</v>
      </c>
      <c r="F235" s="18" t="s">
        <v>35</v>
      </c>
      <c r="G235" s="18" t="s">
        <v>36</v>
      </c>
      <c r="H235" s="26"/>
      <c r="I235" s="18" t="s">
        <v>12</v>
      </c>
      <c r="J235" s="20" t="s">
        <v>13</v>
      </c>
    </row>
    <row r="236" spans="1:10" ht="12.75">
      <c r="A236" s="5" t="str">
        <f>HYPERLINK("https://www.dndbeyond.com/magic-items/feather-token-feather-fall", "Feather Token Feather Fall")</f>
        <v>Feather Token Feather Fall</v>
      </c>
      <c r="B236" s="6"/>
      <c r="C236" s="14">
        <v>25</v>
      </c>
      <c r="D236" s="8" t="str">
        <f>VLOOKUP(F236,'Price Ranges'!$A$2:$B$8,2, FALSE)</f>
        <v>50-100</v>
      </c>
      <c r="E236" s="8" t="str">
        <f>VLOOKUP(F236,'Price Ranges'!$A$2:$C$8,3, FALSE)</f>
        <v>20-70</v>
      </c>
      <c r="F236" s="9" t="s">
        <v>35</v>
      </c>
      <c r="G236" s="9" t="s">
        <v>33</v>
      </c>
      <c r="H236" s="8"/>
      <c r="I236" s="9" t="s">
        <v>12</v>
      </c>
      <c r="J236" s="13" t="s">
        <v>13</v>
      </c>
    </row>
    <row r="237" spans="1:10" ht="12.75">
      <c r="A237" s="24" t="str">
        <f t="shared" ref="A237:A238" si="7">HYPERLINK("https://www.dndbeyond.com/magic-items/fernian-ash-focus", "Fernian Ash Focus")</f>
        <v>Fernian Ash Focus</v>
      </c>
      <c r="B237" s="6"/>
      <c r="C237" s="7"/>
      <c r="D237" s="18" t="str">
        <f>VLOOKUP(F237,'Price Ranges'!$A$2:$B$8,2, FALSE)</f>
        <v>50-100</v>
      </c>
      <c r="E237" s="8" t="str">
        <f>VLOOKUP(F237,'Price Ranges'!$A$2:$C$8,3, FALSE)</f>
        <v>20-70</v>
      </c>
      <c r="F237" s="18" t="s">
        <v>35</v>
      </c>
      <c r="G237" s="18" t="s">
        <v>36</v>
      </c>
      <c r="H237" s="18"/>
      <c r="I237" s="18" t="s">
        <v>12</v>
      </c>
      <c r="J237" s="20" t="s">
        <v>15</v>
      </c>
    </row>
    <row r="238" spans="1:10" ht="12.75">
      <c r="A238" s="5" t="str">
        <f t="shared" si="7"/>
        <v>Fernian Ash Focus</v>
      </c>
      <c r="B238" s="6"/>
      <c r="C238" s="7"/>
      <c r="D238" s="8" t="str">
        <f>VLOOKUP(F238,'Price Ranges'!$A$2:$B$8,2, FALSE)</f>
        <v>50-100</v>
      </c>
      <c r="E238" s="8" t="str">
        <f>VLOOKUP(F238,'Price Ranges'!$A$2:$C$8,3, FALSE)</f>
        <v>20-70</v>
      </c>
      <c r="F238" s="9" t="s">
        <v>35</v>
      </c>
      <c r="G238" s="9" t="s">
        <v>33</v>
      </c>
      <c r="H238" s="10"/>
      <c r="I238" s="9" t="s">
        <v>12</v>
      </c>
      <c r="J238" s="13" t="s">
        <v>15</v>
      </c>
    </row>
    <row r="239" spans="1:10" ht="12.75">
      <c r="A239" s="5" t="str">
        <f>HYPERLINK("https://www.dndbeyond.com/magic-items/feywild-shard", "Feywild Shard")</f>
        <v>Feywild Shard</v>
      </c>
      <c r="B239" s="6"/>
      <c r="C239" s="7"/>
      <c r="D239" s="8" t="str">
        <f>VLOOKUP(F239,'Price Ranges'!$A$2:$B$8,2, FALSE)</f>
        <v>101-500</v>
      </c>
      <c r="E239" s="8" t="str">
        <f>VLOOKUP(F239,'Price Ranges'!$A$2:$C$8,3, FALSE)</f>
        <v>100-600</v>
      </c>
      <c r="F239" s="12" t="s">
        <v>19</v>
      </c>
      <c r="G239" s="12" t="s">
        <v>14</v>
      </c>
      <c r="H239" s="10"/>
      <c r="I239" s="8" t="s">
        <v>12</v>
      </c>
      <c r="J239" s="13" t="s">
        <v>15</v>
      </c>
    </row>
    <row r="240" spans="1:10" ht="12.75">
      <c r="A240" s="24" t="str">
        <f>HYPERLINK("https://www.dndbeyond.com/magic-items/figurine-of-wondrous-power", "Figurine of Wondrous Power (Bronze Griffon)")</f>
        <v>Figurine of Wondrous Power (Bronze Griffon)</v>
      </c>
      <c r="B240" s="16">
        <v>8000</v>
      </c>
      <c r="C240" s="21">
        <v>3600</v>
      </c>
      <c r="D240" s="18" t="str">
        <f>VLOOKUP(F240,'Price Ranges'!$A$2:$B$8,2, FALSE)</f>
        <v>501-5000</v>
      </c>
      <c r="E240" s="8" t="str">
        <f>VLOOKUP(F240,'Price Ranges'!$A$2:$C$8,3, FALSE)</f>
        <v>2000-20000</v>
      </c>
      <c r="F240" s="18" t="s">
        <v>16</v>
      </c>
      <c r="G240" s="18" t="s">
        <v>20</v>
      </c>
      <c r="H240" s="19">
        <v>169</v>
      </c>
      <c r="I240" s="18" t="s">
        <v>12</v>
      </c>
      <c r="J240" s="20" t="s">
        <v>13</v>
      </c>
    </row>
    <row r="241" spans="1:10" ht="12.75">
      <c r="A241" s="24" t="str">
        <f>HYPERLINK("https://www.dndbeyond.com/magic-items/figurine-of-wondrous-power", "Figurine of Wondrous Power (Ebony Fly)")</f>
        <v>Figurine of Wondrous Power (Ebony Fly)</v>
      </c>
      <c r="B241" s="16">
        <v>6000</v>
      </c>
      <c r="C241" s="21">
        <v>3600</v>
      </c>
      <c r="D241" s="18" t="str">
        <f>VLOOKUP(F241,'Price Ranges'!$A$2:$B$8,2, FALSE)</f>
        <v>501-5000</v>
      </c>
      <c r="E241" s="8" t="str">
        <f>VLOOKUP(F241,'Price Ranges'!$A$2:$C$8,3, FALSE)</f>
        <v>2000-20000</v>
      </c>
      <c r="F241" s="18" t="s">
        <v>16</v>
      </c>
      <c r="G241" s="18" t="s">
        <v>20</v>
      </c>
      <c r="H241" s="19">
        <v>169</v>
      </c>
      <c r="I241" s="18" t="s">
        <v>12</v>
      </c>
      <c r="J241" s="20" t="s">
        <v>13</v>
      </c>
    </row>
    <row r="242" spans="1:10" ht="12.75">
      <c r="A242" s="24" t="str">
        <f>HYPERLINK("https://www.dndbeyond.com/magic-items/figurine-of-wondrous-power", "Figurine of Wondrous Power (Golden Lions)")</f>
        <v>Figurine of Wondrous Power (Golden Lions)</v>
      </c>
      <c r="B242" s="16">
        <v>600</v>
      </c>
      <c r="C242" s="21">
        <v>5000</v>
      </c>
      <c r="D242" s="18" t="str">
        <f>VLOOKUP(F242,'Price Ranges'!$A$2:$B$8,2, FALSE)</f>
        <v>501-5000</v>
      </c>
      <c r="E242" s="8" t="str">
        <f>VLOOKUP(F242,'Price Ranges'!$A$2:$C$8,3, FALSE)</f>
        <v>2000-20000</v>
      </c>
      <c r="F242" s="18" t="s">
        <v>16</v>
      </c>
      <c r="G242" s="18" t="s">
        <v>20</v>
      </c>
      <c r="H242" s="19">
        <v>169</v>
      </c>
      <c r="I242" s="18" t="s">
        <v>12</v>
      </c>
      <c r="J242" s="20" t="s">
        <v>13</v>
      </c>
    </row>
    <row r="243" spans="1:10" ht="12.75">
      <c r="A243" s="24" t="str">
        <f>HYPERLINK("https://www.dndbeyond.com/magic-items/figurine-of-wondrous-power", "Figurine of Wondrous Power (Ivory Goats - Terror)")</f>
        <v>Figurine of Wondrous Power (Ivory Goats - Terror)</v>
      </c>
      <c r="B243" s="16">
        <v>20000</v>
      </c>
      <c r="C243" s="21">
        <v>5000</v>
      </c>
      <c r="D243" s="18" t="str">
        <f>VLOOKUP(F243,'Price Ranges'!$A$2:$B$8,2, FALSE)</f>
        <v>501-5000</v>
      </c>
      <c r="E243" s="8" t="str">
        <f>VLOOKUP(F243,'Price Ranges'!$A$2:$C$8,3, FALSE)</f>
        <v>2000-20000</v>
      </c>
      <c r="F243" s="18" t="s">
        <v>16</v>
      </c>
      <c r="G243" s="18" t="s">
        <v>20</v>
      </c>
      <c r="H243" s="19">
        <v>169</v>
      </c>
      <c r="I243" s="18" t="s">
        <v>12</v>
      </c>
      <c r="J243" s="20" t="s">
        <v>13</v>
      </c>
    </row>
    <row r="244" spans="1:10" ht="12.75">
      <c r="A244" s="24" t="str">
        <f>HYPERLINK("https://www.dndbeyond.com/magic-items/figurine-of-wondrous-power", "Figurine of Wondrous Power (Ivory Goats - Travail)")</f>
        <v>Figurine of Wondrous Power (Ivory Goats - Travail)</v>
      </c>
      <c r="B244" s="16">
        <v>400</v>
      </c>
      <c r="C244" s="21">
        <v>5000</v>
      </c>
      <c r="D244" s="18" t="str">
        <f>VLOOKUP(F244,'Price Ranges'!$A$2:$B$8,2, FALSE)</f>
        <v>501-5000</v>
      </c>
      <c r="E244" s="8" t="str">
        <f>VLOOKUP(F244,'Price Ranges'!$A$2:$C$8,3, FALSE)</f>
        <v>2000-20000</v>
      </c>
      <c r="F244" s="18" t="s">
        <v>16</v>
      </c>
      <c r="G244" s="18" t="s">
        <v>20</v>
      </c>
      <c r="H244" s="19">
        <v>169</v>
      </c>
      <c r="I244" s="18" t="s">
        <v>12</v>
      </c>
      <c r="J244" s="20" t="s">
        <v>13</v>
      </c>
    </row>
    <row r="245" spans="1:10" ht="12.75">
      <c r="A245" s="24" t="str">
        <f>HYPERLINK("https://www.dndbeyond.com/magic-items/figurine-of-wondrous-power", "Figurine of Wondrous Power (Ivory Goats - Travelling)")</f>
        <v>Figurine of Wondrous Power (Ivory Goats - Travelling)</v>
      </c>
      <c r="B245" s="16">
        <v>1000</v>
      </c>
      <c r="C245" s="21">
        <v>5000</v>
      </c>
      <c r="D245" s="18" t="str">
        <f>VLOOKUP(F245,'Price Ranges'!$A$2:$B$8,2, FALSE)</f>
        <v>501-5000</v>
      </c>
      <c r="E245" s="8" t="str">
        <f>VLOOKUP(F245,'Price Ranges'!$A$2:$C$8,3, FALSE)</f>
        <v>2000-20000</v>
      </c>
      <c r="F245" s="18" t="s">
        <v>16</v>
      </c>
      <c r="G245" s="18" t="s">
        <v>20</v>
      </c>
      <c r="H245" s="19">
        <v>169</v>
      </c>
      <c r="I245" s="18" t="s">
        <v>12</v>
      </c>
      <c r="J245" s="20" t="s">
        <v>13</v>
      </c>
    </row>
    <row r="246" spans="1:10" ht="12.75">
      <c r="A246" s="24" t="str">
        <f>HYPERLINK("https://www.dndbeyond.com/magic-items/figurine-of-wondrous-power", "Figurine of Wondrous Power (Marble Elephant)")</f>
        <v>Figurine of Wondrous Power (Marble Elephant)</v>
      </c>
      <c r="B246" s="16">
        <v>6000</v>
      </c>
      <c r="C246" s="21">
        <v>5000</v>
      </c>
      <c r="D246" s="18" t="str">
        <f>VLOOKUP(F246,'Price Ranges'!$A$2:$B$8,2, FALSE)</f>
        <v>501-5000</v>
      </c>
      <c r="E246" s="8" t="str">
        <f>VLOOKUP(F246,'Price Ranges'!$A$2:$C$8,3, FALSE)</f>
        <v>2000-20000</v>
      </c>
      <c r="F246" s="18" t="s">
        <v>16</v>
      </c>
      <c r="G246" s="18" t="s">
        <v>20</v>
      </c>
      <c r="H246" s="19">
        <v>170</v>
      </c>
      <c r="I246" s="18" t="s">
        <v>12</v>
      </c>
      <c r="J246" s="20" t="s">
        <v>13</v>
      </c>
    </row>
    <row r="247" spans="1:10" ht="12.75">
      <c r="A247" s="24" t="str">
        <f>HYPERLINK("https://www.dndbeyond.com/magic-items/figurine-of-wondrous-power", "Figurine of Wondrous Power (Obsidian Steed)")</f>
        <v>Figurine of Wondrous Power (Obsidian Steed)</v>
      </c>
      <c r="B247" s="16">
        <v>128000</v>
      </c>
      <c r="C247" s="21">
        <v>28500</v>
      </c>
      <c r="D247" s="18" t="str">
        <f>VLOOKUP(F247,'Price Ranges'!$A$2:$B$8,2, FALSE)</f>
        <v>5001-50000</v>
      </c>
      <c r="E247" s="8" t="str">
        <f>VLOOKUP(F247,'Price Ranges'!$A$2:$C$8,3, FALSE)</f>
        <v>20000-50000</v>
      </c>
      <c r="F247" s="18" t="s">
        <v>10</v>
      </c>
      <c r="G247" s="18" t="s">
        <v>20</v>
      </c>
      <c r="H247" s="19">
        <v>170</v>
      </c>
      <c r="I247" s="18" t="s">
        <v>12</v>
      </c>
      <c r="J247" s="20" t="s">
        <v>13</v>
      </c>
    </row>
    <row r="248" spans="1:10" ht="12.75">
      <c r="A248" s="24" t="str">
        <f>HYPERLINK("https://www.dndbeyond.com/magic-items/figurine-of-wondrous-power", "Figurine of Wondrous Power (Onyx Dog)")</f>
        <v>Figurine of Wondrous Power (Onyx Dog)</v>
      </c>
      <c r="B248" s="16">
        <v>3000</v>
      </c>
      <c r="C248" s="21">
        <v>3200</v>
      </c>
      <c r="D248" s="18" t="str">
        <f>VLOOKUP(F248,'Price Ranges'!$A$2:$B$8,2, FALSE)</f>
        <v>501-5000</v>
      </c>
      <c r="E248" s="8" t="str">
        <f>VLOOKUP(F248,'Price Ranges'!$A$2:$C$8,3, FALSE)</f>
        <v>2000-20000</v>
      </c>
      <c r="F248" s="18" t="s">
        <v>16</v>
      </c>
      <c r="G248" s="18" t="s">
        <v>20</v>
      </c>
      <c r="H248" s="19">
        <v>170</v>
      </c>
      <c r="I248" s="18" t="s">
        <v>12</v>
      </c>
      <c r="J248" s="20" t="s">
        <v>13</v>
      </c>
    </row>
    <row r="249" spans="1:10" ht="12.75">
      <c r="A249" s="24" t="str">
        <f>HYPERLINK("https://www.dndbeyond.com/magic-items/figurine-of-wondrous-power", "Figurine of Wondrous Power (Serpentine Owl)")</f>
        <v>Figurine of Wondrous Power (Serpentine Owl)</v>
      </c>
      <c r="B249" s="16">
        <v>8000</v>
      </c>
      <c r="C249" s="21">
        <v>3000</v>
      </c>
      <c r="D249" s="18" t="str">
        <f>VLOOKUP(F249,'Price Ranges'!$A$2:$B$8,2, FALSE)</f>
        <v>501-5000</v>
      </c>
      <c r="E249" s="8" t="str">
        <f>VLOOKUP(F249,'Price Ranges'!$A$2:$C$8,3, FALSE)</f>
        <v>2000-20000</v>
      </c>
      <c r="F249" s="18" t="s">
        <v>16</v>
      </c>
      <c r="G249" s="18" t="s">
        <v>20</v>
      </c>
      <c r="H249" s="19">
        <v>170</v>
      </c>
      <c r="I249" s="18" t="s">
        <v>12</v>
      </c>
      <c r="J249" s="20" t="s">
        <v>13</v>
      </c>
    </row>
    <row r="250" spans="1:10" ht="12.75">
      <c r="A250" s="24" t="str">
        <f>HYPERLINK("https://www.dndbeyond.com/magic-items/figurine-of-wondrous-power", "Figurine of Wondrous Power (Silver Raven)")</f>
        <v>Figurine of Wondrous Power (Silver Raven)</v>
      </c>
      <c r="B250" s="16">
        <v>5000</v>
      </c>
      <c r="C250" s="21">
        <v>380</v>
      </c>
      <c r="D250" s="18" t="str">
        <f>VLOOKUP(F250,'Price Ranges'!$A$2:$B$8,2, FALSE)</f>
        <v>101-500</v>
      </c>
      <c r="E250" s="8" t="str">
        <f>VLOOKUP(F250,'Price Ranges'!$A$2:$C$8,3, FALSE)</f>
        <v>100-600</v>
      </c>
      <c r="F250" s="18" t="s">
        <v>19</v>
      </c>
      <c r="G250" s="18" t="s">
        <v>20</v>
      </c>
      <c r="H250" s="19">
        <v>170</v>
      </c>
      <c r="I250" s="18" t="s">
        <v>12</v>
      </c>
      <c r="J250" s="20" t="s">
        <v>13</v>
      </c>
    </row>
    <row r="251" spans="1:10" ht="12.75">
      <c r="A251" s="5" t="str">
        <f>HYPERLINK("https://www.dndbeyond.com/magic-items/finders-goggles", "Finders Goggles")</f>
        <v>Finders Goggles</v>
      </c>
      <c r="B251" s="6"/>
      <c r="C251" s="14">
        <v>500</v>
      </c>
      <c r="D251" s="8" t="str">
        <f>VLOOKUP(F251,'Price Ranges'!$A$2:$B$8,2, FALSE)</f>
        <v>101-500</v>
      </c>
      <c r="E251" s="8" t="str">
        <f>VLOOKUP(F251,'Price Ranges'!$A$2:$C$8,3, FALSE)</f>
        <v>100-600</v>
      </c>
      <c r="F251" s="9" t="s">
        <v>19</v>
      </c>
      <c r="G251" s="9" t="s">
        <v>33</v>
      </c>
      <c r="H251" s="10"/>
      <c r="I251" s="9" t="s">
        <v>12</v>
      </c>
      <c r="J251" s="13" t="s">
        <v>15</v>
      </c>
    </row>
    <row r="252" spans="1:10" ht="12.75">
      <c r="A252" s="24" t="str">
        <f>HYPERLINK("https://www.dndbeyond.com/magic-items/flame-tongue", "Flame Tongue")</f>
        <v>Flame Tongue</v>
      </c>
      <c r="B252" s="16">
        <v>5000</v>
      </c>
      <c r="C252" s="21">
        <v>5000</v>
      </c>
      <c r="D252" s="18" t="str">
        <f>VLOOKUP(F252,'Price Ranges'!$A$2:$B$8,2, FALSE)</f>
        <v>501-5000</v>
      </c>
      <c r="E252" s="8" t="str">
        <f>VLOOKUP(F252,'Price Ranges'!$A$2:$C$8,3, FALSE)</f>
        <v>2000-20000</v>
      </c>
      <c r="F252" s="18" t="s">
        <v>16</v>
      </c>
      <c r="G252" s="18" t="s">
        <v>20</v>
      </c>
      <c r="H252" s="19">
        <v>170</v>
      </c>
      <c r="I252" s="18" t="s">
        <v>18</v>
      </c>
      <c r="J252" s="20" t="s">
        <v>15</v>
      </c>
    </row>
    <row r="253" spans="1:10" ht="12.75">
      <c r="A253" s="5" t="str">
        <f>HYPERLINK("https://www.dndbeyond.com/magic-items/flying-chariot", "Flying Chariot")</f>
        <v>Flying Chariot</v>
      </c>
      <c r="B253" s="6"/>
      <c r="C253" s="14">
        <v>4750</v>
      </c>
      <c r="D253" s="8" t="str">
        <f>VLOOKUP(F253,'Price Ranges'!$A$2:$B$8,2, FALSE)</f>
        <v>501-5000</v>
      </c>
      <c r="E253" s="8" t="str">
        <f>VLOOKUP(F253,'Price Ranges'!$A$2:$C$8,3, FALSE)</f>
        <v>2000-20000</v>
      </c>
      <c r="F253" s="9" t="s">
        <v>16</v>
      </c>
      <c r="G253" s="9" t="s">
        <v>23</v>
      </c>
      <c r="H253" s="10"/>
      <c r="I253" s="9" t="s">
        <v>12</v>
      </c>
      <c r="J253" s="13" t="s">
        <v>13</v>
      </c>
    </row>
    <row r="254" spans="1:10" ht="12.75">
      <c r="A254" s="24" t="str">
        <f>HYPERLINK("https://www.dndbeyond.com/magic-items/folding-boat", "Folding Boat")</f>
        <v>Folding Boat</v>
      </c>
      <c r="B254" s="16">
        <v>10000</v>
      </c>
      <c r="C254" s="21">
        <v>4750</v>
      </c>
      <c r="D254" s="18" t="str">
        <f>VLOOKUP(F254,'Price Ranges'!$A$2:$B$8,2, FALSE)</f>
        <v>501-5000</v>
      </c>
      <c r="E254" s="8" t="str">
        <f>VLOOKUP(F254,'Price Ranges'!$A$2:$C$8,3, FALSE)</f>
        <v>2000-20000</v>
      </c>
      <c r="F254" s="18" t="s">
        <v>16</v>
      </c>
      <c r="G254" s="18" t="s">
        <v>20</v>
      </c>
      <c r="H254" s="19">
        <v>170</v>
      </c>
      <c r="I254" s="18" t="s">
        <v>12</v>
      </c>
      <c r="J254" s="20" t="s">
        <v>13</v>
      </c>
    </row>
    <row r="255" spans="1:10" ht="12.75">
      <c r="A255" s="24" t="str">
        <f>HYPERLINK("https://www.dndbeyond.com/magic-items/frost-brand", "Frost Brand (any sword)")</f>
        <v>Frost Brand (any sword)</v>
      </c>
      <c r="B255" s="16">
        <v>2200</v>
      </c>
      <c r="C255" s="21">
        <v>11000</v>
      </c>
      <c r="D255" s="18" t="str">
        <f>VLOOKUP(F255,'Price Ranges'!$A$2:$B$8,2, FALSE)</f>
        <v>5001-50000</v>
      </c>
      <c r="E255" s="8" t="str">
        <f>VLOOKUP(F255,'Price Ranges'!$A$2:$C$8,3, FALSE)</f>
        <v>20000-50000</v>
      </c>
      <c r="F255" s="18" t="s">
        <v>10</v>
      </c>
      <c r="G255" s="18" t="s">
        <v>20</v>
      </c>
      <c r="H255" s="19">
        <v>171</v>
      </c>
      <c r="I255" s="18" t="s">
        <v>18</v>
      </c>
      <c r="J255" s="20" t="s">
        <v>15</v>
      </c>
    </row>
    <row r="256" spans="1:10" ht="12.75">
      <c r="A256" s="5" t="str">
        <f>HYPERLINK("https://www.dndbeyond.com/magic-items/fulminating-treatise", "Fulminating Treatise")</f>
        <v>Fulminating Treatise</v>
      </c>
      <c r="B256" s="6"/>
      <c r="C256" s="7"/>
      <c r="D256" s="8" t="str">
        <f>VLOOKUP(F256,'Price Ranges'!$A$2:$B$8,2, FALSE)</f>
        <v>501-5000</v>
      </c>
      <c r="E256" s="8" t="str">
        <f>VLOOKUP(F256,'Price Ranges'!$A$2:$C$8,3, FALSE)</f>
        <v>2000-20000</v>
      </c>
      <c r="F256" s="12" t="s">
        <v>16</v>
      </c>
      <c r="G256" s="12" t="s">
        <v>14</v>
      </c>
      <c r="H256" s="10"/>
      <c r="I256" s="8" t="s">
        <v>12</v>
      </c>
      <c r="J256" s="13" t="s">
        <v>15</v>
      </c>
    </row>
    <row r="257" spans="1:10" ht="12.75">
      <c r="A257" s="24" t="str">
        <f>HYPERLINK("https://www.dndbeyond.com/magic-items/galders-bubble-pipe", "Galder's Bubble Pipe")</f>
        <v>Galder's Bubble Pipe</v>
      </c>
      <c r="B257" s="6"/>
      <c r="C257" s="7"/>
      <c r="D257" s="18" t="str">
        <f>VLOOKUP(F257,'Price Ranges'!$A$2:$B$8,2, FALSE)</f>
        <v>501-5000</v>
      </c>
      <c r="E257" s="8" t="str">
        <f>VLOOKUP(F257,'Price Ranges'!$A$2:$C$8,3, FALSE)</f>
        <v>2000-20000</v>
      </c>
      <c r="F257" s="18" t="s">
        <v>16</v>
      </c>
      <c r="G257" s="18" t="s">
        <v>50</v>
      </c>
      <c r="H257" s="18"/>
      <c r="I257" s="18" t="s">
        <v>12</v>
      </c>
      <c r="J257" s="20" t="s">
        <v>15</v>
      </c>
    </row>
    <row r="258" spans="1:10" ht="12.75">
      <c r="A258" s="24" t="str">
        <f>HYPERLINK("https://www.dndbeyond.com/magic-items/gamblers-blade", "Gamblers Blade")</f>
        <v>Gamblers Blade</v>
      </c>
      <c r="B258" s="6"/>
      <c r="C258" s="7"/>
      <c r="D258" s="18" t="str">
        <f>VLOOKUP(F258,'Price Ranges'!$A$2:$B$8,2, FALSE)</f>
        <v>501-5000</v>
      </c>
      <c r="E258" s="8" t="str">
        <f>VLOOKUP(F258,'Price Ranges'!$A$2:$C$8,3, FALSE)</f>
        <v>2000-20000</v>
      </c>
      <c r="F258" s="18" t="s">
        <v>16</v>
      </c>
      <c r="G258" s="18" t="s">
        <v>50</v>
      </c>
      <c r="H258" s="18"/>
      <c r="I258" s="18" t="s">
        <v>18</v>
      </c>
      <c r="J258" s="20" t="s">
        <v>15</v>
      </c>
    </row>
    <row r="259" spans="1:10" ht="12.75">
      <c r="A259" s="24" t="str">
        <f>HYPERLINK("https://www.dndbeyond.com/magic-items/gauntlets-of-flaming-fury", "Gauntlets Of Flaming Fury")</f>
        <v>Gauntlets Of Flaming Fury</v>
      </c>
      <c r="B259" s="6"/>
      <c r="C259" s="14">
        <v>2000</v>
      </c>
      <c r="D259" s="18" t="str">
        <f>VLOOKUP(F259,'Price Ranges'!$A$2:$B$8,2, FALSE)</f>
        <v>501-5000</v>
      </c>
      <c r="E259" s="8" t="str">
        <f>VLOOKUP(F259,'Price Ranges'!$A$2:$C$8,3, FALSE)</f>
        <v>2000-20000</v>
      </c>
      <c r="F259" s="18" t="s">
        <v>16</v>
      </c>
      <c r="G259" s="18" t="s">
        <v>44</v>
      </c>
      <c r="H259" s="26"/>
      <c r="I259" s="18" t="s">
        <v>12</v>
      </c>
      <c r="J259" s="20" t="s">
        <v>15</v>
      </c>
    </row>
    <row r="260" spans="1:10" ht="12.75">
      <c r="A260" s="24" t="str">
        <f>HYPERLINK("https://www.dndbeyond.com/magic-items/gauntlets-of-ogre-power", "Gauntlets Of Ogre Power")</f>
        <v>Gauntlets Of Ogre Power</v>
      </c>
      <c r="B260" s="16">
        <v>8000</v>
      </c>
      <c r="C260" s="21">
        <v>450</v>
      </c>
      <c r="D260" s="18" t="str">
        <f>VLOOKUP(F260,'Price Ranges'!$A$2:$B$8,2, FALSE)</f>
        <v>101-500</v>
      </c>
      <c r="E260" s="8" t="str">
        <f>VLOOKUP(F260,'Price Ranges'!$A$2:$C$8,3, FALSE)</f>
        <v>100-600</v>
      </c>
      <c r="F260" s="18" t="s">
        <v>19</v>
      </c>
      <c r="G260" s="18" t="s">
        <v>20</v>
      </c>
      <c r="H260" s="19">
        <v>171</v>
      </c>
      <c r="I260" s="18" t="s">
        <v>63</v>
      </c>
      <c r="J260" s="20" t="s">
        <v>15</v>
      </c>
    </row>
    <row r="261" spans="1:10" ht="12.75">
      <c r="A261" s="24" t="str">
        <f>HYPERLINK("https://www.dndbeyond.com/magic-items/gavel-of-the-venn-rune", "Gavel Of The Venn Rune")</f>
        <v>Gavel Of The Venn Rune</v>
      </c>
      <c r="B261" s="6"/>
      <c r="C261" s="22">
        <v>2800</v>
      </c>
      <c r="D261" s="18" t="str">
        <f>VLOOKUP(F261,'Price Ranges'!$A$2:$B$8,2, FALSE)</f>
        <v>501-5000</v>
      </c>
      <c r="E261" s="8" t="str">
        <f>VLOOKUP(F261,'Price Ranges'!$A$2:$C$8,3, FALSE)</f>
        <v>2000-20000</v>
      </c>
      <c r="F261" s="18" t="s">
        <v>16</v>
      </c>
      <c r="G261" s="18" t="s">
        <v>43</v>
      </c>
      <c r="H261" s="23">
        <v>234</v>
      </c>
      <c r="I261" s="18" t="s">
        <v>12</v>
      </c>
      <c r="J261" s="20" t="s">
        <v>15</v>
      </c>
    </row>
    <row r="262" spans="1:10" ht="12.75">
      <c r="A262" s="24" t="str">
        <f>HYPERLINK("https://www.dndbeyond.com/magic-items/gem-of-brightness", "Gem Of Brightness")</f>
        <v>Gem Of Brightness</v>
      </c>
      <c r="B262" s="16">
        <v>5000</v>
      </c>
      <c r="C262" s="21">
        <v>250</v>
      </c>
      <c r="D262" s="18" t="str">
        <f>VLOOKUP(F262,'Price Ranges'!$A$2:$B$8,2, FALSE)</f>
        <v>101-500</v>
      </c>
      <c r="E262" s="8" t="str">
        <f>VLOOKUP(F262,'Price Ranges'!$A$2:$C$8,3, FALSE)</f>
        <v>100-600</v>
      </c>
      <c r="F262" s="18" t="s">
        <v>19</v>
      </c>
      <c r="G262" s="18" t="s">
        <v>20</v>
      </c>
      <c r="H262" s="19">
        <v>171</v>
      </c>
      <c r="I262" s="18" t="s">
        <v>12</v>
      </c>
      <c r="J262" s="20" t="s">
        <v>13</v>
      </c>
    </row>
    <row r="263" spans="1:10" ht="12.75">
      <c r="A263" s="24" t="str">
        <f>HYPERLINK("https://www.dndbeyond.com/magic-items/gem-of-seeing", "Gem Of Seeing")</f>
        <v>Gem Of Seeing</v>
      </c>
      <c r="B263" s="16">
        <v>32000</v>
      </c>
      <c r="C263" s="21">
        <v>5000</v>
      </c>
      <c r="D263" s="18" t="str">
        <f>VLOOKUP(F263,'Price Ranges'!$A$2:$B$8,2, FALSE)</f>
        <v>501-5000</v>
      </c>
      <c r="E263" s="8" t="str">
        <f>VLOOKUP(F263,'Price Ranges'!$A$2:$C$8,3, FALSE)</f>
        <v>2000-20000</v>
      </c>
      <c r="F263" s="18" t="s">
        <v>16</v>
      </c>
      <c r="G263" s="18" t="s">
        <v>20</v>
      </c>
      <c r="H263" s="19">
        <v>172</v>
      </c>
      <c r="I263" s="18" t="s">
        <v>12</v>
      </c>
      <c r="J263" s="20" t="s">
        <v>15</v>
      </c>
    </row>
    <row r="264" spans="1:10" ht="12.75">
      <c r="A264" s="24" t="str">
        <f>HYPERLINK("https://www.dndbeyond.com/magic-items/ghost-lantern", "Ghost Lantern")</f>
        <v>Ghost Lantern</v>
      </c>
      <c r="B264" s="6"/>
      <c r="C264" s="22">
        <v>1750</v>
      </c>
      <c r="D264" s="18" t="str">
        <f>VLOOKUP(F264,'Price Ranges'!$A$2:$B$8,2, FALSE)</f>
        <v>501-5000</v>
      </c>
      <c r="E264" s="8" t="str">
        <f>VLOOKUP(F264,'Price Ranges'!$A$2:$C$8,3, FALSE)</f>
        <v>2000-20000</v>
      </c>
      <c r="F264" s="18" t="s">
        <v>16</v>
      </c>
      <c r="G264" s="18" t="s">
        <v>28</v>
      </c>
      <c r="H264" s="23">
        <v>206</v>
      </c>
      <c r="I264" s="18" t="s">
        <v>12</v>
      </c>
      <c r="J264" s="20" t="s">
        <v>15</v>
      </c>
    </row>
    <row r="265" spans="1:10" ht="12.75">
      <c r="A265" s="5" t="str">
        <f>HYPERLINK("https://www.dndbeyond.com/magic-items/ghost-step-tattoo", "Ghost Step Tattoo")</f>
        <v>Ghost Step Tattoo</v>
      </c>
      <c r="B265" s="6"/>
      <c r="C265" s="7"/>
      <c r="D265" s="8" t="str">
        <f>VLOOKUP(F265,'Price Ranges'!$A$2:$B$8,2, FALSE)</f>
        <v>501-5000</v>
      </c>
      <c r="E265" s="8" t="str">
        <f>VLOOKUP(F265,'Price Ranges'!$A$2:$C$8,3, FALSE)</f>
        <v>2000-20000</v>
      </c>
      <c r="F265" s="12" t="s">
        <v>16</v>
      </c>
      <c r="G265" s="12" t="s">
        <v>14</v>
      </c>
      <c r="H265" s="10"/>
      <c r="I265" s="8" t="s">
        <v>12</v>
      </c>
      <c r="J265" s="13" t="s">
        <v>15</v>
      </c>
    </row>
    <row r="266" spans="1:10" ht="12.75">
      <c r="A266" s="24" t="str">
        <f>HYPERLINK("https://www.dndbeyond.com/magic-items/giant-slayer", "Giant Slayer (any sword or axe)")</f>
        <v>Giant Slayer (any sword or axe)</v>
      </c>
      <c r="B266" s="16">
        <v>7000</v>
      </c>
      <c r="C266" s="21">
        <v>4600</v>
      </c>
      <c r="D266" s="18" t="str">
        <f>VLOOKUP(F266,'Price Ranges'!$A$2:$B$8,2, FALSE)</f>
        <v>501-5000</v>
      </c>
      <c r="E266" s="8" t="str">
        <f>VLOOKUP(F266,'Price Ranges'!$A$2:$C$8,3, FALSE)</f>
        <v>2000-20000</v>
      </c>
      <c r="F266" s="18" t="s">
        <v>16</v>
      </c>
      <c r="G266" s="18" t="s">
        <v>20</v>
      </c>
      <c r="H266" s="19">
        <v>172</v>
      </c>
      <c r="I266" s="18" t="s">
        <v>18</v>
      </c>
      <c r="J266" s="20" t="s">
        <v>13</v>
      </c>
    </row>
    <row r="267" spans="1:10" ht="12.75">
      <c r="A267" s="5" t="str">
        <f>HYPERLINK("https://www.dndbeyond.com/magic-items/glamerweave", "Glamerweave")</f>
        <v>Glamerweave</v>
      </c>
      <c r="B267" s="6"/>
      <c r="C267" s="7"/>
      <c r="D267" s="8" t="str">
        <f>VLOOKUP(F267,'Price Ranges'!$A$2:$B$8,2, FALSE)</f>
        <v>Varies</v>
      </c>
      <c r="E267" s="8" t="str">
        <f>VLOOKUP(F267,'Price Ranges'!$A$2:$C$8,3, FALSE)</f>
        <v>Varies</v>
      </c>
      <c r="F267" s="9" t="s">
        <v>24</v>
      </c>
      <c r="G267" s="9" t="s">
        <v>33</v>
      </c>
      <c r="H267" s="10"/>
      <c r="I267" s="9" t="s">
        <v>12</v>
      </c>
      <c r="J267" s="13" t="s">
        <v>13</v>
      </c>
    </row>
    <row r="268" spans="1:10" ht="12.75">
      <c r="A268" s="24" t="str">
        <f>HYPERLINK("https://www.dndbeyond.com/magic-items/glamerweave", "Glamerweave (Common)")</f>
        <v>Glamerweave (Common)</v>
      </c>
      <c r="B268" s="6"/>
      <c r="C268" s="14">
        <v>50</v>
      </c>
      <c r="D268" s="18" t="str">
        <f>VLOOKUP(F268,'Price Ranges'!$A$2:$B$8,2, FALSE)</f>
        <v>50-100</v>
      </c>
      <c r="E268" s="8" t="str">
        <f>VLOOKUP(F268,'Price Ranges'!$A$2:$C$8,3, FALSE)</f>
        <v>20-70</v>
      </c>
      <c r="F268" s="18" t="s">
        <v>35</v>
      </c>
      <c r="G268" s="18" t="s">
        <v>36</v>
      </c>
      <c r="H268" s="18"/>
      <c r="I268" s="18" t="s">
        <v>12</v>
      </c>
      <c r="J268" s="20" t="s">
        <v>13</v>
      </c>
    </row>
    <row r="269" spans="1:10" ht="12.75">
      <c r="A269" s="5" t="str">
        <f>HYPERLINK("https://www.dndbeyond.com/magic-items/uncommon-glamerweave", "Glamerweave (Uncommon)")</f>
        <v>Glamerweave (Uncommon)</v>
      </c>
      <c r="B269" s="6"/>
      <c r="C269" s="14">
        <v>150</v>
      </c>
      <c r="D269" s="8" t="str">
        <f>VLOOKUP(F269,'Price Ranges'!$A$2:$B$8,2, FALSE)</f>
        <v>101-500</v>
      </c>
      <c r="E269" s="8" t="str">
        <f>VLOOKUP(F269,'Price Ranges'!$A$2:$C$8,3, FALSE)</f>
        <v>100-600</v>
      </c>
      <c r="F269" s="9" t="s">
        <v>19</v>
      </c>
      <c r="G269" s="9" t="s">
        <v>33</v>
      </c>
      <c r="H269" s="10"/>
      <c r="I269" s="9" t="s">
        <v>12</v>
      </c>
      <c r="J269" s="13" t="s">
        <v>13</v>
      </c>
    </row>
    <row r="270" spans="1:10" ht="12.75">
      <c r="A270" s="24" t="str">
        <f>HYPERLINK("https://www.dndbeyond.com/magic-items/glamoured-studded-leather", "Glamoured Studded Leather")</f>
        <v>Glamoured Studded Leather</v>
      </c>
      <c r="B270" s="16">
        <v>2000</v>
      </c>
      <c r="C270" s="21">
        <v>4800</v>
      </c>
      <c r="D270" s="18" t="str">
        <f>VLOOKUP(F270,'Price Ranges'!$A$2:$B$8,2, FALSE)</f>
        <v>501-5000</v>
      </c>
      <c r="E270" s="8" t="str">
        <f>VLOOKUP(F270,'Price Ranges'!$A$2:$C$8,3, FALSE)</f>
        <v>2000-20000</v>
      </c>
      <c r="F270" s="18" t="s">
        <v>16</v>
      </c>
      <c r="G270" s="18" t="s">
        <v>20</v>
      </c>
      <c r="H270" s="33">
        <v>172</v>
      </c>
      <c r="I270" s="18" t="s">
        <v>21</v>
      </c>
      <c r="J270" s="20" t="s">
        <v>13</v>
      </c>
    </row>
    <row r="271" spans="1:10" ht="12.75">
      <c r="A271" s="24" t="str">
        <f>HYPERLINK("https://www.dndbeyond.com/magic-items/gloves-of-missile-snaring", "Gloves Of Missile Snaring")</f>
        <v>Gloves Of Missile Snaring</v>
      </c>
      <c r="B271" s="16">
        <v>3000</v>
      </c>
      <c r="C271" s="21">
        <v>325</v>
      </c>
      <c r="D271" s="18" t="str">
        <f>VLOOKUP(F271,'Price Ranges'!$A$2:$B$8,2, FALSE)</f>
        <v>101-500</v>
      </c>
      <c r="E271" s="8" t="str">
        <f>VLOOKUP(F271,'Price Ranges'!$A$2:$C$8,3, FALSE)</f>
        <v>100-600</v>
      </c>
      <c r="F271" s="18" t="s">
        <v>19</v>
      </c>
      <c r="G271" s="18" t="s">
        <v>20</v>
      </c>
      <c r="H271" s="19">
        <v>172</v>
      </c>
      <c r="I271" s="18" t="s">
        <v>63</v>
      </c>
      <c r="J271" s="20" t="s">
        <v>15</v>
      </c>
    </row>
    <row r="272" spans="1:10" ht="12.75">
      <c r="A272" s="24" t="str">
        <f>HYPERLINK("https://www.dndbeyond.com/magic-items/gloves-of-swimming-and-climbing", "Gloves Of Swimming And Climbing")</f>
        <v>Gloves Of Swimming And Climbing</v>
      </c>
      <c r="B272" s="16">
        <v>2000</v>
      </c>
      <c r="C272" s="21">
        <v>250</v>
      </c>
      <c r="D272" s="18" t="str">
        <f>VLOOKUP(F272,'Price Ranges'!$A$2:$B$8,2, FALSE)</f>
        <v>101-500</v>
      </c>
      <c r="E272" s="8" t="str">
        <f>VLOOKUP(F272,'Price Ranges'!$A$2:$C$8,3, FALSE)</f>
        <v>100-600</v>
      </c>
      <c r="F272" s="18" t="s">
        <v>19</v>
      </c>
      <c r="G272" s="18" t="s">
        <v>20</v>
      </c>
      <c r="H272" s="19">
        <v>172</v>
      </c>
      <c r="I272" s="18" t="s">
        <v>63</v>
      </c>
      <c r="J272" s="20" t="s">
        <v>15</v>
      </c>
    </row>
    <row r="273" spans="1:10" ht="12.75">
      <c r="A273" s="24" t="str">
        <f>HYPERLINK("https://www.dndbeyond.com/magic-items/gloves-of-thievery", "Gloves Of Thievery")</f>
        <v>Gloves Of Thievery</v>
      </c>
      <c r="B273" s="16">
        <v>5000</v>
      </c>
      <c r="C273" s="21">
        <v>300</v>
      </c>
      <c r="D273" s="18" t="str">
        <f>VLOOKUP(F273,'Price Ranges'!$A$2:$B$8,2, FALSE)</f>
        <v>101-500</v>
      </c>
      <c r="E273" s="8" t="str">
        <f>VLOOKUP(F273,'Price Ranges'!$A$2:$C$8,3, FALSE)</f>
        <v>100-600</v>
      </c>
      <c r="F273" s="18" t="s">
        <v>19</v>
      </c>
      <c r="G273" s="18" t="s">
        <v>20</v>
      </c>
      <c r="H273" s="19">
        <v>172</v>
      </c>
      <c r="I273" s="18" t="s">
        <v>63</v>
      </c>
      <c r="J273" s="20" t="s">
        <v>13</v>
      </c>
    </row>
    <row r="274" spans="1:10" ht="12.75">
      <c r="A274" s="24" t="str">
        <f>HYPERLINK("https://www.dndbeyond.com/magic-items/gnomengarde-grenade", "Gnomengarde Grenade")</f>
        <v>Gnomengarde Grenade</v>
      </c>
      <c r="B274" s="6"/>
      <c r="C274" s="7"/>
      <c r="D274" s="18" t="str">
        <f>VLOOKUP(F274,'Price Ranges'!$A$2:$B$8,2, FALSE)</f>
        <v>Varies</v>
      </c>
      <c r="E274" s="8" t="str">
        <f>VLOOKUP(F274,'Price Ranges'!$A$2:$C$8,3, FALSE)</f>
        <v>Varies</v>
      </c>
      <c r="F274" s="18" t="s">
        <v>24</v>
      </c>
      <c r="G274" s="18" t="s">
        <v>67</v>
      </c>
      <c r="H274" s="18"/>
      <c r="I274" s="18" t="s">
        <v>12</v>
      </c>
      <c r="J274" s="20" t="s">
        <v>13</v>
      </c>
    </row>
    <row r="275" spans="1:10" ht="12.75">
      <c r="A275" s="24" t="str">
        <f>HYPERLINK("https://www.dndbeyond.com/magic-items/goggles-of-night", "Goggles Of Night")</f>
        <v>Goggles Of Night</v>
      </c>
      <c r="B275" s="16">
        <v>1500</v>
      </c>
      <c r="C275" s="21">
        <v>300</v>
      </c>
      <c r="D275" s="18" t="str">
        <f>VLOOKUP(F275,'Price Ranges'!$A$2:$B$8,2, FALSE)</f>
        <v>101-500</v>
      </c>
      <c r="E275" s="8" t="str">
        <f>VLOOKUP(F275,'Price Ranges'!$A$2:$C$8,3, FALSE)</f>
        <v>100-600</v>
      </c>
      <c r="F275" s="18" t="s">
        <v>19</v>
      </c>
      <c r="G275" s="18" t="s">
        <v>20</v>
      </c>
      <c r="H275" s="19">
        <v>172</v>
      </c>
      <c r="I275" s="18" t="s">
        <v>48</v>
      </c>
      <c r="J275" s="20" t="s">
        <v>13</v>
      </c>
    </row>
    <row r="276" spans="1:10" ht="12.75">
      <c r="A276" s="5" t="str">
        <f>HYPERLINK("https://www.dndbeyond.com/magic-items/goggles-of-object-reading", "Goggles of Object Reading")</f>
        <v>Goggles of Object Reading</v>
      </c>
      <c r="B276" s="6"/>
      <c r="C276" s="14">
        <v>350</v>
      </c>
      <c r="D276" s="8" t="str">
        <f>VLOOKUP(F276,'Price Ranges'!$A$2:$B$8,2, FALSE)</f>
        <v>101-500</v>
      </c>
      <c r="E276" s="8" t="str">
        <f>VLOOKUP(F276,'Price Ranges'!$A$2:$C$8,3, FALSE)</f>
        <v>100-600</v>
      </c>
      <c r="F276" s="9" t="s">
        <v>19</v>
      </c>
      <c r="G276" s="9" t="s">
        <v>17</v>
      </c>
      <c r="H276" s="12">
        <v>267</v>
      </c>
      <c r="I276" s="9" t="s">
        <v>29</v>
      </c>
      <c r="J276" s="13" t="s">
        <v>15</v>
      </c>
    </row>
    <row r="277" spans="1:10" ht="12.75">
      <c r="A277" s="24" t="str">
        <f>HYPERLINK("https://www.dndbeyond.com/magic-items/greater-silver-sword", "Greater Silver Sword")</f>
        <v>Greater Silver Sword</v>
      </c>
      <c r="B277" s="6"/>
      <c r="C277" s="7"/>
      <c r="D277" s="18" t="str">
        <f>VLOOKUP(F277,'Price Ranges'!$A$2:$B$8,2, FALSE)</f>
        <v>50001+</v>
      </c>
      <c r="E277" s="8" t="str">
        <f>VLOOKUP(F277,'Price Ranges'!$A$2:$C$8,3, FALSE)</f>
        <v>50000-300000</v>
      </c>
      <c r="F277" s="18" t="s">
        <v>31</v>
      </c>
      <c r="G277" s="18" t="s">
        <v>68</v>
      </c>
      <c r="H277" s="26"/>
      <c r="I277" s="18" t="s">
        <v>18</v>
      </c>
      <c r="J277" s="20" t="s">
        <v>15</v>
      </c>
    </row>
    <row r="278" spans="1:10" ht="12.75">
      <c r="A278" s="24" t="str">
        <f>HYPERLINK("https://www.dndbeyond.com/magic-items/green-dragon-mask", "Green Dragon Mask")</f>
        <v>Green Dragon Mask</v>
      </c>
      <c r="B278" s="6"/>
      <c r="C278" s="7"/>
      <c r="D278" s="18" t="str">
        <f>VLOOKUP(F278,'Price Ranges'!$A$2:$B$8,2, FALSE)</f>
        <v>50001+</v>
      </c>
      <c r="E278" s="8" t="str">
        <f>VLOOKUP(F278,'Price Ranges'!$A$2:$C$8,3, FALSE)</f>
        <v>50000-300000</v>
      </c>
      <c r="F278" s="18" t="s">
        <v>31</v>
      </c>
      <c r="G278" s="18" t="s">
        <v>53</v>
      </c>
      <c r="H278" s="26"/>
      <c r="I278" s="18" t="s">
        <v>12</v>
      </c>
      <c r="J278" s="20" t="s">
        <v>15</v>
      </c>
    </row>
    <row r="279" spans="1:10" ht="12.75">
      <c r="A279" s="5" t="str">
        <f>HYPERLINK("https://www.dndbeyond.com/magic-items/grimoire-infinitus", "Grimoire Infinitus")</f>
        <v>Grimoire Infinitus</v>
      </c>
      <c r="B279" s="6"/>
      <c r="C279" s="7"/>
      <c r="D279" s="8" t="str">
        <f>VLOOKUP(F279,'Price Ranges'!$A$2:$B$8,2, FALSE)</f>
        <v>50001+</v>
      </c>
      <c r="E279" s="8" t="str">
        <f>VLOOKUP(F279,'Price Ranges'!$A$2:$C$8,3, FALSE)</f>
        <v>50000-300000</v>
      </c>
      <c r="F279" s="9" t="s">
        <v>31</v>
      </c>
      <c r="G279" s="9" t="s">
        <v>17</v>
      </c>
      <c r="H279" s="12">
        <v>271</v>
      </c>
      <c r="I279" s="9" t="s">
        <v>29</v>
      </c>
      <c r="J279" s="13" t="s">
        <v>15</v>
      </c>
    </row>
    <row r="280" spans="1:10" ht="12.75">
      <c r="A280" s="5" t="str">
        <f>HYPERLINK("https://www.dndbeyond.com/magic-items/grovelthrash", "Grovelthrash")</f>
        <v>Grovelthrash</v>
      </c>
      <c r="B280" s="6"/>
      <c r="C280" s="7"/>
      <c r="D280" s="8" t="str">
        <f>VLOOKUP(F280,'Price Ranges'!$A$2:$B$8,2, FALSE)</f>
        <v>Priceless</v>
      </c>
      <c r="E280" s="8" t="str">
        <f>VLOOKUP(F280,'Price Ranges'!$A$2:$C$8,3, FALSE)</f>
        <v>Priceless</v>
      </c>
      <c r="F280" s="9" t="s">
        <v>22</v>
      </c>
      <c r="G280" s="9" t="s">
        <v>17</v>
      </c>
      <c r="H280" s="12">
        <v>275</v>
      </c>
      <c r="I280" s="9" t="s">
        <v>18</v>
      </c>
      <c r="J280" s="13" t="s">
        <v>15</v>
      </c>
    </row>
    <row r="281" spans="1:10" ht="12.75">
      <c r="A281" s="5" t="str">
        <f>HYPERLINK("https://www.dndbeyond.com/magic-items/guardian-emblem", "Guardian Emblem")</f>
        <v>Guardian Emblem</v>
      </c>
      <c r="B281" s="6"/>
      <c r="C281" s="7"/>
      <c r="D281" s="8" t="str">
        <f>VLOOKUP(F281,'Price Ranges'!$A$2:$B$8,2, FALSE)</f>
        <v>101-500</v>
      </c>
      <c r="E281" s="8" t="str">
        <f>VLOOKUP(F281,'Price Ranges'!$A$2:$C$8,3, FALSE)</f>
        <v>100-600</v>
      </c>
      <c r="F281" s="12" t="s">
        <v>19</v>
      </c>
      <c r="G281" s="12" t="s">
        <v>14</v>
      </c>
      <c r="H281" s="10"/>
      <c r="I281" s="8" t="s">
        <v>12</v>
      </c>
      <c r="J281" s="13" t="s">
        <v>15</v>
      </c>
    </row>
    <row r="282" spans="1:10" ht="12.75">
      <c r="A282" s="24" t="str">
        <f>HYPERLINK("https://www.dndbeyond.com/sources/ggtr/treasures#GuildCharms", "Guild Charms")</f>
        <v>Guild Charms</v>
      </c>
      <c r="B282" s="6"/>
      <c r="C282" s="22">
        <v>450</v>
      </c>
      <c r="D282" s="18" t="str">
        <f>VLOOKUP(F282,'Price Ranges'!$A$2:$B$8,2, FALSE)</f>
        <v>101-500</v>
      </c>
      <c r="E282" s="8" t="str">
        <f>VLOOKUP(F282,'Price Ranges'!$A$2:$C$8,3, FALSE)</f>
        <v>100-600</v>
      </c>
      <c r="F282" s="18" t="s">
        <v>19</v>
      </c>
      <c r="G282" s="18" t="s">
        <v>69</v>
      </c>
      <c r="H282" s="23">
        <v>173</v>
      </c>
      <c r="I282" s="18" t="s">
        <v>12</v>
      </c>
      <c r="J282" s="20" t="s">
        <v>13</v>
      </c>
    </row>
    <row r="283" spans="1:10" ht="12.75">
      <c r="A283" s="24" t="str">
        <f>HYPERLINK("https://www.dndbeyond.com/magic-items/guild-keyrune", "Guild Keyrune (Azorius)")</f>
        <v>Guild Keyrune (Azorius)</v>
      </c>
      <c r="B283" s="6"/>
      <c r="C283" s="22">
        <v>1000</v>
      </c>
      <c r="D283" s="18" t="str">
        <f>VLOOKUP(F283,'Price Ranges'!$A$2:$B$8,2, FALSE)</f>
        <v>501-5000</v>
      </c>
      <c r="E283" s="8" t="str">
        <f>VLOOKUP(F283,'Price Ranges'!$A$2:$C$8,3, FALSE)</f>
        <v>2000-20000</v>
      </c>
      <c r="F283" s="18" t="s">
        <v>16</v>
      </c>
      <c r="G283" s="18" t="s">
        <v>69</v>
      </c>
      <c r="H283" s="23">
        <v>177</v>
      </c>
      <c r="I283" s="18" t="s">
        <v>12</v>
      </c>
      <c r="J283" s="20" t="s">
        <v>15</v>
      </c>
    </row>
    <row r="284" spans="1:10" ht="12.75">
      <c r="A284" s="24" t="str">
        <f>HYPERLINK("https://www.dndbeyond.com/magic-items/guild-keyrune", "Guild Keyrune (Boros)")</f>
        <v>Guild Keyrune (Boros)</v>
      </c>
      <c r="B284" s="6"/>
      <c r="C284" s="22">
        <v>3500</v>
      </c>
      <c r="D284" s="18" t="str">
        <f>VLOOKUP(F284,'Price Ranges'!$A$2:$B$8,2, FALSE)</f>
        <v>501-5000</v>
      </c>
      <c r="E284" s="8" t="str">
        <f>VLOOKUP(F284,'Price Ranges'!$A$2:$C$8,3, FALSE)</f>
        <v>2000-20000</v>
      </c>
      <c r="F284" s="18" t="s">
        <v>16</v>
      </c>
      <c r="G284" s="18" t="s">
        <v>69</v>
      </c>
      <c r="H284" s="23">
        <v>177</v>
      </c>
      <c r="I284" s="18" t="s">
        <v>12</v>
      </c>
      <c r="J284" s="20" t="s">
        <v>15</v>
      </c>
    </row>
    <row r="285" spans="1:10" ht="12.75">
      <c r="A285" s="24" t="str">
        <f>HYPERLINK("https://www.dndbeyond.com/magic-items/guild-keyrune", "Guild Keyrune (Dimir)")</f>
        <v>Guild Keyrune (Dimir)</v>
      </c>
      <c r="B285" s="6"/>
      <c r="C285" s="22">
        <v>26000</v>
      </c>
      <c r="D285" s="18" t="str">
        <f>VLOOKUP(F285,'Price Ranges'!$A$2:$B$8,2, FALSE)</f>
        <v>5001-50000</v>
      </c>
      <c r="E285" s="8" t="str">
        <f>VLOOKUP(F285,'Price Ranges'!$A$2:$C$8,3, FALSE)</f>
        <v>20000-50000</v>
      </c>
      <c r="F285" s="18" t="s">
        <v>10</v>
      </c>
      <c r="G285" s="18" t="s">
        <v>69</v>
      </c>
      <c r="H285" s="23">
        <v>177</v>
      </c>
      <c r="I285" s="18" t="s">
        <v>12</v>
      </c>
      <c r="J285" s="20" t="s">
        <v>15</v>
      </c>
    </row>
    <row r="286" spans="1:10" ht="12.75">
      <c r="A286" s="24" t="str">
        <f>HYPERLINK("https://www.dndbeyond.com/magic-items/guild-keyrune", "Guild Keyrune (Golgari)")</f>
        <v>Guild Keyrune (Golgari)</v>
      </c>
      <c r="B286" s="6"/>
      <c r="C286" s="22">
        <v>7500</v>
      </c>
      <c r="D286" s="18" t="str">
        <f>VLOOKUP(F286,'Price Ranges'!$A$2:$B$8,2, FALSE)</f>
        <v>5001-50000</v>
      </c>
      <c r="E286" s="8" t="str">
        <f>VLOOKUP(F286,'Price Ranges'!$A$2:$C$8,3, FALSE)</f>
        <v>20000-50000</v>
      </c>
      <c r="F286" s="18" t="s">
        <v>10</v>
      </c>
      <c r="G286" s="18" t="s">
        <v>69</v>
      </c>
      <c r="H286" s="23">
        <v>177</v>
      </c>
      <c r="I286" s="18" t="s">
        <v>12</v>
      </c>
      <c r="J286" s="20" t="s">
        <v>15</v>
      </c>
    </row>
    <row r="287" spans="1:10" ht="12.75">
      <c r="A287" s="24" t="str">
        <f>HYPERLINK("https://www.dndbeyond.com/magic-items/guild-keyrune", "Guild Keyrune (Gruul)")</f>
        <v>Guild Keyrune (Gruul)</v>
      </c>
      <c r="B287" s="6"/>
      <c r="C287" s="22">
        <v>2800</v>
      </c>
      <c r="D287" s="18" t="str">
        <f>VLOOKUP(F287,'Price Ranges'!$A$2:$B$8,2, FALSE)</f>
        <v>501-5000</v>
      </c>
      <c r="E287" s="8" t="str">
        <f>VLOOKUP(F287,'Price Ranges'!$A$2:$C$8,3, FALSE)</f>
        <v>2000-20000</v>
      </c>
      <c r="F287" s="18" t="s">
        <v>16</v>
      </c>
      <c r="G287" s="18" t="s">
        <v>69</v>
      </c>
      <c r="H287" s="23">
        <v>177</v>
      </c>
      <c r="I287" s="18" t="s">
        <v>12</v>
      </c>
      <c r="J287" s="20" t="s">
        <v>15</v>
      </c>
    </row>
    <row r="288" spans="1:10" ht="12.75">
      <c r="A288" s="24" t="str">
        <f>HYPERLINK("https://www.dndbeyond.com/magic-items/guild-keyrune", "Guild Keyrune (Izzet)")</f>
        <v>Guild Keyrune (Izzet)</v>
      </c>
      <c r="B288" s="6"/>
      <c r="C288" s="22">
        <v>1850</v>
      </c>
      <c r="D288" s="18" t="str">
        <f>VLOOKUP(F288,'Price Ranges'!$A$2:$B$8,2, FALSE)</f>
        <v>501-5000</v>
      </c>
      <c r="E288" s="8" t="str">
        <f>VLOOKUP(F288,'Price Ranges'!$A$2:$C$8,3, FALSE)</f>
        <v>2000-20000</v>
      </c>
      <c r="F288" s="18" t="s">
        <v>16</v>
      </c>
      <c r="G288" s="18" t="s">
        <v>69</v>
      </c>
      <c r="H288" s="23">
        <v>177</v>
      </c>
      <c r="I288" s="18" t="s">
        <v>12</v>
      </c>
      <c r="J288" s="20" t="s">
        <v>15</v>
      </c>
    </row>
    <row r="289" spans="1:10" ht="12.75">
      <c r="A289" s="24" t="str">
        <f>HYPERLINK("https://www.dndbeyond.com/magic-items/guild-keyrune", "Guild Keyrune (Orzhov)")</f>
        <v>Guild Keyrune (Orzhov)</v>
      </c>
      <c r="B289" s="6"/>
      <c r="C289" s="22">
        <v>1100</v>
      </c>
      <c r="D289" s="18" t="str">
        <f>VLOOKUP(F289,'Price Ranges'!$A$2:$B$8,2, FALSE)</f>
        <v>501-5000</v>
      </c>
      <c r="E289" s="8" t="str">
        <f>VLOOKUP(F289,'Price Ranges'!$A$2:$C$8,3, FALSE)</f>
        <v>2000-20000</v>
      </c>
      <c r="F289" s="18" t="s">
        <v>16</v>
      </c>
      <c r="G289" s="18" t="s">
        <v>69</v>
      </c>
      <c r="H289" s="23">
        <v>178</v>
      </c>
      <c r="I289" s="18" t="s">
        <v>12</v>
      </c>
      <c r="J289" s="20" t="s">
        <v>15</v>
      </c>
    </row>
    <row r="290" spans="1:10" ht="12.75">
      <c r="A290" s="24" t="str">
        <f>HYPERLINK("https://www.dndbeyond.com/magic-items/guild-keyrune", "Guild Keyrune (Rakdos)")</f>
        <v>Guild Keyrune (Rakdos)</v>
      </c>
      <c r="B290" s="6"/>
      <c r="C290" s="22">
        <v>400</v>
      </c>
      <c r="D290" s="18" t="str">
        <f>VLOOKUP(F290,'Price Ranges'!$A$2:$B$8,2, FALSE)</f>
        <v>101-500</v>
      </c>
      <c r="E290" s="8" t="str">
        <f>VLOOKUP(F290,'Price Ranges'!$A$2:$C$8,3, FALSE)</f>
        <v>100-600</v>
      </c>
      <c r="F290" s="18" t="s">
        <v>19</v>
      </c>
      <c r="G290" s="18" t="s">
        <v>69</v>
      </c>
      <c r="H290" s="23">
        <v>178</v>
      </c>
      <c r="I290" s="18" t="s">
        <v>12</v>
      </c>
      <c r="J290" s="20" t="s">
        <v>15</v>
      </c>
    </row>
    <row r="291" spans="1:10" ht="12.75">
      <c r="A291" s="24" t="str">
        <f>HYPERLINK("https://www.dndbeyond.com/magic-items/guild-keyrune", "Guild Keyrune (Selesnya)")</f>
        <v>Guild Keyrune (Selesnya)</v>
      </c>
      <c r="B291" s="6"/>
      <c r="C291" s="22">
        <v>1500</v>
      </c>
      <c r="D291" s="18" t="str">
        <f>VLOOKUP(F291,'Price Ranges'!$A$2:$B$8,2, FALSE)</f>
        <v>501-5000</v>
      </c>
      <c r="E291" s="8" t="str">
        <f>VLOOKUP(F291,'Price Ranges'!$A$2:$C$8,3, FALSE)</f>
        <v>2000-20000</v>
      </c>
      <c r="F291" s="18" t="s">
        <v>16</v>
      </c>
      <c r="G291" s="18" t="s">
        <v>69</v>
      </c>
      <c r="H291" s="23">
        <v>178</v>
      </c>
      <c r="I291" s="18" t="s">
        <v>12</v>
      </c>
      <c r="J291" s="20" t="s">
        <v>15</v>
      </c>
    </row>
    <row r="292" spans="1:10" ht="12.75">
      <c r="A292" s="24" t="str">
        <f>HYPERLINK("https://www.dndbeyond.com/magic-items/guild-keyrune", "Guild Keyrune (Simic)")</f>
        <v>Guild Keyrune (Simic)</v>
      </c>
      <c r="B292" s="6"/>
      <c r="C292" s="22">
        <v>500</v>
      </c>
      <c r="D292" s="18" t="str">
        <f>VLOOKUP(F292,'Price Ranges'!$A$2:$B$8,2, FALSE)</f>
        <v>101-500</v>
      </c>
      <c r="E292" s="8" t="str">
        <f>VLOOKUP(F292,'Price Ranges'!$A$2:$C$8,3, FALSE)</f>
        <v>100-600</v>
      </c>
      <c r="F292" s="18" t="s">
        <v>19</v>
      </c>
      <c r="G292" s="18" t="s">
        <v>69</v>
      </c>
      <c r="H292" s="23">
        <v>178</v>
      </c>
      <c r="I292" s="18" t="s">
        <v>12</v>
      </c>
      <c r="J292" s="20" t="s">
        <v>15</v>
      </c>
    </row>
    <row r="293" spans="1:10" ht="12.75">
      <c r="A293" s="24" t="str">
        <f>HYPERLINK("https://www.dndbeyond.com/magic-items/guild-signet", "Guild Signet")</f>
        <v>Guild Signet</v>
      </c>
      <c r="B293" s="6"/>
      <c r="C293" s="22">
        <v>350</v>
      </c>
      <c r="D293" s="18" t="str">
        <f>VLOOKUP(F293,'Price Ranges'!$A$2:$B$8,2, FALSE)</f>
        <v>101-500</v>
      </c>
      <c r="E293" s="8" t="str">
        <f>VLOOKUP(F293,'Price Ranges'!$A$2:$C$8,3, FALSE)</f>
        <v>100-600</v>
      </c>
      <c r="F293" s="18" t="s">
        <v>19</v>
      </c>
      <c r="G293" s="18" t="s">
        <v>69</v>
      </c>
      <c r="H293" s="23">
        <v>178</v>
      </c>
      <c r="I293" s="18" t="s">
        <v>41</v>
      </c>
      <c r="J293" s="20" t="s">
        <v>15</v>
      </c>
    </row>
    <row r="294" spans="1:10" ht="12.75">
      <c r="A294" s="24" t="str">
        <f>HYPERLINK("https://www.dndbeyond.com/magic-items/gulthias-staff", "Gulthias Staff")</f>
        <v>Gulthias Staff</v>
      </c>
      <c r="B294" s="6"/>
      <c r="C294" s="22">
        <v>2200</v>
      </c>
      <c r="D294" s="18" t="str">
        <f>VLOOKUP(F294,'Price Ranges'!$A$2:$B$8,2, FALSE)</f>
        <v>501-5000</v>
      </c>
      <c r="E294" s="8" t="str">
        <f>VLOOKUP(F294,'Price Ranges'!$A$2:$C$8,3, FALSE)</f>
        <v>2000-20000</v>
      </c>
      <c r="F294" s="18" t="s">
        <v>16</v>
      </c>
      <c r="G294" s="18" t="s">
        <v>52</v>
      </c>
      <c r="H294" s="23">
        <v>221</v>
      </c>
      <c r="I294" s="18" t="s">
        <v>49</v>
      </c>
      <c r="J294" s="20" t="s">
        <v>15</v>
      </c>
    </row>
    <row r="295" spans="1:10" ht="12.75">
      <c r="A295" s="24" t="str">
        <f>HYPERLINK("https://www.dndbeyond.com/magic-items/gurts-greataxe", "Gurt's Greataxe")</f>
        <v>Gurt's Greataxe</v>
      </c>
      <c r="B295" s="6"/>
      <c r="C295" s="22">
        <v>67000</v>
      </c>
      <c r="D295" s="18" t="str">
        <f>VLOOKUP(F295,'Price Ranges'!$A$2:$B$8,2, FALSE)</f>
        <v>50001+</v>
      </c>
      <c r="E295" s="8" t="str">
        <f>VLOOKUP(F295,'Price Ranges'!$A$2:$C$8,3, FALSE)</f>
        <v>50000-300000</v>
      </c>
      <c r="F295" s="18" t="s">
        <v>31</v>
      </c>
      <c r="G295" s="18" t="s">
        <v>43</v>
      </c>
      <c r="H295" s="23">
        <v>234</v>
      </c>
      <c r="I295" s="18" t="s">
        <v>18</v>
      </c>
      <c r="J295" s="20" t="s">
        <v>15</v>
      </c>
    </row>
    <row r="296" spans="1:10" ht="12.75">
      <c r="A296" s="24" t="str">
        <f>HYPERLINK("https://www.dndbeyond.com/magic-items/hammer-of-thunderbolts", "Hammer Of Thunderbolts (maul)")</f>
        <v>Hammer Of Thunderbolts (maul)</v>
      </c>
      <c r="B296" s="16">
        <v>16000</v>
      </c>
      <c r="C296" s="21">
        <v>51000</v>
      </c>
      <c r="D296" s="18" t="str">
        <f>VLOOKUP(F296,'Price Ranges'!$A$2:$B$8,2, FALSE)</f>
        <v>50001+</v>
      </c>
      <c r="E296" s="8" t="str">
        <f>VLOOKUP(F296,'Price Ranges'!$A$2:$C$8,3, FALSE)</f>
        <v>50000-300000</v>
      </c>
      <c r="F296" s="18" t="s">
        <v>31</v>
      </c>
      <c r="G296" s="18" t="s">
        <v>20</v>
      </c>
      <c r="H296" s="19">
        <v>173</v>
      </c>
      <c r="I296" s="18" t="s">
        <v>18</v>
      </c>
      <c r="J296" s="20" t="s">
        <v>15</v>
      </c>
    </row>
    <row r="297" spans="1:10" ht="12.75">
      <c r="A297" s="24" t="str">
        <f>HYPERLINK("https://www.dndbeyond.com/magic-items/hand-of-vecna", "Hand Of Vecna")</f>
        <v>Hand Of Vecna</v>
      </c>
      <c r="B297" s="6"/>
      <c r="C297" s="7"/>
      <c r="D297" s="18" t="str">
        <f>VLOOKUP(F297,'Price Ranges'!$A$2:$B$8,2, FALSE)</f>
        <v>Priceless</v>
      </c>
      <c r="E297" s="8" t="str">
        <f>VLOOKUP(F297,'Price Ranges'!$A$2:$C$8,3, FALSE)</f>
        <v>Priceless</v>
      </c>
      <c r="F297" s="18" t="s">
        <v>22</v>
      </c>
      <c r="G297" s="18" t="s">
        <v>20</v>
      </c>
      <c r="H297" s="18"/>
      <c r="I297" s="18" t="s">
        <v>12</v>
      </c>
      <c r="J297" s="20" t="s">
        <v>15</v>
      </c>
    </row>
    <row r="298" spans="1:10" ht="12.75">
      <c r="A298" s="24" t="str">
        <f>HYPERLINK("https://www.dndbeyond.com/magic-items/handy-haversack", "Handy Haversack")</f>
        <v>Handy Haversack</v>
      </c>
      <c r="B298" s="16">
        <v>2000</v>
      </c>
      <c r="C298" s="21">
        <v>2000</v>
      </c>
      <c r="D298" s="18" t="str">
        <f>VLOOKUP(F298,'Price Ranges'!$A$2:$B$8,2, FALSE)</f>
        <v>501-5000</v>
      </c>
      <c r="E298" s="8" t="str">
        <f>VLOOKUP(F298,'Price Ranges'!$A$2:$C$8,3, FALSE)</f>
        <v>2000-20000</v>
      </c>
      <c r="F298" s="18" t="s">
        <v>16</v>
      </c>
      <c r="G298" s="18" t="s">
        <v>20</v>
      </c>
      <c r="H298" s="19">
        <v>174</v>
      </c>
      <c r="I298" s="18" t="s">
        <v>12</v>
      </c>
      <c r="J298" s="34" t="s">
        <v>13</v>
      </c>
    </row>
    <row r="299" spans="1:10" ht="12.75">
      <c r="A299" s="24" t="str">
        <f>HYPERLINK("https://www.dndbeyond.com/magic-items/hat-of-disguise", "Hat Of Disguise")</f>
        <v>Hat Of Disguise</v>
      </c>
      <c r="B299" s="16">
        <v>5000</v>
      </c>
      <c r="C299" s="21">
        <v>475</v>
      </c>
      <c r="D299" s="18" t="str">
        <f>VLOOKUP(F299,'Price Ranges'!$A$2:$B$8,2, FALSE)</f>
        <v>101-500</v>
      </c>
      <c r="E299" s="8" t="str">
        <f>VLOOKUP(F299,'Price Ranges'!$A$2:$C$8,3, FALSE)</f>
        <v>100-600</v>
      </c>
      <c r="F299" s="18" t="s">
        <v>19</v>
      </c>
      <c r="G299" s="18" t="s">
        <v>20</v>
      </c>
      <c r="H299" s="19">
        <v>173</v>
      </c>
      <c r="I299" s="18" t="s">
        <v>58</v>
      </c>
      <c r="J299" s="20" t="s">
        <v>15</v>
      </c>
    </row>
    <row r="300" spans="1:10" ht="12.75">
      <c r="A300" s="24" t="str">
        <f>HYPERLINK("https://www.dndbeyond.com/magic-items/hat-of-vermin", "Hat Of Vermin")</f>
        <v>Hat Of Vermin</v>
      </c>
      <c r="B300" s="6"/>
      <c r="C300" s="22">
        <v>65</v>
      </c>
      <c r="D300" s="18" t="str">
        <f>VLOOKUP(F300,'Price Ranges'!$A$2:$B$8,2, FALSE)</f>
        <v>50-100</v>
      </c>
      <c r="E300" s="8" t="str">
        <f>VLOOKUP(F300,'Price Ranges'!$A$2:$C$8,3, FALSE)</f>
        <v>20-70</v>
      </c>
      <c r="F300" s="18" t="s">
        <v>35</v>
      </c>
      <c r="G300" s="18" t="s">
        <v>37</v>
      </c>
      <c r="H300" s="19">
        <v>137</v>
      </c>
      <c r="I300" s="18" t="s">
        <v>58</v>
      </c>
      <c r="J300" s="20" t="s">
        <v>13</v>
      </c>
    </row>
    <row r="301" spans="1:10" ht="12.75">
      <c r="A301" s="24" t="str">
        <f>HYPERLINK("https://www.dndbeyond.com/magic-items/hat-of-wizardry", "Hat Of Wizardry")</f>
        <v>Hat Of Wizardry</v>
      </c>
      <c r="B301" s="6"/>
      <c r="C301" s="22">
        <v>75</v>
      </c>
      <c r="D301" s="18" t="str">
        <f>VLOOKUP(F301,'Price Ranges'!$A$2:$B$8,2, FALSE)</f>
        <v>50-100</v>
      </c>
      <c r="E301" s="8" t="str">
        <f>VLOOKUP(F301,'Price Ranges'!$A$2:$C$8,3, FALSE)</f>
        <v>20-70</v>
      </c>
      <c r="F301" s="18" t="s">
        <v>35</v>
      </c>
      <c r="G301" s="18" t="s">
        <v>37</v>
      </c>
      <c r="H301" s="19">
        <v>137</v>
      </c>
      <c r="I301" s="18" t="s">
        <v>58</v>
      </c>
      <c r="J301" s="20" t="s">
        <v>15</v>
      </c>
    </row>
    <row r="302" spans="1:10" ht="12.75">
      <c r="A302" s="24" t="str">
        <f>HYPERLINK("https://www.dndbeyond.com/magic-items/hazirawn", "Hazirawn (greatsword)")</f>
        <v>Hazirawn (greatsword)</v>
      </c>
      <c r="B302" s="6"/>
      <c r="C302" s="22">
        <v>66000</v>
      </c>
      <c r="D302" s="18" t="str">
        <f>VLOOKUP(F302,'Price Ranges'!$A$2:$B$8,2, FALSE)</f>
        <v>50001+</v>
      </c>
      <c r="E302" s="8" t="str">
        <f>VLOOKUP(F302,'Price Ranges'!$A$2:$C$8,3, FALSE)</f>
        <v>50000-300000</v>
      </c>
      <c r="F302" s="18" t="s">
        <v>31</v>
      </c>
      <c r="G302" s="18" t="s">
        <v>47</v>
      </c>
      <c r="H302" s="23">
        <v>94</v>
      </c>
      <c r="I302" s="18" t="s">
        <v>18</v>
      </c>
      <c r="J302" s="20" t="s">
        <v>15</v>
      </c>
    </row>
    <row r="303" spans="1:10" ht="12.75">
      <c r="A303" s="24" t="str">
        <f>HYPERLINK("https://www.dndbeyond.com/magic-items/headband-of-intellect", "Headband Of Intellect")</f>
        <v>Headband Of Intellect</v>
      </c>
      <c r="B303" s="16">
        <v>8000</v>
      </c>
      <c r="C303" s="21">
        <v>450</v>
      </c>
      <c r="D303" s="18" t="str">
        <f>VLOOKUP(F303,'Price Ranges'!$A$2:$B$8,2, FALSE)</f>
        <v>101-500</v>
      </c>
      <c r="E303" s="8" t="str">
        <f>VLOOKUP(F303,'Price Ranges'!$A$2:$C$8,3, FALSE)</f>
        <v>100-600</v>
      </c>
      <c r="F303" s="18" t="s">
        <v>19</v>
      </c>
      <c r="G303" s="18" t="s">
        <v>20</v>
      </c>
      <c r="H303" s="19">
        <v>173</v>
      </c>
      <c r="I303" s="18" t="s">
        <v>58</v>
      </c>
      <c r="J303" s="20" t="s">
        <v>15</v>
      </c>
    </row>
    <row r="304" spans="1:10" ht="12.75">
      <c r="A304" s="5" t="str">
        <f>HYPERLINK("https://www.dndbeyond.com/magic-items/heart-weavers-primer", "Heart Weaver's Primer")</f>
        <v>Heart Weaver's Primer</v>
      </c>
      <c r="B304" s="6"/>
      <c r="C304" s="7"/>
      <c r="D304" s="8" t="str">
        <f>VLOOKUP(F304,'Price Ranges'!$A$2:$B$8,2, FALSE)</f>
        <v>501-5000</v>
      </c>
      <c r="E304" s="8" t="str">
        <f>VLOOKUP(F304,'Price Ranges'!$A$2:$C$8,3, FALSE)</f>
        <v>2000-20000</v>
      </c>
      <c r="F304" s="12" t="s">
        <v>16</v>
      </c>
      <c r="G304" s="12" t="s">
        <v>14</v>
      </c>
      <c r="H304" s="10"/>
      <c r="I304" s="8" t="s">
        <v>12</v>
      </c>
      <c r="J304" s="13" t="s">
        <v>15</v>
      </c>
    </row>
    <row r="305" spans="1:10" ht="12.75">
      <c r="A305" s="24" t="str">
        <f>HYPERLINK("https://www.dndbeyond.com/magic-items/hell-hound-cloak", "Hell Hound Cloak")</f>
        <v>Hell Hound Cloak</v>
      </c>
      <c r="B305" s="6"/>
      <c r="C305" s="22">
        <v>1700</v>
      </c>
      <c r="D305" s="18" t="str">
        <f>VLOOKUP(F305,'Price Ranges'!$A$2:$B$8,2, FALSE)</f>
        <v>501-5000</v>
      </c>
      <c r="E305" s="8" t="str">
        <f>VLOOKUP(F305,'Price Ranges'!$A$2:$C$8,3, FALSE)</f>
        <v>2000-20000</v>
      </c>
      <c r="F305" s="18" t="s">
        <v>16</v>
      </c>
      <c r="G305" s="18" t="s">
        <v>27</v>
      </c>
      <c r="H305" s="35">
        <v>228</v>
      </c>
      <c r="I305" s="18" t="s">
        <v>59</v>
      </c>
      <c r="J305" s="20" t="s">
        <v>15</v>
      </c>
    </row>
    <row r="306" spans="1:10" ht="12.75">
      <c r="A306" s="24" t="str">
        <f>HYPERLINK("https://www.dndbeyond.com/magic-items/hellfire-weapon", "Hellfire Weapon")</f>
        <v>Hellfire Weapon</v>
      </c>
      <c r="B306" s="6"/>
      <c r="C306" s="14">
        <v>500</v>
      </c>
      <c r="D306" s="18" t="str">
        <f>VLOOKUP(F306,'Price Ranges'!$A$2:$B$8,2, FALSE)</f>
        <v>101-500</v>
      </c>
      <c r="E306" s="8" t="str">
        <f>VLOOKUP(F306,'Price Ranges'!$A$2:$C$8,3, FALSE)</f>
        <v>100-600</v>
      </c>
      <c r="F306" s="18" t="s">
        <v>19</v>
      </c>
      <c r="G306" s="18" t="s">
        <v>44</v>
      </c>
      <c r="H306" s="26"/>
      <c r="I306" s="18" t="s">
        <v>18</v>
      </c>
      <c r="J306" s="20" t="s">
        <v>13</v>
      </c>
    </row>
    <row r="307" spans="1:10" ht="12.75">
      <c r="A307" s="24" t="str">
        <f>HYPERLINK("https://www.dndbeyond.com/magic-items/helm-of-brilliance", "Helm Of Brilliance")</f>
        <v>Helm Of Brilliance</v>
      </c>
      <c r="B307" s="6"/>
      <c r="C307" s="22">
        <v>32000</v>
      </c>
      <c r="D307" s="18" t="str">
        <f>VLOOKUP(F307,'Price Ranges'!$A$2:$B$8,2, FALSE)</f>
        <v>5001-50000</v>
      </c>
      <c r="E307" s="8" t="str">
        <f>VLOOKUP(F307,'Price Ranges'!$A$2:$C$8,3, FALSE)</f>
        <v>20000-50000</v>
      </c>
      <c r="F307" s="18" t="s">
        <v>10</v>
      </c>
      <c r="G307" s="18" t="s">
        <v>20</v>
      </c>
      <c r="H307" s="23">
        <v>173</v>
      </c>
      <c r="I307" s="18" t="s">
        <v>58</v>
      </c>
      <c r="J307" s="20" t="s">
        <v>15</v>
      </c>
    </row>
    <row r="308" spans="1:10" ht="12.75">
      <c r="A308" s="24" t="str">
        <f>HYPERLINK("https://www.dndbeyond.com/magic-items/helm-of-comprehending-languages", "Helm Of Comprehending Languages")</f>
        <v>Helm Of Comprehending Languages</v>
      </c>
      <c r="B308" s="16">
        <v>500</v>
      </c>
      <c r="C308" s="21">
        <v>200</v>
      </c>
      <c r="D308" s="18" t="str">
        <f>VLOOKUP(F308,'Price Ranges'!$A$2:$B$8,2, FALSE)</f>
        <v>101-500</v>
      </c>
      <c r="E308" s="8" t="str">
        <f>VLOOKUP(F308,'Price Ranges'!$A$2:$C$8,3, FALSE)</f>
        <v>100-600</v>
      </c>
      <c r="F308" s="18" t="s">
        <v>19</v>
      </c>
      <c r="G308" s="18" t="s">
        <v>20</v>
      </c>
      <c r="H308" s="19">
        <v>173</v>
      </c>
      <c r="I308" s="18" t="s">
        <v>58</v>
      </c>
      <c r="J308" s="20" t="s">
        <v>13</v>
      </c>
    </row>
    <row r="309" spans="1:10" ht="12.75">
      <c r="A309" s="24" t="str">
        <f>HYPERLINK("https://www.dndbeyond.com/magic-items/helm-of-devil-command", "Helm Of Devil Command")</f>
        <v>Helm Of Devil Command</v>
      </c>
      <c r="B309" s="6"/>
      <c r="C309" s="14">
        <v>21500</v>
      </c>
      <c r="D309" s="18" t="str">
        <f>VLOOKUP(F309,'Price Ranges'!$A$2:$B$8,2, FALSE)</f>
        <v>5001-50000</v>
      </c>
      <c r="E309" s="8" t="str">
        <f>VLOOKUP(F309,'Price Ranges'!$A$2:$C$8,3, FALSE)</f>
        <v>20000-50000</v>
      </c>
      <c r="F309" s="18" t="s">
        <v>10</v>
      </c>
      <c r="G309" s="18" t="s">
        <v>44</v>
      </c>
      <c r="H309" s="26"/>
      <c r="I309" s="18" t="s">
        <v>58</v>
      </c>
      <c r="J309" s="20" t="s">
        <v>15</v>
      </c>
    </row>
    <row r="310" spans="1:10" ht="12.75">
      <c r="A310" s="24" t="str">
        <f>HYPERLINK("https://www.dndbeyond.com/magic-items/helm-of-telepathy", "Helm Of Telepathy")</f>
        <v>Helm Of Telepathy</v>
      </c>
      <c r="B310" s="16">
        <v>12000</v>
      </c>
      <c r="C310" s="21">
        <v>300</v>
      </c>
      <c r="D310" s="18" t="str">
        <f>VLOOKUP(F310,'Price Ranges'!$A$2:$B$8,2, FALSE)</f>
        <v>101-500</v>
      </c>
      <c r="E310" s="8" t="str">
        <f>VLOOKUP(F310,'Price Ranges'!$A$2:$C$8,3, FALSE)</f>
        <v>100-600</v>
      </c>
      <c r="F310" s="18" t="s">
        <v>19</v>
      </c>
      <c r="G310" s="18" t="s">
        <v>20</v>
      </c>
      <c r="H310" s="19">
        <v>174</v>
      </c>
      <c r="I310" s="18" t="s">
        <v>58</v>
      </c>
      <c r="J310" s="20" t="s">
        <v>15</v>
      </c>
    </row>
    <row r="311" spans="1:10" ht="12.75">
      <c r="A311" s="24" t="str">
        <f>HYPERLINK("https://www.dndbeyond.com/magic-items/helm-of-teleportation", "Helm Of Teleportation")</f>
        <v>Helm Of Teleportation</v>
      </c>
      <c r="B311" s="16">
        <v>64000</v>
      </c>
      <c r="C311" s="21">
        <v>4250</v>
      </c>
      <c r="D311" s="18" t="str">
        <f>VLOOKUP(F311,'Price Ranges'!$A$2:$B$8,2, FALSE)</f>
        <v>501-5000</v>
      </c>
      <c r="E311" s="8" t="str">
        <f>VLOOKUP(F311,'Price Ranges'!$A$2:$C$8,3, FALSE)</f>
        <v>2000-20000</v>
      </c>
      <c r="F311" s="18" t="s">
        <v>16</v>
      </c>
      <c r="G311" s="18" t="s">
        <v>20</v>
      </c>
      <c r="H311" s="19">
        <v>174</v>
      </c>
      <c r="I311" s="18" t="s">
        <v>58</v>
      </c>
      <c r="J311" s="20" t="s">
        <v>15</v>
      </c>
    </row>
    <row r="312" spans="1:10" ht="12.75">
      <c r="A312" s="5" t="str">
        <f>HYPERLINK("https://www.dndbeyond.com/magic-items/helm-of-the-gods", "Helm of the Gods")</f>
        <v>Helm of the Gods</v>
      </c>
      <c r="B312" s="6"/>
      <c r="C312" s="14">
        <v>1200</v>
      </c>
      <c r="D312" s="8" t="str">
        <f>VLOOKUP(F312,'Price Ranges'!$A$2:$B$8,2, FALSE)</f>
        <v>501-5000</v>
      </c>
      <c r="E312" s="8" t="str">
        <f>VLOOKUP(F312,'Price Ranges'!$A$2:$C$8,3, FALSE)</f>
        <v>2000-20000</v>
      </c>
      <c r="F312" s="9" t="s">
        <v>16</v>
      </c>
      <c r="G312" s="9" t="s">
        <v>23</v>
      </c>
      <c r="H312" s="10"/>
      <c r="I312" s="9" t="s">
        <v>12</v>
      </c>
      <c r="J312" s="13" t="s">
        <v>15</v>
      </c>
    </row>
    <row r="313" spans="1:10" ht="12.75">
      <c r="A313" s="24" t="str">
        <f>HYPERLINK("https://www.dndbeyond.com/magic-items/helm-of-the-scavenger", "Helm Of The Scavenger")</f>
        <v>Helm Of The Scavenger</v>
      </c>
      <c r="B313" s="6"/>
      <c r="C313" s="26"/>
      <c r="D313" s="18" t="str">
        <f>VLOOKUP(F313,'Price Ranges'!$A$2:$B$8,2, FALSE)</f>
        <v>50001+</v>
      </c>
      <c r="E313" s="8" t="str">
        <f>VLOOKUP(F313,'Price Ranges'!$A$2:$C$8,3, FALSE)</f>
        <v>50000-300000</v>
      </c>
      <c r="F313" s="18" t="s">
        <v>31</v>
      </c>
      <c r="G313" s="18" t="s">
        <v>46</v>
      </c>
      <c r="H313" s="26"/>
      <c r="I313" s="18" t="s">
        <v>12</v>
      </c>
      <c r="J313" s="20" t="s">
        <v>15</v>
      </c>
    </row>
    <row r="314" spans="1:10" ht="12.75">
      <c r="A314" s="24" t="str">
        <f>HYPERLINK("https://www.dndbeyond.com/magic-items/helm-of-underwater-action", "Helm Of Underwater Action")</f>
        <v>Helm Of Underwater Action</v>
      </c>
      <c r="B314" s="6"/>
      <c r="C314" s="14">
        <v>500</v>
      </c>
      <c r="D314" s="18" t="str">
        <f>VLOOKUP(F314,'Price Ranges'!$A$2:$B$8,2, FALSE)</f>
        <v>101-500</v>
      </c>
      <c r="E314" s="8" t="str">
        <f>VLOOKUP(F314,'Price Ranges'!$A$2:$C$8,3, FALSE)</f>
        <v>100-600</v>
      </c>
      <c r="F314" s="18" t="s">
        <v>19</v>
      </c>
      <c r="G314" s="18" t="s">
        <v>62</v>
      </c>
      <c r="H314" s="26"/>
      <c r="I314" s="18" t="s">
        <v>12</v>
      </c>
      <c r="J314" s="20" t="s">
        <v>15</v>
      </c>
    </row>
    <row r="315" spans="1:10" ht="12.75">
      <c r="A315" s="24" t="str">
        <f>HYPERLINK("https://www.dndbeyond.com/magic-items/hew", "Hew")</f>
        <v>Hew</v>
      </c>
      <c r="B315" s="6"/>
      <c r="C315" s="7"/>
      <c r="D315" s="18" t="str">
        <f>VLOOKUP(F315,'Price Ranges'!$A$2:$B$8,2, FALSE)</f>
        <v>101-500</v>
      </c>
      <c r="E315" s="8" t="str">
        <f>VLOOKUP(F315,'Price Ranges'!$A$2:$C$8,3, FALSE)</f>
        <v>100-600</v>
      </c>
      <c r="F315" s="18" t="s">
        <v>19</v>
      </c>
      <c r="G315" s="18" t="s">
        <v>66</v>
      </c>
      <c r="H315" s="18"/>
      <c r="I315" s="18" t="s">
        <v>18</v>
      </c>
      <c r="J315" s="20" t="s">
        <v>13</v>
      </c>
    </row>
    <row r="316" spans="1:10" ht="12.75">
      <c r="A316" s="24" t="str">
        <f>HYPERLINK("https://www.dndbeyond.com/magic-items/hewards-handy-haversack", "Heward's Handy Haversack")</f>
        <v>Heward's Handy Haversack</v>
      </c>
      <c r="B316" s="16">
        <v>2000</v>
      </c>
      <c r="C316" s="21">
        <v>2000</v>
      </c>
      <c r="D316" s="18" t="str">
        <f>VLOOKUP(F316,'Price Ranges'!$A$2:$B$8,2, FALSE)</f>
        <v>501-5000</v>
      </c>
      <c r="E316" s="8" t="str">
        <f>VLOOKUP(F316,'Price Ranges'!$A$2:$C$8,3, FALSE)</f>
        <v>2000-20000</v>
      </c>
      <c r="F316" s="18" t="s">
        <v>16</v>
      </c>
      <c r="G316" s="18" t="s">
        <v>20</v>
      </c>
      <c r="H316" s="19">
        <v>174</v>
      </c>
      <c r="I316" s="18" t="s">
        <v>12</v>
      </c>
      <c r="J316" s="20" t="s">
        <v>13</v>
      </c>
    </row>
    <row r="317" spans="1:10" ht="12.75">
      <c r="A317" s="24" t="str">
        <f>HYPERLINK("https://www.dndbeyond.com/magic-items/hewards-handy-spice-pouch", "Heward's Handy Spice Pouch")</f>
        <v>Heward's Handy Spice Pouch</v>
      </c>
      <c r="B317" s="6"/>
      <c r="C317" s="22">
        <v>100</v>
      </c>
      <c r="D317" s="18" t="str">
        <f>VLOOKUP(F317,'Price Ranges'!$A$2:$B$8,2, FALSE)</f>
        <v>50-100</v>
      </c>
      <c r="E317" s="8" t="str">
        <f>VLOOKUP(F317,'Price Ranges'!$A$2:$C$8,3, FALSE)</f>
        <v>20-70</v>
      </c>
      <c r="F317" s="18" t="s">
        <v>35</v>
      </c>
      <c r="G317" s="18" t="s">
        <v>37</v>
      </c>
      <c r="H317" s="19">
        <v>137</v>
      </c>
      <c r="I317" s="18" t="s">
        <v>12</v>
      </c>
      <c r="J317" s="20" t="s">
        <v>13</v>
      </c>
    </row>
    <row r="318" spans="1:10" ht="12.75">
      <c r="A318" s="24" t="str">
        <f>HYPERLINK("https://www.dndbeyond.com/magic-items/hewards-hireling-armor", "Heward's Hireling Armor")</f>
        <v>Heward's Hireling Armor</v>
      </c>
      <c r="B318" s="6"/>
      <c r="C318" s="7"/>
      <c r="D318" s="18" t="str">
        <f>VLOOKUP(F318,'Price Ranges'!$A$2:$B$8,2, FALSE)</f>
        <v>5001-50000</v>
      </c>
      <c r="E318" s="8" t="str">
        <f>VLOOKUP(F318,'Price Ranges'!$A$2:$C$8,3, FALSE)</f>
        <v>20000-50000</v>
      </c>
      <c r="F318" s="18" t="s">
        <v>10</v>
      </c>
      <c r="G318" s="18" t="s">
        <v>50</v>
      </c>
      <c r="H318" s="18"/>
      <c r="I318" s="18" t="s">
        <v>21</v>
      </c>
      <c r="J318" s="20" t="s">
        <v>15</v>
      </c>
    </row>
    <row r="319" spans="1:10" ht="12.75">
      <c r="A319" s="5" t="str">
        <f>HYPERLINK("https://www.dndbeyond.com/magic-items/hide-of-the-feral-guardian", "Hide of the Feral Guardian")</f>
        <v>Hide of the Feral Guardian</v>
      </c>
      <c r="B319" s="6"/>
      <c r="C319" s="7"/>
      <c r="D319" s="8" t="str">
        <f>VLOOKUP(F319,'Price Ranges'!$A$2:$B$8,2, FALSE)</f>
        <v>50001+</v>
      </c>
      <c r="E319" s="8" t="str">
        <f>VLOOKUP(F319,'Price Ranges'!$A$2:$C$8,3, FALSE)</f>
        <v>50000-300000</v>
      </c>
      <c r="F319" s="9" t="s">
        <v>31</v>
      </c>
      <c r="G319" s="9" t="s">
        <v>17</v>
      </c>
      <c r="H319" s="12">
        <v>271</v>
      </c>
      <c r="I319" s="9" t="s">
        <v>21</v>
      </c>
      <c r="J319" s="13" t="s">
        <v>15</v>
      </c>
    </row>
    <row r="320" spans="1:10" ht="12.75">
      <c r="A320" s="24" t="str">
        <f>HYPERLINK("https://www.dndbeyond.com/magic-items/holy-avenger", "Holy Avenger (any sword)")</f>
        <v>Holy Avenger (any sword)</v>
      </c>
      <c r="B320" s="16">
        <v>165000</v>
      </c>
      <c r="C320" s="21">
        <v>65000</v>
      </c>
      <c r="D320" s="18" t="str">
        <f>VLOOKUP(F320,'Price Ranges'!$A$2:$B$8,2, FALSE)</f>
        <v>50001+</v>
      </c>
      <c r="E320" s="8" t="str">
        <f>VLOOKUP(F320,'Price Ranges'!$A$2:$C$8,3, FALSE)</f>
        <v>50000-300000</v>
      </c>
      <c r="F320" s="18" t="s">
        <v>31</v>
      </c>
      <c r="G320" s="18" t="s">
        <v>20</v>
      </c>
      <c r="H320" s="19">
        <v>174</v>
      </c>
      <c r="I320" s="18" t="s">
        <v>18</v>
      </c>
      <c r="J320" s="20" t="s">
        <v>15</v>
      </c>
    </row>
    <row r="321" spans="1:10" ht="12.75">
      <c r="A321" s="24" t="str">
        <f>HYPERLINK("https://www.dndbeyond.com/magic-items/holy-symbol-of-ravenkind", "Holy Symbol Of Ravenkind")</f>
        <v>Holy Symbol Of Ravenkind</v>
      </c>
      <c r="B321" s="6"/>
      <c r="C321" s="22">
        <v>51000</v>
      </c>
      <c r="D321" s="18" t="str">
        <f>VLOOKUP(F321,'Price Ranges'!$A$2:$B$8,2, FALSE)</f>
        <v>50001+</v>
      </c>
      <c r="E321" s="8" t="str">
        <f>VLOOKUP(F321,'Price Ranges'!$A$2:$C$8,3, FALSE)</f>
        <v>50000-300000</v>
      </c>
      <c r="F321" s="18" t="s">
        <v>31</v>
      </c>
      <c r="G321" s="18" t="s">
        <v>52</v>
      </c>
      <c r="H321" s="23">
        <v>222</v>
      </c>
      <c r="I321" s="18" t="s">
        <v>26</v>
      </c>
      <c r="J321" s="20" t="s">
        <v>15</v>
      </c>
    </row>
    <row r="322" spans="1:10" ht="12.75">
      <c r="A322" s="5" t="str">
        <f>HYPERLINK("https://www.dndbeyond.com/magic-items/hook-of-fishers-delight", "Hook of Fisher's Delight")</f>
        <v>Hook of Fisher's Delight</v>
      </c>
      <c r="B322" s="6"/>
      <c r="C322" s="7"/>
      <c r="D322" s="8" t="str">
        <f>VLOOKUP(F322,'Price Ranges'!$A$2:$B$8,2, FALSE)</f>
        <v>501-5000</v>
      </c>
      <c r="E322" s="8" t="str">
        <f>VLOOKUP(F322,'Price Ranges'!$A$2:$C$8,3, FALSE)</f>
        <v>2000-20000</v>
      </c>
      <c r="F322" s="9" t="s">
        <v>16</v>
      </c>
      <c r="G322" s="9" t="s">
        <v>11</v>
      </c>
      <c r="H322" s="10"/>
      <c r="I322" s="8" t="s">
        <v>12</v>
      </c>
      <c r="J322" s="11" t="s">
        <v>13</v>
      </c>
    </row>
    <row r="323" spans="1:10" ht="12.75">
      <c r="A323" s="24" t="str">
        <f>HYPERLINK("https://www.dndbeyond.com/magic-items/horn-of-blasting", "Horn Of Blasting")</f>
        <v>Horn Of Blasting</v>
      </c>
      <c r="B323" s="16">
        <v>450</v>
      </c>
      <c r="C323" s="21">
        <v>2500</v>
      </c>
      <c r="D323" s="18" t="str">
        <f>VLOOKUP(F323,'Price Ranges'!$A$2:$B$8,2, FALSE)</f>
        <v>501-5000</v>
      </c>
      <c r="E323" s="8" t="str">
        <f>VLOOKUP(F323,'Price Ranges'!$A$2:$C$8,3, FALSE)</f>
        <v>2000-20000</v>
      </c>
      <c r="F323" s="18" t="s">
        <v>16</v>
      </c>
      <c r="G323" s="18" t="s">
        <v>20</v>
      </c>
      <c r="H323" s="19">
        <v>174</v>
      </c>
      <c r="I323" s="18" t="s">
        <v>12</v>
      </c>
      <c r="J323" s="20" t="s">
        <v>13</v>
      </c>
    </row>
    <row r="324" spans="1:10" ht="12.75">
      <c r="A324" s="24" t="str">
        <f>HYPERLINK("https://www.dndbeyond.com/magic-items/horn-of-silent-alarm", "Horn Of Silent Alarm")</f>
        <v>Horn Of Silent Alarm</v>
      </c>
      <c r="B324" s="6"/>
      <c r="C324" s="22">
        <v>85</v>
      </c>
      <c r="D324" s="18" t="str">
        <f>VLOOKUP(F324,'Price Ranges'!$A$2:$B$8,2, FALSE)</f>
        <v>50-100</v>
      </c>
      <c r="E324" s="8" t="str">
        <f>VLOOKUP(F324,'Price Ranges'!$A$2:$C$8,3, FALSE)</f>
        <v>20-70</v>
      </c>
      <c r="F324" s="18" t="s">
        <v>35</v>
      </c>
      <c r="G324" s="18" t="s">
        <v>37</v>
      </c>
      <c r="H324" s="19">
        <v>137</v>
      </c>
      <c r="I324" s="18" t="s">
        <v>12</v>
      </c>
      <c r="J324" s="20" t="s">
        <v>13</v>
      </c>
    </row>
    <row r="325" spans="1:10" ht="12.75">
      <c r="A325" s="24" t="str">
        <f>HYPERLINK("https://www.dndbeyond.com/magic-items/horn-of-the-endless-maze", "Horn Of The Endless Maze")</f>
        <v>Horn Of The Endless Maze</v>
      </c>
      <c r="B325" s="6"/>
      <c r="C325" s="26"/>
      <c r="D325" s="18" t="str">
        <f>VLOOKUP(F325,'Price Ranges'!$A$2:$B$8,2, FALSE)</f>
        <v>501-5000</v>
      </c>
      <c r="E325" s="8" t="str">
        <f>VLOOKUP(F325,'Price Ranges'!$A$2:$C$8,3, FALSE)</f>
        <v>2000-20000</v>
      </c>
      <c r="F325" s="18" t="s">
        <v>16</v>
      </c>
      <c r="G325" s="18" t="s">
        <v>46</v>
      </c>
      <c r="H325" s="26"/>
      <c r="I325" s="18" t="s">
        <v>12</v>
      </c>
      <c r="J325" s="20" t="s">
        <v>13</v>
      </c>
    </row>
    <row r="326" spans="1:10" ht="12.75">
      <c r="A326" s="24" t="str">
        <f>HYPERLINK("https://www.dndbeyond.com/magic-items/horn-of-valhalla", "Horn Of Valhalla (Brass)")</f>
        <v>Horn Of Valhalla (Brass)</v>
      </c>
      <c r="B326" s="16">
        <v>8400</v>
      </c>
      <c r="C326" s="21">
        <v>5000</v>
      </c>
      <c r="D326" s="18" t="str">
        <f>VLOOKUP(F326,'Price Ranges'!$A$2:$B$8,2, FALSE)</f>
        <v>501-5000</v>
      </c>
      <c r="E326" s="8" t="str">
        <f>VLOOKUP(F326,'Price Ranges'!$A$2:$C$8,3, FALSE)</f>
        <v>2000-20000</v>
      </c>
      <c r="F326" s="18" t="s">
        <v>16</v>
      </c>
      <c r="G326" s="18" t="s">
        <v>20</v>
      </c>
      <c r="H326" s="19">
        <v>175</v>
      </c>
      <c r="I326" s="18" t="s">
        <v>12</v>
      </c>
      <c r="J326" s="20" t="s">
        <v>13</v>
      </c>
    </row>
    <row r="327" spans="1:10" ht="12.75">
      <c r="A327" s="24" t="str">
        <f>HYPERLINK("https://www.dndbeyond.com/magic-items/horn-of-valhalla", "Horn Of Valhalla (Bronze)")</f>
        <v>Horn Of Valhalla (Bronze)</v>
      </c>
      <c r="B327" s="16">
        <v>11200</v>
      </c>
      <c r="C327" s="21">
        <v>20000</v>
      </c>
      <c r="D327" s="18" t="str">
        <f>VLOOKUP(F327,'Price Ranges'!$A$2:$B$8,2, FALSE)</f>
        <v>5001-50000</v>
      </c>
      <c r="E327" s="8" t="str">
        <f>VLOOKUP(F327,'Price Ranges'!$A$2:$C$8,3, FALSE)</f>
        <v>20000-50000</v>
      </c>
      <c r="F327" s="18" t="s">
        <v>10</v>
      </c>
      <c r="G327" s="18" t="s">
        <v>20</v>
      </c>
      <c r="H327" s="19">
        <v>175</v>
      </c>
      <c r="I327" s="18" t="s">
        <v>12</v>
      </c>
      <c r="J327" s="20" t="s">
        <v>13</v>
      </c>
    </row>
    <row r="328" spans="1:10" ht="12.75">
      <c r="A328" s="24" t="str">
        <f>HYPERLINK("https://www.dndbeyond.com/magic-items/horn-of-valhalla", "Horn Of Valhalla (Iron)")</f>
        <v>Horn Of Valhalla (Iron)</v>
      </c>
      <c r="B328" s="16">
        <v>14000</v>
      </c>
      <c r="C328" s="21">
        <v>50000</v>
      </c>
      <c r="D328" s="18" t="str">
        <f>VLOOKUP(F328,'Price Ranges'!$A$2:$B$8,2, FALSE)</f>
        <v>50001+</v>
      </c>
      <c r="E328" s="8" t="str">
        <f>VLOOKUP(F328,'Price Ranges'!$A$2:$C$8,3, FALSE)</f>
        <v>50000-300000</v>
      </c>
      <c r="F328" s="18" t="s">
        <v>31</v>
      </c>
      <c r="G328" s="18" t="s">
        <v>20</v>
      </c>
      <c r="H328" s="19">
        <v>175</v>
      </c>
      <c r="I328" s="18" t="s">
        <v>12</v>
      </c>
      <c r="J328" s="20" t="s">
        <v>13</v>
      </c>
    </row>
    <row r="329" spans="1:10" ht="12.75">
      <c r="A329" s="24" t="str">
        <f>HYPERLINK("https://www.dndbeyond.com/magic-items/horn-of-valhalla", "Horn Of Valhalla (Silver)")</f>
        <v>Horn Of Valhalla (Silver)</v>
      </c>
      <c r="B329" s="16">
        <v>5600</v>
      </c>
      <c r="C329" s="21">
        <v>5000</v>
      </c>
      <c r="D329" s="18" t="str">
        <f>VLOOKUP(F329,'Price Ranges'!$A$2:$B$8,2, FALSE)</f>
        <v>501-5000</v>
      </c>
      <c r="E329" s="8" t="str">
        <f>VLOOKUP(F329,'Price Ranges'!$A$2:$C$8,3, FALSE)</f>
        <v>2000-20000</v>
      </c>
      <c r="F329" s="18" t="s">
        <v>16</v>
      </c>
      <c r="G329" s="18" t="s">
        <v>20</v>
      </c>
      <c r="H329" s="19">
        <v>175</v>
      </c>
      <c r="I329" s="18" t="s">
        <v>12</v>
      </c>
      <c r="J329" s="20" t="s">
        <v>13</v>
      </c>
    </row>
    <row r="330" spans="1:10" ht="12.75">
      <c r="A330" s="24" t="str">
        <f>HYPERLINK("https://www.dndbeyond.com/magic-items/horned-ring", "Horned Ring")</f>
        <v>Horned Ring</v>
      </c>
      <c r="B330" s="6"/>
      <c r="C330" s="7"/>
      <c r="D330" s="18" t="str">
        <f>VLOOKUP(F330,'Price Ranges'!$A$2:$B$8,2, FALSE)</f>
        <v>5001-50000</v>
      </c>
      <c r="E330" s="8" t="str">
        <f>VLOOKUP(F330,'Price Ranges'!$A$2:$C$8,3, FALSE)</f>
        <v>20000-50000</v>
      </c>
      <c r="F330" s="18" t="s">
        <v>10</v>
      </c>
      <c r="G330" s="18" t="s">
        <v>46</v>
      </c>
      <c r="H330" s="26"/>
      <c r="I330" s="18" t="s">
        <v>41</v>
      </c>
      <c r="J330" s="20" t="s">
        <v>15</v>
      </c>
    </row>
    <row r="331" spans="1:10" ht="12.75">
      <c r="A331" s="24" t="str">
        <f>HYPERLINK("https://www.dndbeyond.com/magic-items/horseshoes-of-a-zephyr", "Horseshoes Of A Zephyr")</f>
        <v>Horseshoes Of A Zephyr</v>
      </c>
      <c r="B331" s="16">
        <v>1500</v>
      </c>
      <c r="C331" s="21">
        <v>6000</v>
      </c>
      <c r="D331" s="18" t="str">
        <f>VLOOKUP(F331,'Price Ranges'!$A$2:$B$8,2, FALSE)</f>
        <v>5001-50000</v>
      </c>
      <c r="E331" s="8" t="str">
        <f>VLOOKUP(F331,'Price Ranges'!$A$2:$C$8,3, FALSE)</f>
        <v>20000-50000</v>
      </c>
      <c r="F331" s="18" t="s">
        <v>10</v>
      </c>
      <c r="G331" s="18" t="s">
        <v>20</v>
      </c>
      <c r="H331" s="19">
        <v>175</v>
      </c>
      <c r="I331" s="18" t="s">
        <v>12</v>
      </c>
      <c r="J331" s="20" t="s">
        <v>13</v>
      </c>
    </row>
    <row r="332" spans="1:10" ht="12.75">
      <c r="A332" s="24" t="str">
        <f>HYPERLINK("https://www.dndbeyond.com/magic-items/horseshoes-of-speed", "Horseshoes Of Speed")</f>
        <v>Horseshoes Of Speed</v>
      </c>
      <c r="B332" s="16">
        <v>5000</v>
      </c>
      <c r="C332" s="21">
        <v>3000</v>
      </c>
      <c r="D332" s="18" t="str">
        <f>VLOOKUP(F332,'Price Ranges'!$A$2:$B$8,2, FALSE)</f>
        <v>501-5000</v>
      </c>
      <c r="E332" s="8" t="str">
        <f>VLOOKUP(F332,'Price Ranges'!$A$2:$C$8,3, FALSE)</f>
        <v>2000-20000</v>
      </c>
      <c r="F332" s="18" t="s">
        <v>16</v>
      </c>
      <c r="G332" s="18" t="s">
        <v>20</v>
      </c>
      <c r="H332" s="19">
        <v>175</v>
      </c>
      <c r="I332" s="18" t="s">
        <v>12</v>
      </c>
      <c r="J332" s="20" t="s">
        <v>13</v>
      </c>
    </row>
    <row r="333" spans="1:10" ht="12.75">
      <c r="A333" s="5" t="str">
        <f>HYPERLINK("https://www.dndbeyond.com/magic-items/hunters-coat", "Hunter's Coat")</f>
        <v>Hunter's Coat</v>
      </c>
      <c r="B333" s="6"/>
      <c r="C333" s="14">
        <v>5000</v>
      </c>
      <c r="D333" s="8" t="str">
        <f>VLOOKUP(F333,'Price Ranges'!$A$2:$B$8,2, FALSE)</f>
        <v>5001-50000</v>
      </c>
      <c r="E333" s="8" t="str">
        <f>VLOOKUP(F333,'Price Ranges'!$A$2:$C$8,3, FALSE)</f>
        <v>20000-50000</v>
      </c>
      <c r="F333" s="9" t="s">
        <v>10</v>
      </c>
      <c r="G333" s="9" t="s">
        <v>17</v>
      </c>
      <c r="H333" s="12">
        <v>267</v>
      </c>
      <c r="I333" s="9" t="s">
        <v>21</v>
      </c>
      <c r="J333" s="13" t="s">
        <v>15</v>
      </c>
    </row>
    <row r="334" spans="1:10" ht="12.75">
      <c r="A334" s="24" t="str">
        <f>HYPERLINK("https://www.dndbeyond.com/magic-items/icon-of-ravenloft", "Icon Of Ravenloft")</f>
        <v>Icon Of Ravenloft</v>
      </c>
      <c r="B334" s="6"/>
      <c r="C334" s="22">
        <v>50500</v>
      </c>
      <c r="D334" s="18" t="str">
        <f>VLOOKUP(F334,'Price Ranges'!$A$2:$B$8,2, FALSE)</f>
        <v>50001+</v>
      </c>
      <c r="E334" s="8" t="str">
        <f>VLOOKUP(F334,'Price Ranges'!$A$2:$C$8,3, FALSE)</f>
        <v>50000-300000</v>
      </c>
      <c r="F334" s="18" t="s">
        <v>31</v>
      </c>
      <c r="G334" s="18" t="s">
        <v>52</v>
      </c>
      <c r="H334" s="23">
        <v>222</v>
      </c>
      <c r="I334" s="18" t="s">
        <v>12</v>
      </c>
      <c r="J334" s="20" t="s">
        <v>15</v>
      </c>
    </row>
    <row r="335" spans="1:10" ht="12.75">
      <c r="A335" s="5" t="str">
        <f>HYPERLINK("https://www.dndbeyond.com/magic-items/illuminators-tattoo", "Illuminator's Tattoo")</f>
        <v>Illuminator's Tattoo</v>
      </c>
      <c r="B335" s="6"/>
      <c r="C335" s="7"/>
      <c r="D335" s="8" t="str">
        <f>VLOOKUP(F335,'Price Ranges'!$A$2:$B$8,2, FALSE)</f>
        <v>50-100</v>
      </c>
      <c r="E335" s="8" t="str">
        <f>VLOOKUP(F335,'Price Ranges'!$A$2:$C$8,3, FALSE)</f>
        <v>20-70</v>
      </c>
      <c r="F335" s="12" t="s">
        <v>35</v>
      </c>
      <c r="G335" s="12" t="s">
        <v>14</v>
      </c>
      <c r="H335" s="10"/>
      <c r="I335" s="8" t="s">
        <v>12</v>
      </c>
      <c r="J335" s="13" t="s">
        <v>15</v>
      </c>
    </row>
    <row r="336" spans="1:10" ht="12.75">
      <c r="A336" s="24" t="str">
        <f>HYPERLINK("https://www.dndbeyond.com/magic-items/illusionists-bracers", "Illusionists Bracers")</f>
        <v>Illusionists Bracers</v>
      </c>
      <c r="B336" s="6"/>
      <c r="C336" s="22">
        <v>13500</v>
      </c>
      <c r="D336" s="18" t="str">
        <f>VLOOKUP(F336,'Price Ranges'!$A$2:$B$8,2, FALSE)</f>
        <v>5001-50000</v>
      </c>
      <c r="E336" s="8" t="str">
        <f>VLOOKUP(F336,'Price Ranges'!$A$2:$C$8,3, FALSE)</f>
        <v>20000-50000</v>
      </c>
      <c r="F336" s="18" t="s">
        <v>10</v>
      </c>
      <c r="G336" s="18" t="s">
        <v>69</v>
      </c>
      <c r="H336" s="35">
        <v>178</v>
      </c>
      <c r="I336" s="18" t="s">
        <v>57</v>
      </c>
      <c r="J336" s="20" t="s">
        <v>15</v>
      </c>
    </row>
    <row r="337" spans="1:10" ht="12.75">
      <c r="A337" s="5" t="str">
        <f>HYPERLINK("https://www.dndbeyond.com/magic-items/imbued-wood-focus", "Imbued Wood Focus")</f>
        <v>Imbued Wood Focus</v>
      </c>
      <c r="B337" s="6"/>
      <c r="C337" s="14">
        <v>75</v>
      </c>
      <c r="D337" s="8" t="str">
        <f>VLOOKUP(F337,'Price Ranges'!$A$2:$B$8,2, FALSE)</f>
        <v>50-100</v>
      </c>
      <c r="E337" s="8" t="str">
        <f>VLOOKUP(F337,'Price Ranges'!$A$2:$C$8,3, FALSE)</f>
        <v>20-70</v>
      </c>
      <c r="F337" s="9" t="s">
        <v>35</v>
      </c>
      <c r="G337" s="9" t="s">
        <v>33</v>
      </c>
      <c r="H337" s="10"/>
      <c r="I337" s="9" t="s">
        <v>12</v>
      </c>
      <c r="J337" s="13" t="s">
        <v>15</v>
      </c>
    </row>
    <row r="338" spans="1:10" ht="12.75">
      <c r="A338" s="24" t="str">
        <f>HYPERLINK("https://www.dndbeyond.com/magic-items/immovable-rod", "Immovable Rod")</f>
        <v>Immovable Rod</v>
      </c>
      <c r="B338" s="16">
        <v>5000</v>
      </c>
      <c r="C338" s="21">
        <v>500</v>
      </c>
      <c r="D338" s="18" t="str">
        <f>VLOOKUP(F338,'Price Ranges'!$A$2:$B$8,2, FALSE)</f>
        <v>101-500</v>
      </c>
      <c r="E338" s="8" t="str">
        <f>VLOOKUP(F338,'Price Ranges'!$A$2:$C$8,3, FALSE)</f>
        <v>100-600</v>
      </c>
      <c r="F338" s="18" t="s">
        <v>19</v>
      </c>
      <c r="G338" s="18" t="s">
        <v>20</v>
      </c>
      <c r="H338" s="19">
        <v>175</v>
      </c>
      <c r="I338" s="18" t="s">
        <v>51</v>
      </c>
      <c r="J338" s="13" t="s">
        <v>13</v>
      </c>
    </row>
    <row r="339" spans="1:10" ht="12.75">
      <c r="A339" s="24" t="str">
        <f>HYPERLINK("https://www.dndbeyond.com/magic-items/infernal-puzzle-box", "Infernal Puzzle Box")</f>
        <v>Infernal Puzzle Box</v>
      </c>
      <c r="B339" s="6"/>
      <c r="C339" s="14">
        <v>3500</v>
      </c>
      <c r="D339" s="18" t="str">
        <f>VLOOKUP(F339,'Price Ranges'!$A$2:$B$8,2, FALSE)</f>
        <v>101-500</v>
      </c>
      <c r="E339" s="8" t="str">
        <f>VLOOKUP(F339,'Price Ranges'!$A$2:$C$8,3, FALSE)</f>
        <v>100-600</v>
      </c>
      <c r="F339" s="18" t="s">
        <v>19</v>
      </c>
      <c r="G339" s="18" t="s">
        <v>44</v>
      </c>
      <c r="H339" s="26"/>
      <c r="I339" s="18" t="s">
        <v>12</v>
      </c>
      <c r="J339" s="20" t="s">
        <v>13</v>
      </c>
    </row>
    <row r="340" spans="1:10" ht="12.75">
      <c r="A340" s="24" t="str">
        <f>HYPERLINK("https://www.dndbeyond.com/magic-items/infernal-tack", "Infernal Tack")</f>
        <v>Infernal Tack</v>
      </c>
      <c r="B340" s="6"/>
      <c r="C340" s="14">
        <v>8000</v>
      </c>
      <c r="D340" s="18" t="str">
        <f>VLOOKUP(F340,'Price Ranges'!$A$2:$B$8,2, FALSE)</f>
        <v>50001+</v>
      </c>
      <c r="E340" s="8" t="str">
        <f>VLOOKUP(F340,'Price Ranges'!$A$2:$C$8,3, FALSE)</f>
        <v>50000-300000</v>
      </c>
      <c r="F340" s="18" t="s">
        <v>31</v>
      </c>
      <c r="G340" s="18" t="s">
        <v>44</v>
      </c>
      <c r="H340" s="26"/>
      <c r="I340" s="18" t="s">
        <v>12</v>
      </c>
      <c r="J340" s="20" t="s">
        <v>15</v>
      </c>
    </row>
    <row r="341" spans="1:10" ht="12.75">
      <c r="A341" s="5" t="str">
        <f>HYPERLINK("https://www.dndbeyond.com/magic-items/infiltrators-key", "Infiltrator's Key")</f>
        <v>Infiltrator's Key</v>
      </c>
      <c r="B341" s="6"/>
      <c r="C341" s="7"/>
      <c r="D341" s="8" t="str">
        <f>VLOOKUP(F341,'Price Ranges'!$A$2:$B$8,2, FALSE)</f>
        <v>50001+</v>
      </c>
      <c r="E341" s="8" t="str">
        <f>VLOOKUP(F341,'Price Ranges'!$A$2:$C$8,3, FALSE)</f>
        <v>50000-300000</v>
      </c>
      <c r="F341" s="9" t="s">
        <v>31</v>
      </c>
      <c r="G341" s="9" t="s">
        <v>17</v>
      </c>
      <c r="H341" s="12">
        <v>272</v>
      </c>
      <c r="I341" s="9" t="s">
        <v>29</v>
      </c>
      <c r="J341" s="13" t="s">
        <v>15</v>
      </c>
    </row>
    <row r="342" spans="1:10" ht="12.75">
      <c r="A342" s="24" t="str">
        <f>HYPERLINK("https://www.dndbeyond.com/magic-items/ingot-of-the-skold-rune", "Ingot Of The Skold Rune")</f>
        <v>Ingot Of The Skold Rune</v>
      </c>
      <c r="B342" s="6"/>
      <c r="C342" s="22">
        <v>15000</v>
      </c>
      <c r="D342" s="18" t="str">
        <f>VLOOKUP(F342,'Price Ranges'!$A$2:$B$8,2, FALSE)</f>
        <v>5001-50000</v>
      </c>
      <c r="E342" s="8" t="str">
        <f>VLOOKUP(F342,'Price Ranges'!$A$2:$C$8,3, FALSE)</f>
        <v>20000-50000</v>
      </c>
      <c r="F342" s="18" t="s">
        <v>10</v>
      </c>
      <c r="G342" s="18" t="s">
        <v>43</v>
      </c>
      <c r="H342" s="23">
        <v>234</v>
      </c>
      <c r="I342" s="18" t="s">
        <v>12</v>
      </c>
      <c r="J342" s="20" t="s">
        <v>15</v>
      </c>
    </row>
    <row r="343" spans="1:10" ht="12.75">
      <c r="A343" s="24" t="str">
        <f t="shared" ref="A343:A344" si="8">HYPERLINK("https://www.dndbeyond.com/magic-items/inquisitives-goggles", "Inquisitives Goggles")</f>
        <v>Inquisitives Goggles</v>
      </c>
      <c r="B343" s="6"/>
      <c r="C343" s="7"/>
      <c r="D343" s="18" t="str">
        <f>VLOOKUP(F343,'Price Ranges'!$A$2:$B$8,2, FALSE)</f>
        <v>101-500</v>
      </c>
      <c r="E343" s="8" t="str">
        <f>VLOOKUP(F343,'Price Ranges'!$A$2:$C$8,3, FALSE)</f>
        <v>100-600</v>
      </c>
      <c r="F343" s="18" t="s">
        <v>19</v>
      </c>
      <c r="G343" s="18" t="s">
        <v>36</v>
      </c>
      <c r="H343" s="26"/>
      <c r="I343" s="18" t="s">
        <v>12</v>
      </c>
      <c r="J343" s="20" t="s">
        <v>15</v>
      </c>
    </row>
    <row r="344" spans="1:10" ht="12.75">
      <c r="A344" s="5" t="str">
        <f t="shared" si="8"/>
        <v>Inquisitives Goggles</v>
      </c>
      <c r="B344" s="6"/>
      <c r="C344" s="7"/>
      <c r="D344" s="8" t="str">
        <f>VLOOKUP(F344,'Price Ranges'!$A$2:$B$8,2, FALSE)</f>
        <v>101-500</v>
      </c>
      <c r="E344" s="8" t="str">
        <f>VLOOKUP(F344,'Price Ranges'!$A$2:$C$8,3, FALSE)</f>
        <v>100-600</v>
      </c>
      <c r="F344" s="9" t="s">
        <v>19</v>
      </c>
      <c r="G344" s="9" t="s">
        <v>33</v>
      </c>
      <c r="H344" s="8"/>
      <c r="I344" s="9" t="s">
        <v>12</v>
      </c>
      <c r="J344" s="13" t="s">
        <v>15</v>
      </c>
    </row>
    <row r="345" spans="1:10" ht="12.75">
      <c r="A345" s="24" t="str">
        <f>HYPERLINK("https://www.dndbeyond.com/magic-items/insignia-of-claws", "Insignia Of Claws")</f>
        <v>Insignia Of Claws</v>
      </c>
      <c r="B345" s="6"/>
      <c r="C345" s="22">
        <v>450</v>
      </c>
      <c r="D345" s="18" t="str">
        <f>VLOOKUP(F345,'Price Ranges'!$A$2:$B$8,2, FALSE)</f>
        <v>101-500</v>
      </c>
      <c r="E345" s="8" t="str">
        <f>VLOOKUP(F345,'Price Ranges'!$A$2:$C$8,3, FALSE)</f>
        <v>100-600</v>
      </c>
      <c r="F345" s="18" t="s">
        <v>19</v>
      </c>
      <c r="G345" s="18" t="s">
        <v>47</v>
      </c>
      <c r="H345" s="23">
        <v>94</v>
      </c>
      <c r="I345" s="18" t="s">
        <v>12</v>
      </c>
      <c r="J345" s="20" t="s">
        <v>13</v>
      </c>
    </row>
    <row r="346" spans="1:10" ht="12.75">
      <c r="A346" s="24" t="str">
        <f>HYPERLINK("https://www.dndbeyond.com/magic-items/instant-fortress", "Instant Fortress")</f>
        <v>Instant Fortress</v>
      </c>
      <c r="B346" s="6"/>
      <c r="C346" s="14">
        <v>5000</v>
      </c>
      <c r="D346" s="18" t="str">
        <f>VLOOKUP(F346,'Price Ranges'!$A$2:$B$8,2, FALSE)</f>
        <v>501-5000</v>
      </c>
      <c r="E346" s="8" t="str">
        <f>VLOOKUP(F346,'Price Ranges'!$A$2:$C$8,3, FALSE)</f>
        <v>2000-20000</v>
      </c>
      <c r="F346" s="18" t="s">
        <v>16</v>
      </c>
      <c r="G346" s="18" t="s">
        <v>32</v>
      </c>
      <c r="H346" s="18"/>
      <c r="I346" s="18" t="s">
        <v>12</v>
      </c>
      <c r="J346" s="20" t="s">
        <v>13</v>
      </c>
    </row>
    <row r="347" spans="1:10" ht="12.75">
      <c r="A347" s="24" t="str">
        <f>HYPERLINK("https://www.dndbeyond.com/magic-items/instrument-of-illusions", "Instrument Of Illusions")</f>
        <v>Instrument Of Illusions</v>
      </c>
      <c r="B347" s="6"/>
      <c r="C347" s="22">
        <v>100</v>
      </c>
      <c r="D347" s="18" t="str">
        <f>VLOOKUP(F347,'Price Ranges'!$A$2:$B$8,2, FALSE)</f>
        <v>50-100</v>
      </c>
      <c r="E347" s="8" t="str">
        <f>VLOOKUP(F347,'Price Ranges'!$A$2:$C$8,3, FALSE)</f>
        <v>20-70</v>
      </c>
      <c r="F347" s="18" t="s">
        <v>35</v>
      </c>
      <c r="G347" s="18" t="s">
        <v>37</v>
      </c>
      <c r="H347" s="19">
        <v>137</v>
      </c>
      <c r="I347" s="18" t="s">
        <v>12</v>
      </c>
      <c r="J347" s="20" t="s">
        <v>15</v>
      </c>
    </row>
    <row r="348" spans="1:10" ht="12.75">
      <c r="A348" s="24" t="str">
        <f>HYPERLINK("https://www.dndbeyond.com/magic-items/instrument-of-scribing", "Instrument Of Scribing")</f>
        <v>Instrument Of Scribing</v>
      </c>
      <c r="B348" s="6"/>
      <c r="C348" s="22">
        <v>80</v>
      </c>
      <c r="D348" s="18" t="str">
        <f>VLOOKUP(F348,'Price Ranges'!$A$2:$B$8,2, FALSE)</f>
        <v>50-100</v>
      </c>
      <c r="E348" s="8" t="str">
        <f>VLOOKUP(F348,'Price Ranges'!$A$2:$C$8,3, FALSE)</f>
        <v>20-70</v>
      </c>
      <c r="F348" s="18" t="s">
        <v>35</v>
      </c>
      <c r="G348" s="18" t="s">
        <v>37</v>
      </c>
      <c r="H348" s="19">
        <v>138</v>
      </c>
      <c r="I348" s="18" t="s">
        <v>12</v>
      </c>
      <c r="J348" s="20" t="s">
        <v>15</v>
      </c>
    </row>
    <row r="349" spans="1:10" ht="12.75">
      <c r="A349" s="24" t="str">
        <f>HYPERLINK("https://www.dndbeyond.com/magic-items/anstruth-harp", "Instrument of the Bards (Anstruth Harp)")</f>
        <v>Instrument of the Bards (Anstruth Harp)</v>
      </c>
      <c r="B349" s="16">
        <v>109000</v>
      </c>
      <c r="C349" s="19">
        <v>17500</v>
      </c>
      <c r="D349" s="18" t="str">
        <f>VLOOKUP(F349,'Price Ranges'!$A$2:$B$8,2, FALSE)</f>
        <v>5001-50000</v>
      </c>
      <c r="E349" s="8" t="str">
        <f>VLOOKUP(F349,'Price Ranges'!$A$2:$C$8,3, FALSE)</f>
        <v>20000-50000</v>
      </c>
      <c r="F349" s="18" t="s">
        <v>10</v>
      </c>
      <c r="G349" s="18" t="s">
        <v>20</v>
      </c>
      <c r="H349" s="19">
        <v>176</v>
      </c>
      <c r="I349" s="18" t="s">
        <v>12</v>
      </c>
      <c r="J349" s="20" t="s">
        <v>15</v>
      </c>
    </row>
    <row r="350" spans="1:10" ht="12.75">
      <c r="A350" s="24" t="str">
        <f>HYPERLINK("https://www.dndbeyond.com/magic-items/canaith-mandolin", "Instrument of the Bards (Canaith Mandolin)")</f>
        <v>Instrument of the Bards (Canaith Mandolin)</v>
      </c>
      <c r="B350" s="16">
        <v>30000</v>
      </c>
      <c r="C350" s="19">
        <v>3750</v>
      </c>
      <c r="D350" s="18" t="str">
        <f>VLOOKUP(F350,'Price Ranges'!$A$2:$B$8,2, FALSE)</f>
        <v>501-5000</v>
      </c>
      <c r="E350" s="8" t="str">
        <f>VLOOKUP(F350,'Price Ranges'!$A$2:$C$8,3, FALSE)</f>
        <v>2000-20000</v>
      </c>
      <c r="F350" s="18" t="s">
        <v>16</v>
      </c>
      <c r="G350" s="18" t="s">
        <v>20</v>
      </c>
      <c r="H350" s="19">
        <v>176</v>
      </c>
      <c r="I350" s="18" t="s">
        <v>12</v>
      </c>
      <c r="J350" s="20" t="s">
        <v>15</v>
      </c>
    </row>
    <row r="351" spans="1:10" ht="12.75">
      <c r="A351" s="24" t="str">
        <f>HYPERLINK("https://www.dndbeyond.com/magic-items/cli-lyre", "Instrument of the Bards (Cli Lyre)")</f>
        <v>Instrument of the Bards (Cli Lyre)</v>
      </c>
      <c r="B351" s="16">
        <v>35000</v>
      </c>
      <c r="C351" s="19">
        <v>4250</v>
      </c>
      <c r="D351" s="18" t="str">
        <f>VLOOKUP(F351,'Price Ranges'!$A$2:$B$8,2, FALSE)</f>
        <v>501-5000</v>
      </c>
      <c r="E351" s="8" t="str">
        <f>VLOOKUP(F351,'Price Ranges'!$A$2:$C$8,3, FALSE)</f>
        <v>2000-20000</v>
      </c>
      <c r="F351" s="18" t="s">
        <v>16</v>
      </c>
      <c r="G351" s="18" t="s">
        <v>20</v>
      </c>
      <c r="H351" s="19">
        <v>176</v>
      </c>
      <c r="I351" s="18" t="s">
        <v>12</v>
      </c>
      <c r="J351" s="20" t="s">
        <v>15</v>
      </c>
    </row>
    <row r="352" spans="1:10" ht="12.75">
      <c r="A352" s="24" t="str">
        <f>HYPERLINK("https://www.dndbeyond.com/magic-items/doss-lute", "Instrument of the Bards (Doss Lute)")</f>
        <v>Instrument of the Bards (Doss Lute)</v>
      </c>
      <c r="B352" s="16">
        <v>28500</v>
      </c>
      <c r="C352" s="19">
        <v>250</v>
      </c>
      <c r="D352" s="18" t="str">
        <f>VLOOKUP(F352,'Price Ranges'!$A$2:$B$8,2, FALSE)</f>
        <v>101-500</v>
      </c>
      <c r="E352" s="8" t="str">
        <f>VLOOKUP(F352,'Price Ranges'!$A$2:$C$8,3, FALSE)</f>
        <v>100-600</v>
      </c>
      <c r="F352" s="18" t="s">
        <v>19</v>
      </c>
      <c r="G352" s="18" t="s">
        <v>20</v>
      </c>
      <c r="H352" s="19">
        <v>176</v>
      </c>
      <c r="I352" s="18" t="s">
        <v>12</v>
      </c>
      <c r="J352" s="20" t="s">
        <v>15</v>
      </c>
    </row>
    <row r="353" spans="1:10" ht="12.75">
      <c r="A353" s="24" t="str">
        <f>HYPERLINK("https://www.dndbeyond.com/magic-items/fochlucan-bandore", "Instrument of the Bards (Fochulan Bandore)")</f>
        <v>Instrument of the Bards (Fochulan Bandore)</v>
      </c>
      <c r="B353" s="16">
        <v>26500</v>
      </c>
      <c r="C353" s="21">
        <v>350</v>
      </c>
      <c r="D353" s="18" t="str">
        <f>VLOOKUP(F353,'Price Ranges'!$A$2:$B$8,2, FALSE)</f>
        <v>101-500</v>
      </c>
      <c r="E353" s="8" t="str">
        <f>VLOOKUP(F353,'Price Ranges'!$A$2:$C$8,3, FALSE)</f>
        <v>100-600</v>
      </c>
      <c r="F353" s="18" t="s">
        <v>19</v>
      </c>
      <c r="G353" s="18" t="s">
        <v>20</v>
      </c>
      <c r="H353" s="19">
        <v>176</v>
      </c>
      <c r="I353" s="18" t="s">
        <v>12</v>
      </c>
      <c r="J353" s="20" t="s">
        <v>15</v>
      </c>
    </row>
    <row r="354" spans="1:10" ht="12.75">
      <c r="A354" s="24" t="str">
        <f>HYPERLINK("https://www.dndbeyond.com/magic-items/mac-fuirmidh-cittern", "Instrument of the Bards (Mac-Fuirmidh Cittern)")</f>
        <v>Instrument of the Bards (Mac-Fuirmidh Cittern)</v>
      </c>
      <c r="B354" s="16">
        <v>27000</v>
      </c>
      <c r="C354" s="21">
        <v>450</v>
      </c>
      <c r="D354" s="18" t="str">
        <f>VLOOKUP(F354,'Price Ranges'!$A$2:$B$8,2, FALSE)</f>
        <v>101-500</v>
      </c>
      <c r="E354" s="8" t="str">
        <f>VLOOKUP(F354,'Price Ranges'!$A$2:$C$8,3, FALSE)</f>
        <v>100-600</v>
      </c>
      <c r="F354" s="18" t="s">
        <v>19</v>
      </c>
      <c r="G354" s="18" t="s">
        <v>20</v>
      </c>
      <c r="H354" s="19">
        <v>176</v>
      </c>
      <c r="I354" s="18" t="s">
        <v>12</v>
      </c>
      <c r="J354" s="20" t="s">
        <v>15</v>
      </c>
    </row>
    <row r="355" spans="1:10" ht="12.75">
      <c r="A355" s="24" t="str">
        <f>HYPERLINK("https://www.dndbeyond.com/magic-items/ollamh-harp", "Instrument of the Bards (Ollamh Harp)")</f>
        <v>Instrument of the Bards (Ollamh Harp)</v>
      </c>
      <c r="B355" s="16">
        <v>125000</v>
      </c>
      <c r="C355" s="21">
        <v>51000</v>
      </c>
      <c r="D355" s="18" t="str">
        <f>VLOOKUP(F355,'Price Ranges'!$A$2:$B$8,2, FALSE)</f>
        <v>50001+</v>
      </c>
      <c r="E355" s="8" t="str">
        <f>VLOOKUP(F355,'Price Ranges'!$A$2:$C$8,3, FALSE)</f>
        <v>50000-300000</v>
      </c>
      <c r="F355" s="18" t="s">
        <v>31</v>
      </c>
      <c r="G355" s="18" t="s">
        <v>20</v>
      </c>
      <c r="H355" s="19">
        <v>176</v>
      </c>
      <c r="I355" s="18" t="s">
        <v>12</v>
      </c>
      <c r="J355" s="20" t="s">
        <v>15</v>
      </c>
    </row>
    <row r="356" spans="1:10" ht="12.75">
      <c r="A356" s="24" t="str">
        <f>HYPERLINK("https://www.dndbeyond.com/magic-items/ioun-stone", "Ioun Stone (Absorption)")</f>
        <v>Ioun Stone (Absorption)</v>
      </c>
      <c r="B356" s="16">
        <v>2400</v>
      </c>
      <c r="C356" s="21">
        <v>20000</v>
      </c>
      <c r="D356" s="18" t="str">
        <f>VLOOKUP(F356,'Price Ranges'!$A$2:$B$8,2, FALSE)</f>
        <v>5001-50000</v>
      </c>
      <c r="E356" s="8" t="str">
        <f>VLOOKUP(F356,'Price Ranges'!$A$2:$C$8,3, FALSE)</f>
        <v>20000-50000</v>
      </c>
      <c r="F356" s="18" t="s">
        <v>10</v>
      </c>
      <c r="G356" s="18" t="s">
        <v>20</v>
      </c>
      <c r="H356" s="19">
        <v>177</v>
      </c>
      <c r="I356" s="18" t="s">
        <v>58</v>
      </c>
      <c r="J356" s="20" t="s">
        <v>15</v>
      </c>
    </row>
    <row r="357" spans="1:10" ht="12.75">
      <c r="A357" s="24" t="str">
        <f>HYPERLINK("https://www.dndbeyond.com/magic-items/ioun-stone", "Ioun Stone (Agility)")</f>
        <v>Ioun Stone (Agility)</v>
      </c>
      <c r="B357" s="16">
        <v>3000</v>
      </c>
      <c r="C357" s="21">
        <v>8000</v>
      </c>
      <c r="D357" s="18" t="str">
        <f>VLOOKUP(F357,'Price Ranges'!$A$2:$B$8,2, FALSE)</f>
        <v>5001-50000</v>
      </c>
      <c r="E357" s="8" t="str">
        <f>VLOOKUP(F357,'Price Ranges'!$A$2:$C$8,3, FALSE)</f>
        <v>20000-50000</v>
      </c>
      <c r="F357" s="18" t="s">
        <v>10</v>
      </c>
      <c r="G357" s="18" t="s">
        <v>20</v>
      </c>
      <c r="H357" s="19">
        <v>177</v>
      </c>
      <c r="I357" s="18" t="s">
        <v>58</v>
      </c>
      <c r="J357" s="20" t="s">
        <v>15</v>
      </c>
    </row>
    <row r="358" spans="1:10" ht="12.75">
      <c r="A358" s="24" t="str">
        <f>HYPERLINK("https://www.dndbeyond.com/magic-items/ioun-stone", "Ioun Stone (Awareness)")</f>
        <v>Ioun Stone (Awareness)</v>
      </c>
      <c r="B358" s="16">
        <v>12000</v>
      </c>
      <c r="C358" s="21">
        <v>4000</v>
      </c>
      <c r="D358" s="18" t="str">
        <f>VLOOKUP(F358,'Price Ranges'!$A$2:$B$8,2, FALSE)</f>
        <v>501-5000</v>
      </c>
      <c r="E358" s="8" t="str">
        <f>VLOOKUP(F358,'Price Ranges'!$A$2:$C$8,3, FALSE)</f>
        <v>2000-20000</v>
      </c>
      <c r="F358" s="18" t="s">
        <v>16</v>
      </c>
      <c r="G358" s="18" t="s">
        <v>20</v>
      </c>
      <c r="H358" s="19">
        <v>177</v>
      </c>
      <c r="I358" s="18" t="s">
        <v>58</v>
      </c>
      <c r="J358" s="20" t="s">
        <v>15</v>
      </c>
    </row>
    <row r="359" spans="1:10" ht="12.75">
      <c r="A359" s="24" t="str">
        <f>HYPERLINK("https://www.dndbeyond.com/magic-items/ioun-stone", "Ioun Stone (Fortitude)")</f>
        <v>Ioun Stone (Fortitude)</v>
      </c>
      <c r="B359" s="16">
        <v>3000</v>
      </c>
      <c r="C359" s="21">
        <v>8000</v>
      </c>
      <c r="D359" s="18" t="str">
        <f>VLOOKUP(F359,'Price Ranges'!$A$2:$B$8,2, FALSE)</f>
        <v>5001-50000</v>
      </c>
      <c r="E359" s="8" t="str">
        <f>VLOOKUP(F359,'Price Ranges'!$A$2:$C$8,3, FALSE)</f>
        <v>20000-50000</v>
      </c>
      <c r="F359" s="18" t="s">
        <v>10</v>
      </c>
      <c r="G359" s="18" t="s">
        <v>20</v>
      </c>
      <c r="H359" s="19">
        <v>177</v>
      </c>
      <c r="I359" s="18" t="s">
        <v>58</v>
      </c>
      <c r="J359" s="20" t="s">
        <v>15</v>
      </c>
    </row>
    <row r="360" spans="1:10" ht="12.75">
      <c r="A360" s="24" t="str">
        <f>HYPERLINK("https://www.dndbeyond.com/magic-items/ioun-stone", "Ioun Stone (Greater Absorption)")</f>
        <v>Ioun Stone (Greater Absorption)</v>
      </c>
      <c r="B360" s="16">
        <v>31000</v>
      </c>
      <c r="C360" s="21">
        <v>60000</v>
      </c>
      <c r="D360" s="18" t="str">
        <f>VLOOKUP(F360,'Price Ranges'!$A$2:$B$8,2, FALSE)</f>
        <v>50001+</v>
      </c>
      <c r="E360" s="8" t="str">
        <f>VLOOKUP(F360,'Price Ranges'!$A$2:$C$8,3, FALSE)</f>
        <v>50000-300000</v>
      </c>
      <c r="F360" s="18" t="s">
        <v>31</v>
      </c>
      <c r="G360" s="18" t="s">
        <v>20</v>
      </c>
      <c r="H360" s="19">
        <v>177</v>
      </c>
      <c r="I360" s="18" t="s">
        <v>58</v>
      </c>
      <c r="J360" s="20" t="s">
        <v>15</v>
      </c>
    </row>
    <row r="361" spans="1:10" ht="12.75">
      <c r="A361" s="24" t="str">
        <f>HYPERLINK("https://www.dndbeyond.com/magic-items/ioun-stone", "Ioun Stone (Insight)")</f>
        <v>Ioun Stone (Insight)</v>
      </c>
      <c r="B361" s="16">
        <v>3000</v>
      </c>
      <c r="C361" s="21">
        <v>8000</v>
      </c>
      <c r="D361" s="18" t="str">
        <f>VLOOKUP(F361,'Price Ranges'!$A$2:$B$8,2, FALSE)</f>
        <v>5001-50000</v>
      </c>
      <c r="E361" s="8" t="str">
        <f>VLOOKUP(F361,'Price Ranges'!$A$2:$C$8,3, FALSE)</f>
        <v>20000-50000</v>
      </c>
      <c r="F361" s="18" t="s">
        <v>10</v>
      </c>
      <c r="G361" s="18" t="s">
        <v>20</v>
      </c>
      <c r="H361" s="19">
        <v>177</v>
      </c>
      <c r="I361" s="18" t="s">
        <v>58</v>
      </c>
      <c r="J361" s="20" t="s">
        <v>15</v>
      </c>
    </row>
    <row r="362" spans="1:10" ht="12.75">
      <c r="A362" s="24" t="str">
        <f>HYPERLINK("https://www.dndbeyond.com/magic-items/ioun-stone", "Ioun Stone (Intellect)")</f>
        <v>Ioun Stone (Intellect)</v>
      </c>
      <c r="B362" s="16">
        <v>3000</v>
      </c>
      <c r="C362" s="21">
        <v>8000</v>
      </c>
      <c r="D362" s="18" t="str">
        <f>VLOOKUP(F362,'Price Ranges'!$A$2:$B$8,2, FALSE)</f>
        <v>5001-50000</v>
      </c>
      <c r="E362" s="8" t="str">
        <f>VLOOKUP(F362,'Price Ranges'!$A$2:$C$8,3, FALSE)</f>
        <v>20000-50000</v>
      </c>
      <c r="F362" s="18" t="s">
        <v>10</v>
      </c>
      <c r="G362" s="18" t="s">
        <v>20</v>
      </c>
      <c r="H362" s="19">
        <v>177</v>
      </c>
      <c r="I362" s="18" t="s">
        <v>58</v>
      </c>
      <c r="J362" s="20" t="s">
        <v>15</v>
      </c>
    </row>
    <row r="363" spans="1:10" ht="12.75">
      <c r="A363" s="24" t="str">
        <f>HYPERLINK("https://www.dndbeyond.com/magic-items/ioun-stone", "Ioun Stone (Leadership)")</f>
        <v>Ioun Stone (Leadership)</v>
      </c>
      <c r="B363" s="16">
        <v>3000</v>
      </c>
      <c r="C363" s="21">
        <v>8000</v>
      </c>
      <c r="D363" s="18" t="str">
        <f>VLOOKUP(F363,'Price Ranges'!$A$2:$B$8,2, FALSE)</f>
        <v>5001-50000</v>
      </c>
      <c r="E363" s="8" t="str">
        <f>VLOOKUP(F363,'Price Ranges'!$A$2:$C$8,3, FALSE)</f>
        <v>20000-50000</v>
      </c>
      <c r="F363" s="18" t="s">
        <v>10</v>
      </c>
      <c r="G363" s="18" t="s">
        <v>20</v>
      </c>
      <c r="H363" s="19">
        <v>177</v>
      </c>
      <c r="I363" s="18" t="s">
        <v>58</v>
      </c>
      <c r="J363" s="20" t="s">
        <v>15</v>
      </c>
    </row>
    <row r="364" spans="1:10" ht="12.75">
      <c r="A364" s="24" t="str">
        <f>HYPERLINK("https://www.dndbeyond.com/magic-items/ioun-stone", "Ioun Stone (Mastery)")</f>
        <v>Ioun Stone (Mastery)</v>
      </c>
      <c r="B364" s="16">
        <v>15000</v>
      </c>
      <c r="C364" s="21">
        <v>60000</v>
      </c>
      <c r="D364" s="18" t="str">
        <f>VLOOKUP(F364,'Price Ranges'!$A$2:$B$8,2, FALSE)</f>
        <v>50001+</v>
      </c>
      <c r="E364" s="8" t="str">
        <f>VLOOKUP(F364,'Price Ranges'!$A$2:$C$8,3, FALSE)</f>
        <v>50000-300000</v>
      </c>
      <c r="F364" s="18" t="s">
        <v>31</v>
      </c>
      <c r="G364" s="18" t="s">
        <v>20</v>
      </c>
      <c r="H364" s="19">
        <v>177</v>
      </c>
      <c r="I364" s="18" t="s">
        <v>58</v>
      </c>
      <c r="J364" s="20" t="s">
        <v>15</v>
      </c>
    </row>
    <row r="365" spans="1:10" ht="12.75">
      <c r="A365" s="24" t="str">
        <f>HYPERLINK("https://www.dndbeyond.com/magic-items/ioun-stone", "Ioun Stone (Protection)")</f>
        <v>Ioun Stone (Protection)</v>
      </c>
      <c r="B365" s="16">
        <v>1200</v>
      </c>
      <c r="C365" s="21">
        <v>3600</v>
      </c>
      <c r="D365" s="18" t="str">
        <f>VLOOKUP(F365,'Price Ranges'!$A$2:$B$8,2, FALSE)</f>
        <v>501-5000</v>
      </c>
      <c r="E365" s="8" t="str">
        <f>VLOOKUP(F365,'Price Ranges'!$A$2:$C$8,3, FALSE)</f>
        <v>2000-20000</v>
      </c>
      <c r="F365" s="18" t="s">
        <v>16</v>
      </c>
      <c r="G365" s="18" t="s">
        <v>20</v>
      </c>
      <c r="H365" s="19">
        <v>177</v>
      </c>
      <c r="I365" s="18" t="s">
        <v>58</v>
      </c>
      <c r="J365" s="20" t="s">
        <v>15</v>
      </c>
    </row>
    <row r="366" spans="1:10" ht="12.75">
      <c r="A366" s="24" t="str">
        <f>HYPERLINK("https://www.dndbeyond.com/magic-items/ioun-stone", "Ioun Stone (Regeneration)")</f>
        <v>Ioun Stone (Regeneration)</v>
      </c>
      <c r="B366" s="16">
        <v>4000</v>
      </c>
      <c r="C366" s="21">
        <v>55000</v>
      </c>
      <c r="D366" s="18" t="str">
        <f>VLOOKUP(F366,'Price Ranges'!$A$2:$B$8,2, FALSE)</f>
        <v>50001+</v>
      </c>
      <c r="E366" s="8" t="str">
        <f>VLOOKUP(F366,'Price Ranges'!$A$2:$C$8,3, FALSE)</f>
        <v>50000-300000</v>
      </c>
      <c r="F366" s="18" t="s">
        <v>31</v>
      </c>
      <c r="G366" s="18" t="s">
        <v>20</v>
      </c>
      <c r="H366" s="19">
        <v>177</v>
      </c>
      <c r="I366" s="18" t="s">
        <v>58</v>
      </c>
      <c r="J366" s="20" t="s">
        <v>15</v>
      </c>
    </row>
    <row r="367" spans="1:10" ht="12.75">
      <c r="A367" s="24" t="str">
        <f>HYPERLINK("https://www.dndbeyond.com/magic-items/ioun-stone", "Ioun Stone (Reserve)")</f>
        <v>Ioun Stone (Reserve)</v>
      </c>
      <c r="B367" s="16">
        <v>6000</v>
      </c>
      <c r="C367" s="21">
        <v>4500</v>
      </c>
      <c r="D367" s="18" t="str">
        <f>VLOOKUP(F367,'Price Ranges'!$A$2:$B$8,2, FALSE)</f>
        <v>501-5000</v>
      </c>
      <c r="E367" s="8" t="str">
        <f>VLOOKUP(F367,'Price Ranges'!$A$2:$C$8,3, FALSE)</f>
        <v>2000-20000</v>
      </c>
      <c r="F367" s="18" t="s">
        <v>16</v>
      </c>
      <c r="G367" s="18" t="s">
        <v>20</v>
      </c>
      <c r="H367" s="19">
        <v>177</v>
      </c>
      <c r="I367" s="18" t="s">
        <v>58</v>
      </c>
      <c r="J367" s="20" t="s">
        <v>15</v>
      </c>
    </row>
    <row r="368" spans="1:10" ht="12.75">
      <c r="A368" s="24" t="str">
        <f>HYPERLINK("https://www.dndbeyond.com/magic-items/ioun-stone", "Ioun Stone (Strength)")</f>
        <v>Ioun Stone (Strength)</v>
      </c>
      <c r="B368" s="16">
        <v>3000</v>
      </c>
      <c r="C368" s="21">
        <v>8000</v>
      </c>
      <c r="D368" s="18" t="str">
        <f>VLOOKUP(F368,'Price Ranges'!$A$2:$B$8,2, FALSE)</f>
        <v>5001-50000</v>
      </c>
      <c r="E368" s="8" t="str">
        <f>VLOOKUP(F368,'Price Ranges'!$A$2:$C$8,3, FALSE)</f>
        <v>20000-50000</v>
      </c>
      <c r="F368" s="18" t="s">
        <v>10</v>
      </c>
      <c r="G368" s="18" t="s">
        <v>20</v>
      </c>
      <c r="H368" s="19">
        <v>177</v>
      </c>
      <c r="I368" s="18" t="s">
        <v>58</v>
      </c>
      <c r="J368" s="20" t="s">
        <v>15</v>
      </c>
    </row>
    <row r="369" spans="1:10" ht="12.75">
      <c r="A369" s="24" t="str">
        <f>HYPERLINK("https://www.dndbeyond.com/magic-items/ioun-stone", "Ioun Stone (Sustenance)")</f>
        <v>Ioun Stone (Sustenance)</v>
      </c>
      <c r="B369" s="16">
        <v>1000</v>
      </c>
      <c r="C369" s="21">
        <v>3000</v>
      </c>
      <c r="D369" s="18" t="str">
        <f>VLOOKUP(F369,'Price Ranges'!$A$2:$B$8,2, FALSE)</f>
        <v>501-5000</v>
      </c>
      <c r="E369" s="8" t="str">
        <f>VLOOKUP(F369,'Price Ranges'!$A$2:$C$8,3, FALSE)</f>
        <v>2000-20000</v>
      </c>
      <c r="F369" s="18" t="s">
        <v>16</v>
      </c>
      <c r="G369" s="18" t="s">
        <v>20</v>
      </c>
      <c r="H369" s="19">
        <v>177</v>
      </c>
      <c r="I369" s="18" t="s">
        <v>58</v>
      </c>
      <c r="J369" s="20" t="s">
        <v>15</v>
      </c>
    </row>
    <row r="370" spans="1:10" ht="12.75">
      <c r="A370" s="24" t="str">
        <f>HYPERLINK("https://www.dndbeyond.com/magic-items/ioun-stone-of-historical-knowledge", "Ioun Stone Of Historical Knowledge")</f>
        <v>Ioun Stone Of Historical Knowledge</v>
      </c>
      <c r="B370" s="6"/>
      <c r="C370" s="27"/>
      <c r="D370" s="18" t="str">
        <f>VLOOKUP(F370,'Price Ranges'!$A$2:$B$8,2, FALSE)</f>
        <v>501-5000</v>
      </c>
      <c r="E370" s="8" t="str">
        <f>VLOOKUP(F370,'Price Ranges'!$A$2:$C$8,3, FALSE)</f>
        <v>2000-20000</v>
      </c>
      <c r="F370" s="18" t="s">
        <v>16</v>
      </c>
      <c r="G370" s="18" t="s">
        <v>50</v>
      </c>
      <c r="H370" s="18"/>
      <c r="I370" s="18" t="s">
        <v>12</v>
      </c>
      <c r="J370" s="20" t="s">
        <v>15</v>
      </c>
    </row>
    <row r="371" spans="1:10" ht="12.75">
      <c r="A371" s="24" t="str">
        <f>HYPERLINK("https://www.dndbeyond.com/magic-items/ioun-stone-of-language-knowledge", "Ioun Stone Of Language Knowledge")</f>
        <v>Ioun Stone Of Language Knowledge</v>
      </c>
      <c r="B371" s="6"/>
      <c r="C371" s="27"/>
      <c r="D371" s="18" t="str">
        <f>VLOOKUP(F371,'Price Ranges'!$A$2:$B$8,2, FALSE)</f>
        <v>501-5000</v>
      </c>
      <c r="E371" s="8" t="str">
        <f>VLOOKUP(F371,'Price Ranges'!$A$2:$C$8,3, FALSE)</f>
        <v>2000-20000</v>
      </c>
      <c r="F371" s="18" t="s">
        <v>16</v>
      </c>
      <c r="G371" s="18" t="s">
        <v>50</v>
      </c>
      <c r="H371" s="18"/>
      <c r="I371" s="18" t="s">
        <v>12</v>
      </c>
      <c r="J371" s="13" t="s">
        <v>15</v>
      </c>
    </row>
    <row r="372" spans="1:10" ht="12.75">
      <c r="A372" s="24" t="str">
        <f>HYPERLINK("https://www.dndbeyond.com/magic-items/ioun-stone-of-natural-knowledge", "Ioun Stone Of Natural Knowledge")</f>
        <v>Ioun Stone Of Natural Knowledge</v>
      </c>
      <c r="B372" s="6"/>
      <c r="C372" s="27"/>
      <c r="D372" s="18" t="str">
        <f>VLOOKUP(F372,'Price Ranges'!$A$2:$B$8,2, FALSE)</f>
        <v>501-5000</v>
      </c>
      <c r="E372" s="8" t="str">
        <f>VLOOKUP(F372,'Price Ranges'!$A$2:$C$8,3, FALSE)</f>
        <v>2000-20000</v>
      </c>
      <c r="F372" s="18" t="s">
        <v>16</v>
      </c>
      <c r="G372" s="18" t="s">
        <v>50</v>
      </c>
      <c r="H372" s="18"/>
      <c r="I372" s="18" t="s">
        <v>12</v>
      </c>
      <c r="J372" s="13" t="s">
        <v>15</v>
      </c>
    </row>
    <row r="373" spans="1:10" ht="12.75">
      <c r="A373" s="24" t="str">
        <f>HYPERLINK("https://www.dndbeyond.com/magic-items/ioun-stone-of-religious-knowledge", "Ioun Stone Of Religious Knowledge")</f>
        <v>Ioun Stone Of Religious Knowledge</v>
      </c>
      <c r="B373" s="6"/>
      <c r="C373" s="27"/>
      <c r="D373" s="18" t="str">
        <f>VLOOKUP(F373,'Price Ranges'!$A$2:$B$8,2, FALSE)</f>
        <v>501-5000</v>
      </c>
      <c r="E373" s="8" t="str">
        <f>VLOOKUP(F373,'Price Ranges'!$A$2:$C$8,3, FALSE)</f>
        <v>2000-20000</v>
      </c>
      <c r="F373" s="18" t="s">
        <v>16</v>
      </c>
      <c r="G373" s="18" t="s">
        <v>50</v>
      </c>
      <c r="H373" s="18"/>
      <c r="I373" s="18" t="s">
        <v>12</v>
      </c>
      <c r="J373" s="13" t="s">
        <v>15</v>
      </c>
    </row>
    <row r="374" spans="1:10" ht="12.75">
      <c r="A374" s="24" t="str">
        <f>HYPERLINK("https://www.dndbeyond.com/magic-items/ioun-stone-of-self-preservation", "Ioun Stone Of Self Preservation")</f>
        <v>Ioun Stone Of Self Preservation</v>
      </c>
      <c r="B374" s="6"/>
      <c r="C374" s="27"/>
      <c r="D374" s="18" t="str">
        <f>VLOOKUP(F374,'Price Ranges'!$A$2:$B$8,2, FALSE)</f>
        <v>501-5000</v>
      </c>
      <c r="E374" s="8" t="str">
        <f>VLOOKUP(F374,'Price Ranges'!$A$2:$C$8,3, FALSE)</f>
        <v>2000-20000</v>
      </c>
      <c r="F374" s="18" t="s">
        <v>16</v>
      </c>
      <c r="G374" s="18" t="s">
        <v>50</v>
      </c>
      <c r="H374" s="18"/>
      <c r="I374" s="18" t="s">
        <v>12</v>
      </c>
      <c r="J374" s="13" t="s">
        <v>15</v>
      </c>
    </row>
    <row r="375" spans="1:10" ht="12.75">
      <c r="A375" s="24" t="str">
        <f>HYPERLINK("https://www.dndbeyond.com/magic-items/ioun-stone-of-supreme-intellect", "Ioun Stone Of Supreme Intellect")</f>
        <v>Ioun Stone Of Supreme Intellect</v>
      </c>
      <c r="B375" s="6"/>
      <c r="C375" s="27"/>
      <c r="D375" s="18" t="str">
        <f>VLOOKUP(F375,'Price Ranges'!$A$2:$B$8,2, FALSE)</f>
        <v>501-5000</v>
      </c>
      <c r="E375" s="8" t="str">
        <f>VLOOKUP(F375,'Price Ranges'!$A$2:$C$8,3, FALSE)</f>
        <v>2000-20000</v>
      </c>
      <c r="F375" s="18" t="s">
        <v>16</v>
      </c>
      <c r="G375" s="18" t="s">
        <v>50</v>
      </c>
      <c r="H375" s="18"/>
      <c r="I375" s="18" t="s">
        <v>12</v>
      </c>
      <c r="J375" s="13" t="s">
        <v>15</v>
      </c>
    </row>
    <row r="376" spans="1:10" ht="12.75">
      <c r="A376" s="24" t="str">
        <f t="shared" ref="A376:A377" si="9">HYPERLINK("https://www.dndbeyond.com/magic-items/irian-rosewood-focus", "Irian Rosewood Focus")</f>
        <v>Irian Rosewood Focus</v>
      </c>
      <c r="B376" s="6"/>
      <c r="C376" s="27"/>
      <c r="D376" s="18" t="str">
        <f>VLOOKUP(F376,'Price Ranges'!$A$2:$B$8,2, FALSE)</f>
        <v>50-100</v>
      </c>
      <c r="E376" s="8" t="str">
        <f>VLOOKUP(F376,'Price Ranges'!$A$2:$C$8,3, FALSE)</f>
        <v>20-70</v>
      </c>
      <c r="F376" s="18" t="s">
        <v>35</v>
      </c>
      <c r="G376" s="18" t="s">
        <v>36</v>
      </c>
      <c r="H376" s="18"/>
      <c r="I376" s="18" t="s">
        <v>12</v>
      </c>
      <c r="J376" s="20" t="s">
        <v>15</v>
      </c>
    </row>
    <row r="377" spans="1:10" ht="12.75">
      <c r="A377" s="5" t="str">
        <f t="shared" si="9"/>
        <v>Irian Rosewood Focus</v>
      </c>
      <c r="B377" s="6"/>
      <c r="C377" s="7"/>
      <c r="D377" s="8" t="str">
        <f>VLOOKUP(F377,'Price Ranges'!$A$2:$B$8,2, FALSE)</f>
        <v>50-100</v>
      </c>
      <c r="E377" s="8" t="str">
        <f>VLOOKUP(F377,'Price Ranges'!$A$2:$C$8,3, FALSE)</f>
        <v>20-70</v>
      </c>
      <c r="F377" s="9" t="s">
        <v>35</v>
      </c>
      <c r="G377" s="9" t="s">
        <v>33</v>
      </c>
      <c r="H377" s="10"/>
      <c r="I377" s="9" t="s">
        <v>12</v>
      </c>
      <c r="J377" s="13" t="s">
        <v>15</v>
      </c>
    </row>
    <row r="378" spans="1:10" ht="12.75">
      <c r="A378" s="24" t="str">
        <f>HYPERLINK("https://www.dndbeyond.com/magic-items/iron-bands-of-bilarro", "Iron Bands Of Bilarro")</f>
        <v>Iron Bands Of Bilarro</v>
      </c>
      <c r="B378" s="16">
        <v>4000</v>
      </c>
      <c r="C378" s="21">
        <v>2600</v>
      </c>
      <c r="D378" s="18" t="str">
        <f>VLOOKUP(F378,'Price Ranges'!$A$2:$B$8,2, FALSE)</f>
        <v>501-5000</v>
      </c>
      <c r="E378" s="8" t="str">
        <f>VLOOKUP(F378,'Price Ranges'!$A$2:$C$8,3, FALSE)</f>
        <v>2000-20000</v>
      </c>
      <c r="F378" s="18" t="s">
        <v>16</v>
      </c>
      <c r="G378" s="18" t="s">
        <v>20</v>
      </c>
      <c r="H378" s="19">
        <v>177</v>
      </c>
      <c r="I378" s="18" t="s">
        <v>12</v>
      </c>
      <c r="J378" s="20" t="s">
        <v>13</v>
      </c>
    </row>
    <row r="379" spans="1:10" ht="12.75">
      <c r="A379" s="24" t="str">
        <f>HYPERLINK("https://www.dndbeyond.com/magic-items/iron-bands-of-binding", "Iron Bands Of Binding")</f>
        <v>Iron Bands Of Binding</v>
      </c>
      <c r="B379" s="16">
        <v>4000</v>
      </c>
      <c r="C379" s="21">
        <v>2600</v>
      </c>
      <c r="D379" s="18" t="str">
        <f>VLOOKUP(F379,'Price Ranges'!$A$2:$B$8,2, FALSE)</f>
        <v>501-5000</v>
      </c>
      <c r="E379" s="8" t="str">
        <f>VLOOKUP(F379,'Price Ranges'!$A$2:$C$8,3, FALSE)</f>
        <v>2000-20000</v>
      </c>
      <c r="F379" s="18" t="s">
        <v>16</v>
      </c>
      <c r="G379" s="18" t="s">
        <v>32</v>
      </c>
      <c r="H379" s="18"/>
      <c r="I379" s="18" t="s">
        <v>12</v>
      </c>
      <c r="J379" s="20" t="s">
        <v>13</v>
      </c>
    </row>
    <row r="380" spans="1:10" ht="12.75">
      <c r="A380" s="24" t="str">
        <f>HYPERLINK("https://www.dndbeyond.com/magic-items/iron-flask", "Iron Flask")</f>
        <v>Iron Flask</v>
      </c>
      <c r="B380" s="6"/>
      <c r="C380" s="22">
        <v>170000</v>
      </c>
      <c r="D380" s="18" t="str">
        <f>VLOOKUP(F380,'Price Ranges'!$A$2:$B$8,2, FALSE)</f>
        <v>50001+</v>
      </c>
      <c r="E380" s="8" t="str">
        <f>VLOOKUP(F380,'Price Ranges'!$A$2:$C$8,3, FALSE)</f>
        <v>50000-300000</v>
      </c>
      <c r="F380" s="18" t="s">
        <v>31</v>
      </c>
      <c r="G380" s="18" t="s">
        <v>20</v>
      </c>
      <c r="H380" s="23">
        <v>178</v>
      </c>
      <c r="I380" s="18" t="s">
        <v>12</v>
      </c>
      <c r="J380" s="20" t="s">
        <v>13</v>
      </c>
    </row>
    <row r="381" spans="1:10" ht="12.75">
      <c r="A381" s="24" t="str">
        <f>HYPERLINK("https://www.dndbeyond.com/magic-items/ironfang", "Ironfang (war pick)")</f>
        <v>Ironfang (war pick)</v>
      </c>
      <c r="B381" s="6"/>
      <c r="C381" s="22">
        <v>76000</v>
      </c>
      <c r="D381" s="18" t="str">
        <f>VLOOKUP(F381,'Price Ranges'!$A$2:$B$8,2, FALSE)</f>
        <v>50001+</v>
      </c>
      <c r="E381" s="8" t="str">
        <f>VLOOKUP(F381,'Price Ranges'!$A$2:$C$8,3, FALSE)</f>
        <v>50000-300000</v>
      </c>
      <c r="F381" s="18" t="s">
        <v>31</v>
      </c>
      <c r="G381" s="18" t="s">
        <v>40</v>
      </c>
      <c r="H381" s="23">
        <v>224</v>
      </c>
      <c r="I381" s="18" t="s">
        <v>18</v>
      </c>
      <c r="J381" s="20" t="s">
        <v>15</v>
      </c>
    </row>
    <row r="382" spans="1:10" ht="12.75">
      <c r="A382" s="24" t="str">
        <f>HYPERLINK("https://www.dndbeyond.com/magic-items/javelin-of-backbiting", "Javelin Of Backbiting")</f>
        <v>Javelin Of Backbiting</v>
      </c>
      <c r="B382" s="6"/>
      <c r="C382" s="14">
        <v>6500</v>
      </c>
      <c r="D382" s="18" t="str">
        <f>VLOOKUP(F382,'Price Ranges'!$A$2:$B$8,2, FALSE)</f>
        <v>5001-50000</v>
      </c>
      <c r="E382" s="8" t="str">
        <f>VLOOKUP(F382,'Price Ranges'!$A$2:$C$8,3, FALSE)</f>
        <v>20000-50000</v>
      </c>
      <c r="F382" s="18" t="s">
        <v>10</v>
      </c>
      <c r="G382" s="18" t="s">
        <v>70</v>
      </c>
      <c r="H382" s="18"/>
      <c r="I382" s="18" t="s">
        <v>18</v>
      </c>
      <c r="J382" s="20" t="s">
        <v>15</v>
      </c>
    </row>
    <row r="383" spans="1:10" ht="12.75">
      <c r="A383" s="24" t="str">
        <f>HYPERLINK("https://www.dndbeyond.com/magic-items/javelin-of-lightning", "Javelin Of Lightning")</f>
        <v>Javelin Of Lightning</v>
      </c>
      <c r="B383" s="16">
        <v>1500</v>
      </c>
      <c r="C383" s="21">
        <v>350</v>
      </c>
      <c r="D383" s="18" t="str">
        <f>VLOOKUP(F383,'Price Ranges'!$A$2:$B$8,2, FALSE)</f>
        <v>101-500</v>
      </c>
      <c r="E383" s="8" t="str">
        <f>VLOOKUP(F383,'Price Ranges'!$A$2:$C$8,3, FALSE)</f>
        <v>100-600</v>
      </c>
      <c r="F383" s="18" t="s">
        <v>19</v>
      </c>
      <c r="G383" s="18" t="s">
        <v>20</v>
      </c>
      <c r="H383" s="19">
        <v>178</v>
      </c>
      <c r="I383" s="18" t="s">
        <v>18</v>
      </c>
      <c r="J383" s="20" t="s">
        <v>13</v>
      </c>
    </row>
    <row r="384" spans="1:10" ht="12.75">
      <c r="A384" s="24" t="str">
        <f>HYPERLINK("https://www.dndbeyond.com/magic-items/keoghtoms-ointment", "Keoghtom's Ointment (Per Dose)")</f>
        <v>Keoghtom's Ointment (Per Dose)</v>
      </c>
      <c r="B384" s="16">
        <v>120</v>
      </c>
      <c r="C384" s="21">
        <v>400</v>
      </c>
      <c r="D384" s="18" t="str">
        <f>VLOOKUP(F384,'Price Ranges'!$A$2:$B$8,2, FALSE)</f>
        <v>101-500</v>
      </c>
      <c r="E384" s="8" t="str">
        <f>VLOOKUP(F384,'Price Ranges'!$A$2:$C$8,3, FALSE)</f>
        <v>100-600</v>
      </c>
      <c r="F384" s="18" t="s">
        <v>19</v>
      </c>
      <c r="G384" s="18" t="s">
        <v>20</v>
      </c>
      <c r="H384" s="19">
        <v>179</v>
      </c>
      <c r="I384" s="18" t="s">
        <v>12</v>
      </c>
      <c r="J384" s="20" t="s">
        <v>13</v>
      </c>
    </row>
    <row r="385" spans="1:10" ht="12.75">
      <c r="A385" s="5" t="str">
        <f>HYPERLINK("https://www.dndbeyond.com/magic-items/keycharm", "Keycharm")</f>
        <v>Keycharm</v>
      </c>
      <c r="B385" s="6"/>
      <c r="C385" s="14">
        <v>50</v>
      </c>
      <c r="D385" s="8" t="str">
        <f>VLOOKUP(F385,'Price Ranges'!$A$2:$B$8,2, FALSE)</f>
        <v>50-100</v>
      </c>
      <c r="E385" s="8" t="str">
        <f>VLOOKUP(F385,'Price Ranges'!$A$2:$C$8,3, FALSE)</f>
        <v>20-70</v>
      </c>
      <c r="F385" s="9" t="s">
        <v>35</v>
      </c>
      <c r="G385" s="9" t="s">
        <v>33</v>
      </c>
      <c r="H385" s="10"/>
      <c r="I385" s="9" t="s">
        <v>12</v>
      </c>
      <c r="J385" s="13" t="s">
        <v>15</v>
      </c>
    </row>
    <row r="386" spans="1:10" ht="12.75">
      <c r="A386" s="15" t="str">
        <f>HYPERLINK("https://www.dndbeyond.com/magic-items/khrusor-spear-of-heliod", "Khrusor, Spear of Heliod")</f>
        <v>Khrusor, Spear of Heliod</v>
      </c>
      <c r="B386" s="6"/>
      <c r="C386" s="7"/>
      <c r="D386" s="8" t="str">
        <f>VLOOKUP(F386,'Price Ranges'!$A$2:$B$8,2, FALSE)</f>
        <v>Priceless</v>
      </c>
      <c r="E386" s="8" t="str">
        <f>VLOOKUP(F386,'Price Ranges'!$A$2:$C$8,3, FALSE)</f>
        <v>Priceless</v>
      </c>
      <c r="F386" s="9" t="s">
        <v>22</v>
      </c>
      <c r="G386" s="9" t="s">
        <v>23</v>
      </c>
      <c r="H386" s="10"/>
      <c r="I386" s="9" t="s">
        <v>18</v>
      </c>
      <c r="J386" s="13" t="s">
        <v>15</v>
      </c>
    </row>
    <row r="387" spans="1:10" ht="12.75">
      <c r="A387" s="24" t="str">
        <f>HYPERLINK("https://www.dndbeyond.com/magic-items/knaves-eye-patch", "Knave's Eye Patch")</f>
        <v>Knave's Eye Patch</v>
      </c>
      <c r="B387" s="6"/>
      <c r="C387" s="22">
        <v>2000</v>
      </c>
      <c r="D387" s="18" t="str">
        <f>VLOOKUP(F387,'Price Ranges'!$A$2:$B$8,2, FALSE)</f>
        <v>501-5000</v>
      </c>
      <c r="E387" s="8" t="str">
        <f>VLOOKUP(F387,'Price Ranges'!$A$2:$C$8,3, FALSE)</f>
        <v>2000-20000</v>
      </c>
      <c r="F387" s="18" t="s">
        <v>16</v>
      </c>
      <c r="G387" s="18" t="s">
        <v>39</v>
      </c>
      <c r="H387" s="23">
        <v>191</v>
      </c>
      <c r="I387" s="18" t="s">
        <v>58</v>
      </c>
      <c r="J387" s="20" t="s">
        <v>15</v>
      </c>
    </row>
    <row r="388" spans="1:10" ht="12.75">
      <c r="A388" s="24" t="str">
        <f>HYPERLINK("https://www.dndbeyond.com/magic-items/korolnor-scepter", "Korolnor Scepter")</f>
        <v>Korolnor Scepter</v>
      </c>
      <c r="B388" s="6"/>
      <c r="C388" s="22">
        <v>63000</v>
      </c>
      <c r="D388" s="18" t="str">
        <f>VLOOKUP(F388,'Price Ranges'!$A$2:$B$8,2, FALSE)</f>
        <v>50001+</v>
      </c>
      <c r="E388" s="8" t="str">
        <f>VLOOKUP(F388,'Price Ranges'!$A$2:$C$8,3, FALSE)</f>
        <v>50000-300000</v>
      </c>
      <c r="F388" s="18" t="s">
        <v>31</v>
      </c>
      <c r="G388" s="18" t="s">
        <v>43</v>
      </c>
      <c r="H388" s="23">
        <v>234</v>
      </c>
      <c r="I388" s="18" t="s">
        <v>18</v>
      </c>
      <c r="J388" s="20" t="s">
        <v>15</v>
      </c>
    </row>
    <row r="389" spans="1:10" ht="12.75">
      <c r="A389" s="5" t="str">
        <f>HYPERLINK("https://www.dndbeyond.com/magic-items/kyrzins-ooze", "Kyrzins Ooze")</f>
        <v>Kyrzins Ooze</v>
      </c>
      <c r="B389" s="6"/>
      <c r="C389" s="14">
        <v>21000</v>
      </c>
      <c r="D389" s="8" t="str">
        <f>VLOOKUP(F389,'Price Ranges'!$A$2:$B$8,2, FALSE)</f>
        <v>5001-50000</v>
      </c>
      <c r="E389" s="8" t="str">
        <f>VLOOKUP(F389,'Price Ranges'!$A$2:$C$8,3, FALSE)</f>
        <v>20000-50000</v>
      </c>
      <c r="F389" s="9" t="s">
        <v>10</v>
      </c>
      <c r="G389" s="9" t="s">
        <v>33</v>
      </c>
      <c r="H389" s="10"/>
      <c r="I389" s="9" t="s">
        <v>12</v>
      </c>
      <c r="J389" s="13" t="s">
        <v>15</v>
      </c>
    </row>
    <row r="390" spans="1:10" ht="12.75">
      <c r="A390" s="24" t="str">
        <f t="shared" ref="A390:A391" si="10">HYPERLINK("https://www.dndbeyond.com/magic-items/kythrian-manchineel-focus", "Kythrian Manchineel Focus")</f>
        <v>Kythrian Manchineel Focus</v>
      </c>
      <c r="B390" s="6"/>
      <c r="C390" s="7"/>
      <c r="D390" s="18" t="str">
        <f>VLOOKUP(F390,'Price Ranges'!$A$2:$B$8,2, FALSE)</f>
        <v>50-100</v>
      </c>
      <c r="E390" s="8" t="str">
        <f>VLOOKUP(F390,'Price Ranges'!$A$2:$C$8,3, FALSE)</f>
        <v>20-70</v>
      </c>
      <c r="F390" s="18" t="s">
        <v>35</v>
      </c>
      <c r="G390" s="18" t="s">
        <v>36</v>
      </c>
      <c r="H390" s="18"/>
      <c r="I390" s="18" t="s">
        <v>12</v>
      </c>
      <c r="J390" s="20" t="s">
        <v>15</v>
      </c>
    </row>
    <row r="391" spans="1:10" ht="12.75">
      <c r="A391" s="5" t="str">
        <f t="shared" si="10"/>
        <v>Kythrian Manchineel Focus</v>
      </c>
      <c r="B391" s="6"/>
      <c r="C391" s="7"/>
      <c r="D391" s="8" t="str">
        <f>VLOOKUP(F391,'Price Ranges'!$A$2:$B$8,2, FALSE)</f>
        <v>50-100</v>
      </c>
      <c r="E391" s="8" t="str">
        <f>VLOOKUP(F391,'Price Ranges'!$A$2:$C$8,3, FALSE)</f>
        <v>20-70</v>
      </c>
      <c r="F391" s="9" t="s">
        <v>35</v>
      </c>
      <c r="G391" s="9" t="s">
        <v>33</v>
      </c>
      <c r="H391" s="10"/>
      <c r="I391" s="9" t="s">
        <v>12</v>
      </c>
      <c r="J391" s="13" t="s">
        <v>15</v>
      </c>
    </row>
    <row r="392" spans="1:10" ht="12.75">
      <c r="A392" s="24" t="str">
        <f t="shared" ref="A392:A393" si="11">HYPERLINK("https://www.dndbeyond.com/magic-items/lamannian-oak-focus", "Lamannian Oak Focus")</f>
        <v>Lamannian Oak Focus</v>
      </c>
      <c r="B392" s="6"/>
      <c r="C392" s="7"/>
      <c r="D392" s="18" t="str">
        <f>VLOOKUP(F392,'Price Ranges'!$A$2:$B$8,2, FALSE)</f>
        <v>50-100</v>
      </c>
      <c r="E392" s="8" t="str">
        <f>VLOOKUP(F392,'Price Ranges'!$A$2:$C$8,3, FALSE)</f>
        <v>20-70</v>
      </c>
      <c r="F392" s="18" t="s">
        <v>35</v>
      </c>
      <c r="G392" s="18" t="s">
        <v>36</v>
      </c>
      <c r="H392" s="18"/>
      <c r="I392" s="18" t="s">
        <v>12</v>
      </c>
      <c r="J392" s="20" t="s">
        <v>15</v>
      </c>
    </row>
    <row r="393" spans="1:10" ht="12.75">
      <c r="A393" s="5" t="str">
        <f t="shared" si="11"/>
        <v>Lamannian Oak Focus</v>
      </c>
      <c r="B393" s="6"/>
      <c r="C393" s="7"/>
      <c r="D393" s="8" t="str">
        <f>VLOOKUP(F393,'Price Ranges'!$A$2:$B$8,2, FALSE)</f>
        <v>50-100</v>
      </c>
      <c r="E393" s="8" t="str">
        <f>VLOOKUP(F393,'Price Ranges'!$A$2:$C$8,3, FALSE)</f>
        <v>20-70</v>
      </c>
      <c r="F393" s="9" t="s">
        <v>35</v>
      </c>
      <c r="G393" s="9" t="s">
        <v>33</v>
      </c>
      <c r="H393" s="8"/>
      <c r="I393" s="9" t="s">
        <v>12</v>
      </c>
      <c r="J393" s="13" t="s">
        <v>15</v>
      </c>
    </row>
    <row r="394" spans="1:10" ht="12.75">
      <c r="A394" s="24" t="str">
        <f>HYPERLINK("https://www.dndbeyond.com/magic-items/lantern-of-revealing", "Lantern Of Revealing")</f>
        <v>Lantern Of Revealing</v>
      </c>
      <c r="B394" s="16">
        <v>5000</v>
      </c>
      <c r="C394" s="21">
        <v>500</v>
      </c>
      <c r="D394" s="18" t="str">
        <f>VLOOKUP(F394,'Price Ranges'!$A$2:$B$8,2, FALSE)</f>
        <v>101-500</v>
      </c>
      <c r="E394" s="8" t="str">
        <f>VLOOKUP(F394,'Price Ranges'!$A$2:$C$8,3, FALSE)</f>
        <v>100-600</v>
      </c>
      <c r="F394" s="18" t="s">
        <v>19</v>
      </c>
      <c r="G394" s="18" t="s">
        <v>20</v>
      </c>
      <c r="H394" s="19">
        <v>179</v>
      </c>
      <c r="I394" s="18" t="s">
        <v>12</v>
      </c>
      <c r="J394" s="20" t="s">
        <v>13</v>
      </c>
    </row>
    <row r="395" spans="1:10" ht="12.75">
      <c r="A395" s="5" t="str">
        <f>HYPERLINK("https://www.dndbeyond.com/magic-items/lantern-of-tracking", "Lantern of Tracking")</f>
        <v>Lantern of Tracking</v>
      </c>
      <c r="B395" s="6"/>
      <c r="C395" s="7"/>
      <c r="D395" s="8" t="str">
        <f>VLOOKUP(F395,'Price Ranges'!$A$2:$B$8,2, FALSE)</f>
        <v>50-100</v>
      </c>
      <c r="E395" s="8" t="str">
        <f>VLOOKUP(F395,'Price Ranges'!$A$2:$C$8,3, FALSE)</f>
        <v>20-70</v>
      </c>
      <c r="F395" s="9" t="s">
        <v>35</v>
      </c>
      <c r="G395" s="9" t="s">
        <v>11</v>
      </c>
      <c r="H395" s="10"/>
      <c r="I395" s="8" t="s">
        <v>12</v>
      </c>
      <c r="J395" s="11" t="s">
        <v>13</v>
      </c>
    </row>
    <row r="396" spans="1:10" ht="12.75">
      <c r="A396" s="5" t="str">
        <f>HYPERLINK("https://www.dndbeyond.com/magic-items/lash-of-shadows", "Lash of Shadows")</f>
        <v>Lash of Shadows</v>
      </c>
      <c r="B396" s="6"/>
      <c r="C396" s="7"/>
      <c r="D396" s="8" t="str">
        <f>VLOOKUP(F396,'Price Ranges'!$A$2:$B$8,2, FALSE)</f>
        <v>Priceless</v>
      </c>
      <c r="E396" s="8" t="str">
        <f>VLOOKUP(F396,'Price Ranges'!$A$2:$C$8,3, FALSE)</f>
        <v>Priceless</v>
      </c>
      <c r="F396" s="9" t="s">
        <v>22</v>
      </c>
      <c r="G396" s="9" t="s">
        <v>17</v>
      </c>
      <c r="H396" s="12">
        <v>276</v>
      </c>
      <c r="I396" s="9" t="s">
        <v>18</v>
      </c>
      <c r="J396" s="13" t="s">
        <v>15</v>
      </c>
    </row>
    <row r="397" spans="1:10" ht="12.75">
      <c r="A397" s="5" t="str">
        <f>HYPERLINK("https://www.dndbeyond.com/magic-items/last-stand-armor", "Last Stand Armor")</f>
        <v>Last Stand Armor</v>
      </c>
      <c r="B397" s="6"/>
      <c r="C397" s="14">
        <v>6500</v>
      </c>
      <c r="D397" s="8" t="str">
        <f>VLOOKUP(F397,'Price Ranges'!$A$2:$B$8,2, FALSE)</f>
        <v>5001-50000</v>
      </c>
      <c r="E397" s="8" t="str">
        <f>VLOOKUP(F397,'Price Ranges'!$A$2:$C$8,3, FALSE)</f>
        <v>20000-50000</v>
      </c>
      <c r="F397" s="9" t="s">
        <v>10</v>
      </c>
      <c r="G397" s="9" t="s">
        <v>17</v>
      </c>
      <c r="H397" s="12">
        <v>267</v>
      </c>
      <c r="I397" s="9" t="s">
        <v>21</v>
      </c>
      <c r="J397" s="13" t="s">
        <v>13</v>
      </c>
    </row>
    <row r="398" spans="1:10" ht="12.75">
      <c r="A398" s="24" t="str">
        <f>HYPERLINK("https://www.dndbeyond.com/magic-items/leather-golem-armor", "Leather Golem Armor")</f>
        <v>Leather Golem Armor</v>
      </c>
      <c r="B398" s="6"/>
      <c r="C398" s="7"/>
      <c r="D398" s="18" t="str">
        <f>VLOOKUP(F398,'Price Ranges'!$A$2:$B$8,2, FALSE)</f>
        <v>501-5000</v>
      </c>
      <c r="E398" s="8" t="str">
        <f>VLOOKUP(F398,'Price Ranges'!$A$2:$C$8,3, FALSE)</f>
        <v>2000-20000</v>
      </c>
      <c r="F398" s="18" t="s">
        <v>16</v>
      </c>
      <c r="G398" s="18" t="s">
        <v>50</v>
      </c>
      <c r="H398" s="26"/>
      <c r="I398" s="18" t="s">
        <v>21</v>
      </c>
      <c r="J398" s="20" t="s">
        <v>15</v>
      </c>
    </row>
    <row r="399" spans="1:10" ht="12.75">
      <c r="A399" s="5" t="str">
        <f>HYPERLINK("https://www.dndbeyond.com/magic-items/libram-of-souls-and-flesh", "Libram of Souls and Flesh")</f>
        <v>Libram of Souls and Flesh</v>
      </c>
      <c r="B399" s="6"/>
      <c r="C399" s="7"/>
      <c r="D399" s="8" t="str">
        <f>VLOOKUP(F399,'Price Ranges'!$A$2:$B$8,2, FALSE)</f>
        <v>501-5000</v>
      </c>
      <c r="E399" s="8" t="str">
        <f>VLOOKUP(F399,'Price Ranges'!$A$2:$C$8,3, FALSE)</f>
        <v>2000-20000</v>
      </c>
      <c r="F399" s="12" t="s">
        <v>16</v>
      </c>
      <c r="G399" s="12" t="s">
        <v>14</v>
      </c>
      <c r="H399" s="10"/>
      <c r="I399" s="8" t="s">
        <v>12</v>
      </c>
      <c r="J399" s="13" t="s">
        <v>15</v>
      </c>
    </row>
    <row r="400" spans="1:10" ht="12.75">
      <c r="A400" s="5" t="str">
        <f>HYPERLINK("https://www.dndbeyond.com/magic-items/lifewell-tattoo", "Lifewell Tattoo")</f>
        <v>Lifewell Tattoo</v>
      </c>
      <c r="B400" s="6"/>
      <c r="C400" s="7"/>
      <c r="D400" s="8" t="str">
        <f>VLOOKUP(F400,'Price Ranges'!$A$2:$B$8,2, FALSE)</f>
        <v>501-5000</v>
      </c>
      <c r="E400" s="8" t="str">
        <f>VLOOKUP(F400,'Price Ranges'!$A$2:$C$8,3, FALSE)</f>
        <v>2000-20000</v>
      </c>
      <c r="F400" s="12" t="s">
        <v>16</v>
      </c>
      <c r="G400" s="12" t="s">
        <v>14</v>
      </c>
      <c r="H400" s="10"/>
      <c r="I400" s="8" t="s">
        <v>12</v>
      </c>
      <c r="J400" s="13" t="s">
        <v>15</v>
      </c>
    </row>
    <row r="401" spans="1:10" ht="12.75">
      <c r="A401" s="24" t="str">
        <f>HYPERLINK("https://www.dndbeyond.com/magic-items/lightbringer", "Lightbringer")</f>
        <v>Lightbringer</v>
      </c>
      <c r="B401" s="6"/>
      <c r="C401" s="7"/>
      <c r="D401" s="18" t="str">
        <f>VLOOKUP(F401,'Price Ranges'!$A$2:$B$8,2, FALSE)</f>
        <v>101-500</v>
      </c>
      <c r="E401" s="8" t="str">
        <f>VLOOKUP(F401,'Price Ranges'!$A$2:$C$8,3, FALSE)</f>
        <v>100-600</v>
      </c>
      <c r="F401" s="18" t="s">
        <v>19</v>
      </c>
      <c r="G401" s="18" t="s">
        <v>66</v>
      </c>
      <c r="H401" s="26"/>
      <c r="I401" s="18" t="s">
        <v>18</v>
      </c>
      <c r="J401" s="20" t="s">
        <v>13</v>
      </c>
    </row>
    <row r="402" spans="1:10" ht="12.75">
      <c r="A402" s="5" t="str">
        <f>HYPERLINK("https://www.dndbeyond.com/magic-items/living-armor", "Living Armor")</f>
        <v>Living Armor</v>
      </c>
      <c r="B402" s="6"/>
      <c r="C402" s="14">
        <v>9500</v>
      </c>
      <c r="D402" s="8" t="str">
        <f>VLOOKUP(F402,'Price Ranges'!$A$2:$B$8,2, FALSE)</f>
        <v>5001-50000</v>
      </c>
      <c r="E402" s="8" t="str">
        <f>VLOOKUP(F402,'Price Ranges'!$A$2:$C$8,3, FALSE)</f>
        <v>20000-50000</v>
      </c>
      <c r="F402" s="9" t="s">
        <v>10</v>
      </c>
      <c r="G402" s="9" t="s">
        <v>33</v>
      </c>
      <c r="H402" s="10"/>
      <c r="I402" s="9" t="s">
        <v>21</v>
      </c>
      <c r="J402" s="13" t="s">
        <v>15</v>
      </c>
    </row>
    <row r="403" spans="1:10" ht="12.75">
      <c r="A403" s="30" t="str">
        <f>HYPERLINK("https://www.dndbeyond.com/magic-items/living-gloves","Living Gloves")</f>
        <v>Living Gloves</v>
      </c>
      <c r="B403" s="6"/>
      <c r="C403" s="14">
        <v>500</v>
      </c>
      <c r="D403" s="8" t="str">
        <f>VLOOKUP(F403,'Price Ranges'!$A$2:$B$8,2, FALSE)</f>
        <v>101-500</v>
      </c>
      <c r="E403" s="8" t="str">
        <f>VLOOKUP(F403,'Price Ranges'!$A$2:$C$8,3, FALSE)</f>
        <v>100-600</v>
      </c>
      <c r="F403" s="9" t="s">
        <v>19</v>
      </c>
      <c r="G403" s="9" t="s">
        <v>33</v>
      </c>
      <c r="H403" s="10"/>
      <c r="I403" s="9" t="s">
        <v>12</v>
      </c>
      <c r="J403" s="13" t="s">
        <v>15</v>
      </c>
    </row>
    <row r="404" spans="1:10" ht="12.75">
      <c r="A404" s="24" t="str">
        <f>HYPERLINK("https://www.dndbeyond.com/magic-items/living-loot-satchel", "Living Loot Satchel")</f>
        <v>Living Loot Satchel</v>
      </c>
      <c r="B404" s="6"/>
      <c r="C404" s="7"/>
      <c r="D404" s="18" t="str">
        <f>VLOOKUP(F404,'Price Ranges'!$A$2:$B$8,2, FALSE)</f>
        <v>Varies</v>
      </c>
      <c r="E404" s="8" t="str">
        <f>VLOOKUP(F404,'Price Ranges'!$A$2:$C$8,3, FALSE)</f>
        <v>Varies</v>
      </c>
      <c r="F404" s="18" t="s">
        <v>24</v>
      </c>
      <c r="G404" s="18" t="s">
        <v>60</v>
      </c>
      <c r="H404" s="26"/>
      <c r="I404" s="18" t="s">
        <v>12</v>
      </c>
      <c r="J404" s="20" t="s">
        <v>13</v>
      </c>
    </row>
    <row r="405" spans="1:10" ht="12.75">
      <c r="A405" s="24" t="str">
        <f>HYPERLINK("https://www.dndbeyond.com/magic-items/loadstone", "Loadstone")</f>
        <v>Loadstone</v>
      </c>
      <c r="B405" s="6"/>
      <c r="C405" s="22">
        <v>150</v>
      </c>
      <c r="D405" s="18" t="str">
        <f>VLOOKUP(F405,'Price Ranges'!$A$2:$B$8,2, FALSE)</f>
        <v>501-5000</v>
      </c>
      <c r="E405" s="8" t="str">
        <f>VLOOKUP(F405,'Price Ranges'!$A$2:$C$8,3, FALSE)</f>
        <v>2000-20000</v>
      </c>
      <c r="F405" s="18" t="s">
        <v>16</v>
      </c>
      <c r="G405" s="18" t="s">
        <v>27</v>
      </c>
      <c r="H405" s="23">
        <v>228</v>
      </c>
      <c r="I405" s="18" t="s">
        <v>12</v>
      </c>
      <c r="J405" s="20" t="s">
        <v>13</v>
      </c>
    </row>
    <row r="406" spans="1:10" ht="12.75">
      <c r="A406" s="24" t="str">
        <f>HYPERLINK("https://www.dndbeyond.com/magic-items/lock-of-trickery", "Lock Of Trickery")</f>
        <v>Lock Of Trickery</v>
      </c>
      <c r="B406" s="6"/>
      <c r="C406" s="22">
        <v>50</v>
      </c>
      <c r="D406" s="18" t="str">
        <f>VLOOKUP(F406,'Price Ranges'!$A$2:$B$8,2, FALSE)</f>
        <v>50-100</v>
      </c>
      <c r="E406" s="8" t="str">
        <f>VLOOKUP(F406,'Price Ranges'!$A$2:$C$8,3, FALSE)</f>
        <v>20-70</v>
      </c>
      <c r="F406" s="18" t="s">
        <v>35</v>
      </c>
      <c r="G406" s="18" t="s">
        <v>37</v>
      </c>
      <c r="H406" s="19">
        <v>138</v>
      </c>
      <c r="I406" s="18" t="s">
        <v>12</v>
      </c>
      <c r="J406" s="20" t="s">
        <v>13</v>
      </c>
    </row>
    <row r="407" spans="1:10" ht="12.75">
      <c r="A407" s="24" t="str">
        <f>HYPERLINK("https://www.dndbeyond.com/magic-items/lords-ensemble", "Lord's Ensemble")</f>
        <v>Lord's Ensemble</v>
      </c>
      <c r="B407" s="6"/>
      <c r="C407" s="22">
        <v>5000</v>
      </c>
      <c r="D407" s="18" t="str">
        <f>VLOOKUP(F407,'Price Ranges'!$A$2:$B$8,2, FALSE)</f>
        <v>501-5000</v>
      </c>
      <c r="E407" s="8" t="str">
        <f>VLOOKUP(F407,'Price Ranges'!$A$2:$C$8,3, FALSE)</f>
        <v>2000-20000</v>
      </c>
      <c r="F407" s="18" t="s">
        <v>16</v>
      </c>
      <c r="G407" s="18" t="s">
        <v>39</v>
      </c>
      <c r="H407" s="23">
        <v>191</v>
      </c>
      <c r="I407" s="18" t="s">
        <v>64</v>
      </c>
      <c r="J407" s="20" t="s">
        <v>15</v>
      </c>
    </row>
    <row r="408" spans="1:10" ht="12.75">
      <c r="A408" s="24" t="str">
        <f>HYPERLINK("https://www.dndbeyond.com/magic-items/lost-crown-of-besilmer", "Lost Crown Of Besilmer")</f>
        <v>Lost Crown Of Besilmer</v>
      </c>
      <c r="B408" s="6"/>
      <c r="C408" s="22">
        <v>23000</v>
      </c>
      <c r="D408" s="18" t="str">
        <f>VLOOKUP(F408,'Price Ranges'!$A$2:$B$8,2, FALSE)</f>
        <v>50001+</v>
      </c>
      <c r="E408" s="8" t="str">
        <f>VLOOKUP(F408,'Price Ranges'!$A$2:$C$8,3, FALSE)</f>
        <v>50000-300000</v>
      </c>
      <c r="F408" s="18" t="s">
        <v>31</v>
      </c>
      <c r="G408" s="18" t="s">
        <v>40</v>
      </c>
      <c r="H408" s="23">
        <v>223</v>
      </c>
      <c r="I408" s="18" t="s">
        <v>58</v>
      </c>
      <c r="J408" s="20" t="s">
        <v>15</v>
      </c>
    </row>
    <row r="409" spans="1:10" ht="12.75">
      <c r="A409" s="5" t="str">
        <f>HYPERLINK("https://www.dndbeyond.com/magic-items/lubas-tarokka-of-souls", "Luba's Tarokka of Souls")</f>
        <v>Luba's Tarokka of Souls</v>
      </c>
      <c r="B409" s="6"/>
      <c r="C409" s="7"/>
      <c r="D409" s="8" t="str">
        <f>VLOOKUP(F409,'Price Ranges'!$A$2:$B$8,2, FALSE)</f>
        <v>Priceless</v>
      </c>
      <c r="E409" s="8" t="str">
        <f>VLOOKUP(F409,'Price Ranges'!$A$2:$C$8,3, FALSE)</f>
        <v>Priceless</v>
      </c>
      <c r="F409" s="12" t="s">
        <v>22</v>
      </c>
      <c r="G409" s="12" t="s">
        <v>14</v>
      </c>
      <c r="H409" s="10"/>
      <c r="I409" s="8" t="s">
        <v>12</v>
      </c>
      <c r="J409" s="13" t="s">
        <v>15</v>
      </c>
    </row>
    <row r="410" spans="1:10" ht="12.75">
      <c r="A410" s="24" t="str">
        <f>HYPERLINK("https://www.dndbeyond.com/magic-items/luck-blade", "Luck Blade")</f>
        <v>Luck Blade</v>
      </c>
      <c r="B410" s="6"/>
      <c r="C410" s="22">
        <v>100000</v>
      </c>
      <c r="D410" s="18" t="str">
        <f>VLOOKUP(F410,'Price Ranges'!$A$2:$B$8,2, FALSE)</f>
        <v>50001+</v>
      </c>
      <c r="E410" s="8" t="str">
        <f>VLOOKUP(F410,'Price Ranges'!$A$2:$C$8,3, FALSE)</f>
        <v>50000-300000</v>
      </c>
      <c r="F410" s="18" t="s">
        <v>31</v>
      </c>
      <c r="G410" s="18" t="s">
        <v>20</v>
      </c>
      <c r="H410" s="23">
        <v>179</v>
      </c>
      <c r="I410" s="18" t="s">
        <v>18</v>
      </c>
      <c r="J410" s="20" t="s">
        <v>15</v>
      </c>
    </row>
    <row r="411" spans="1:10" ht="12.75">
      <c r="A411" s="5" t="str">
        <f>HYPERLINK("https://www.dndbeyond.com/magic-items/luxon-beacon", "Luxon Beacon")</f>
        <v>Luxon Beacon</v>
      </c>
      <c r="B411" s="6"/>
      <c r="C411" s="14">
        <v>35000</v>
      </c>
      <c r="D411" s="8" t="str">
        <f>VLOOKUP(F411,'Price Ranges'!$A$2:$B$8,2, FALSE)</f>
        <v>50001+</v>
      </c>
      <c r="E411" s="8" t="str">
        <f>VLOOKUP(F411,'Price Ranges'!$A$2:$C$8,3, FALSE)</f>
        <v>50000-300000</v>
      </c>
      <c r="F411" s="9" t="s">
        <v>31</v>
      </c>
      <c r="G411" s="9" t="s">
        <v>17</v>
      </c>
      <c r="H411" s="12">
        <v>268</v>
      </c>
      <c r="I411" s="9" t="s">
        <v>29</v>
      </c>
      <c r="J411" s="13" t="s">
        <v>13</v>
      </c>
    </row>
    <row r="412" spans="1:10" ht="12.75">
      <c r="A412" s="5" t="str">
        <f>HYPERLINK("https://www.dndbeyond.com/magic-items/lyre-of-building", "Lyre of Building")</f>
        <v>Lyre of Building</v>
      </c>
      <c r="B412" s="6"/>
      <c r="C412" s="7"/>
      <c r="D412" s="8" t="str">
        <f>VLOOKUP(F412,'Price Ranges'!$A$2:$B$8,2, FALSE)</f>
        <v>501-5000</v>
      </c>
      <c r="E412" s="8" t="str">
        <f>VLOOKUP(F412,'Price Ranges'!$A$2:$C$8,3, FALSE)</f>
        <v>2000-20000</v>
      </c>
      <c r="F412" s="12" t="s">
        <v>16</v>
      </c>
      <c r="G412" s="12" t="s">
        <v>14</v>
      </c>
      <c r="H412" s="10"/>
      <c r="I412" s="8" t="s">
        <v>12</v>
      </c>
      <c r="J412" s="13" t="s">
        <v>15</v>
      </c>
    </row>
    <row r="413" spans="1:10" ht="12.75">
      <c r="A413" s="24" t="str">
        <f t="shared" ref="A413:A414" si="12">HYPERLINK("https://www.dndbeyond.com/magic-items/mabaran-ebony-focus", "Mabaran Ebony Focus")</f>
        <v>Mabaran Ebony Focus</v>
      </c>
      <c r="B413" s="6"/>
      <c r="C413" s="7"/>
      <c r="D413" s="18" t="str">
        <f>VLOOKUP(F413,'Price Ranges'!$A$2:$B$8,2, FALSE)</f>
        <v>50-100</v>
      </c>
      <c r="E413" s="8" t="str">
        <f>VLOOKUP(F413,'Price Ranges'!$A$2:$C$8,3, FALSE)</f>
        <v>20-70</v>
      </c>
      <c r="F413" s="18" t="s">
        <v>35</v>
      </c>
      <c r="G413" s="18" t="s">
        <v>36</v>
      </c>
      <c r="H413" s="18"/>
      <c r="I413" s="18" t="s">
        <v>12</v>
      </c>
      <c r="J413" s="20" t="s">
        <v>15</v>
      </c>
    </row>
    <row r="414" spans="1:10" ht="12.75">
      <c r="A414" s="5" t="str">
        <f t="shared" si="12"/>
        <v>Mabaran Ebony Focus</v>
      </c>
      <c r="B414" s="6"/>
      <c r="C414" s="7"/>
      <c r="D414" s="8" t="str">
        <f>VLOOKUP(F414,'Price Ranges'!$A$2:$B$8,2, FALSE)</f>
        <v>50-100</v>
      </c>
      <c r="E414" s="8" t="str">
        <f>VLOOKUP(F414,'Price Ranges'!$A$2:$C$8,3, FALSE)</f>
        <v>20-70</v>
      </c>
      <c r="F414" s="9" t="s">
        <v>35</v>
      </c>
      <c r="G414" s="9" t="s">
        <v>33</v>
      </c>
      <c r="H414" s="10"/>
      <c r="I414" s="9" t="s">
        <v>12</v>
      </c>
      <c r="J414" s="13" t="s">
        <v>15</v>
      </c>
    </row>
    <row r="415" spans="1:10" ht="12.75">
      <c r="A415" s="24" t="str">
        <f t="shared" ref="A415:A416" si="13">HYPERLINK("https://www.dndbeyond.com/magic-items/mabaran-resonator", "Mabaran Resonator")</f>
        <v>Mabaran Resonator</v>
      </c>
      <c r="B415" s="6"/>
      <c r="C415" s="7"/>
      <c r="D415" s="18" t="str">
        <f>VLOOKUP(F415,'Price Ranges'!$A$2:$B$8,2, FALSE)</f>
        <v>50001+</v>
      </c>
      <c r="E415" s="8" t="str">
        <f>VLOOKUP(F415,'Price Ranges'!$A$2:$C$8,3, FALSE)</f>
        <v>50000-300000</v>
      </c>
      <c r="F415" s="18" t="s">
        <v>31</v>
      </c>
      <c r="G415" s="18" t="s">
        <v>36</v>
      </c>
      <c r="H415" s="18"/>
      <c r="I415" s="18" t="s">
        <v>12</v>
      </c>
      <c r="J415" s="20" t="s">
        <v>15</v>
      </c>
    </row>
    <row r="416" spans="1:10" ht="12.75">
      <c r="A416" s="5" t="str">
        <f t="shared" si="13"/>
        <v>Mabaran Resonator</v>
      </c>
      <c r="B416" s="6"/>
      <c r="C416" s="7"/>
      <c r="D416" s="8" t="str">
        <f>VLOOKUP(F416,'Price Ranges'!$A$2:$B$8,2, FALSE)</f>
        <v>50001+</v>
      </c>
      <c r="E416" s="8" t="str">
        <f>VLOOKUP(F416,'Price Ranges'!$A$2:$C$8,3, FALSE)</f>
        <v>50000-300000</v>
      </c>
      <c r="F416" s="9" t="s">
        <v>31</v>
      </c>
      <c r="G416" s="9" t="s">
        <v>33</v>
      </c>
      <c r="H416" s="10"/>
      <c r="I416" s="9" t="s">
        <v>12</v>
      </c>
      <c r="J416" s="13" t="s">
        <v>15</v>
      </c>
    </row>
    <row r="417" spans="1:10" ht="12.75">
      <c r="A417" s="24" t="str">
        <f>HYPERLINK("https://www.dndbeyond.com/magic-items/mace-of-disruption", "Mace Of Disruption")</f>
        <v>Mace Of Disruption</v>
      </c>
      <c r="B417" s="16">
        <v>8000</v>
      </c>
      <c r="C417" s="21">
        <v>1750</v>
      </c>
      <c r="D417" s="18" t="str">
        <f>VLOOKUP(F417,'Price Ranges'!$A$2:$B$8,2, FALSE)</f>
        <v>501-5000</v>
      </c>
      <c r="E417" s="8" t="str">
        <f>VLOOKUP(F417,'Price Ranges'!$A$2:$C$8,3, FALSE)</f>
        <v>2000-20000</v>
      </c>
      <c r="F417" s="18" t="s">
        <v>16</v>
      </c>
      <c r="G417" s="18" t="s">
        <v>20</v>
      </c>
      <c r="H417" s="19">
        <v>179</v>
      </c>
      <c r="I417" s="18" t="s">
        <v>18</v>
      </c>
      <c r="J417" s="20" t="s">
        <v>15</v>
      </c>
    </row>
    <row r="418" spans="1:10" ht="12.75">
      <c r="A418" s="24" t="str">
        <f>HYPERLINK("https://www.dndbeyond.com/magic-items/mace-of-smiting", "Mace Of Smiting")</f>
        <v>Mace Of Smiting</v>
      </c>
      <c r="B418" s="16">
        <v>7000</v>
      </c>
      <c r="C418" s="21">
        <v>2000</v>
      </c>
      <c r="D418" s="18" t="str">
        <f>VLOOKUP(F418,'Price Ranges'!$A$2:$B$8,2, FALSE)</f>
        <v>501-5000</v>
      </c>
      <c r="E418" s="8" t="str">
        <f>VLOOKUP(F418,'Price Ranges'!$A$2:$C$8,3, FALSE)</f>
        <v>2000-20000</v>
      </c>
      <c r="F418" s="18" t="s">
        <v>16</v>
      </c>
      <c r="G418" s="18" t="s">
        <v>20</v>
      </c>
      <c r="H418" s="19">
        <v>179</v>
      </c>
      <c r="I418" s="18" t="s">
        <v>18</v>
      </c>
      <c r="J418" s="20" t="s">
        <v>13</v>
      </c>
    </row>
    <row r="419" spans="1:10" ht="12.75">
      <c r="A419" s="24" t="str">
        <f>HYPERLINK("https://www.dndbeyond.com/magic-items/mace-of-terror", "Mace Of Terror")</f>
        <v>Mace Of Terror</v>
      </c>
      <c r="B419" s="16">
        <v>8000</v>
      </c>
      <c r="C419" s="21">
        <v>3500</v>
      </c>
      <c r="D419" s="18" t="str">
        <f>VLOOKUP(F419,'Price Ranges'!$A$2:$B$8,2, FALSE)</f>
        <v>501-5000</v>
      </c>
      <c r="E419" s="8" t="str">
        <f>VLOOKUP(F419,'Price Ranges'!$A$2:$C$8,3, FALSE)</f>
        <v>2000-20000</v>
      </c>
      <c r="F419" s="18" t="s">
        <v>16</v>
      </c>
      <c r="G419" s="18" t="s">
        <v>20</v>
      </c>
      <c r="H419" s="19">
        <v>180</v>
      </c>
      <c r="I419" s="18" t="s">
        <v>18</v>
      </c>
      <c r="J419" s="20" t="s">
        <v>15</v>
      </c>
    </row>
    <row r="420" spans="1:10" ht="12.75">
      <c r="A420" s="5" t="str">
        <f>HYPERLINK("https://www.dndbeyond.com/magic-items/mace-of-the-black-crown", "Mace of the Black Crown")</f>
        <v>Mace of the Black Crown</v>
      </c>
      <c r="B420" s="6"/>
      <c r="C420" s="7"/>
      <c r="D420" s="8" t="str">
        <f>VLOOKUP(F420,'Price Ranges'!$A$2:$B$8,2, FALSE)</f>
        <v>Priceless</v>
      </c>
      <c r="E420" s="8" t="str">
        <f>VLOOKUP(F420,'Price Ranges'!$A$2:$C$8,3, FALSE)</f>
        <v>Priceless</v>
      </c>
      <c r="F420" s="9" t="s">
        <v>22</v>
      </c>
      <c r="G420" s="9" t="s">
        <v>17</v>
      </c>
      <c r="H420" s="12">
        <v>276</v>
      </c>
      <c r="I420" s="9" t="s">
        <v>18</v>
      </c>
      <c r="J420" s="13" t="s">
        <v>15</v>
      </c>
    </row>
    <row r="421" spans="1:10" ht="12.75">
      <c r="A421" s="24" t="str">
        <f>HYPERLINK("https://www.dndbeyond.com/magic-items/mantle-of-spell-resistance", "Mantle Of Spell Resistance")</f>
        <v>Mantle Of Spell Resistance</v>
      </c>
      <c r="B421" s="16">
        <v>30000</v>
      </c>
      <c r="C421" s="21">
        <v>4200</v>
      </c>
      <c r="D421" s="18" t="str">
        <f>VLOOKUP(F421,'Price Ranges'!$A$2:$B$8,2, FALSE)</f>
        <v>501-5000</v>
      </c>
      <c r="E421" s="8" t="str">
        <f>VLOOKUP(F421,'Price Ranges'!$A$2:$C$8,3, FALSE)</f>
        <v>2000-20000</v>
      </c>
      <c r="F421" s="18" t="s">
        <v>16</v>
      </c>
      <c r="G421" s="18" t="s">
        <v>20</v>
      </c>
      <c r="H421" s="19">
        <v>180</v>
      </c>
      <c r="I421" s="18" t="s">
        <v>59</v>
      </c>
      <c r="J421" s="20" t="s">
        <v>15</v>
      </c>
    </row>
    <row r="422" spans="1:10" ht="12.75">
      <c r="A422" s="24" t="str">
        <f>HYPERLINK("https://www.dndbeyond.com/magic-items/manual-of-bodily-health", "Manual Of Bodily Health")</f>
        <v>Manual Of Bodily Health</v>
      </c>
      <c r="B422" s="6"/>
      <c r="C422" s="22">
        <v>36000</v>
      </c>
      <c r="D422" s="18" t="str">
        <f>VLOOKUP(F422,'Price Ranges'!$A$2:$B$8,2, FALSE)</f>
        <v>5001-50000</v>
      </c>
      <c r="E422" s="8" t="str">
        <f>VLOOKUP(F422,'Price Ranges'!$A$2:$C$8,3, FALSE)</f>
        <v>20000-50000</v>
      </c>
      <c r="F422" s="18" t="s">
        <v>10</v>
      </c>
      <c r="G422" s="18" t="s">
        <v>20</v>
      </c>
      <c r="H422" s="23">
        <v>180</v>
      </c>
      <c r="I422" s="18" t="s">
        <v>12</v>
      </c>
      <c r="J422" s="20" t="s">
        <v>13</v>
      </c>
    </row>
    <row r="423" spans="1:10" ht="12.75">
      <c r="A423" s="24" t="str">
        <f>HYPERLINK("https://www.dndbeyond.com/magic-items/manual-of-gainful-exercise", "Manual Of Gainful Exercise")</f>
        <v>Manual Of Gainful Exercise</v>
      </c>
      <c r="B423" s="6"/>
      <c r="C423" s="22">
        <v>36000</v>
      </c>
      <c r="D423" s="18" t="str">
        <f>VLOOKUP(F423,'Price Ranges'!$A$2:$B$8,2, FALSE)</f>
        <v>5001-50000</v>
      </c>
      <c r="E423" s="8" t="str">
        <f>VLOOKUP(F423,'Price Ranges'!$A$2:$C$8,3, FALSE)</f>
        <v>20000-50000</v>
      </c>
      <c r="F423" s="18" t="s">
        <v>10</v>
      </c>
      <c r="G423" s="18" t="s">
        <v>20</v>
      </c>
      <c r="H423" s="23">
        <v>180</v>
      </c>
      <c r="I423" s="18" t="s">
        <v>12</v>
      </c>
      <c r="J423" s="20" t="s">
        <v>13</v>
      </c>
    </row>
    <row r="424" spans="1:10" ht="12.75">
      <c r="A424" s="24" t="str">
        <f>HYPERLINK("https://www.dndbeyond.com/magic-items/manual-of-golems", "Manual Of Golems")</f>
        <v>Manual Of Golems</v>
      </c>
      <c r="B424" s="6"/>
      <c r="C424" s="22">
        <v>22000</v>
      </c>
      <c r="D424" s="18" t="str">
        <f>VLOOKUP(F424,'Price Ranges'!$A$2:$B$8,2, FALSE)</f>
        <v>5001-50000</v>
      </c>
      <c r="E424" s="8" t="str">
        <f>VLOOKUP(F424,'Price Ranges'!$A$2:$C$8,3, FALSE)</f>
        <v>20000-50000</v>
      </c>
      <c r="F424" s="18" t="s">
        <v>10</v>
      </c>
      <c r="G424" s="18" t="s">
        <v>20</v>
      </c>
      <c r="H424" s="23">
        <v>180</v>
      </c>
      <c r="I424" s="18" t="s">
        <v>12</v>
      </c>
      <c r="J424" s="20" t="s">
        <v>13</v>
      </c>
    </row>
    <row r="425" spans="1:10" ht="12.75">
      <c r="A425" s="24" t="str">
        <f>HYPERLINK("https://www.dndbeyond.com/magic-items/manual-of-quickness-of-action", "Manual Of Quickness Of Action")</f>
        <v>Manual Of Quickness Of Action</v>
      </c>
      <c r="B425" s="6"/>
      <c r="C425" s="22">
        <v>36000</v>
      </c>
      <c r="D425" s="18" t="str">
        <f>VLOOKUP(F425,'Price Ranges'!$A$2:$B$8,2, FALSE)</f>
        <v>5001-50000</v>
      </c>
      <c r="E425" s="8" t="str">
        <f>VLOOKUP(F425,'Price Ranges'!$A$2:$C$8,3, FALSE)</f>
        <v>20000-50000</v>
      </c>
      <c r="F425" s="18" t="s">
        <v>10</v>
      </c>
      <c r="G425" s="18" t="s">
        <v>20</v>
      </c>
      <c r="H425" s="35">
        <v>181</v>
      </c>
      <c r="I425" s="18" t="s">
        <v>12</v>
      </c>
      <c r="J425" s="20" t="s">
        <v>13</v>
      </c>
    </row>
    <row r="426" spans="1:10" ht="12.75">
      <c r="A426" s="24" t="str">
        <f>HYPERLINK("https://www.dndbeyond.com/magic-items/many-handed-pouch", "Many-Handed Pouch")</f>
        <v>Many-Handed Pouch</v>
      </c>
      <c r="B426" s="6"/>
      <c r="C426" s="36"/>
      <c r="D426" s="18" t="str">
        <f>VLOOKUP(F426,'Price Ranges'!$A$2:$B$8,2, FALSE)</f>
        <v>Varies</v>
      </c>
      <c r="E426" s="8" t="str">
        <f>VLOOKUP(F426,'Price Ranges'!$A$2:$C$8,3, FALSE)</f>
        <v>Varies</v>
      </c>
      <c r="F426" s="18" t="s">
        <v>24</v>
      </c>
      <c r="G426" s="18" t="s">
        <v>34</v>
      </c>
      <c r="H426" s="8"/>
      <c r="I426" s="18" t="s">
        <v>12</v>
      </c>
      <c r="J426" s="20" t="s">
        <v>13</v>
      </c>
    </row>
    <row r="427" spans="1:10" ht="12.75">
      <c r="A427" s="24" t="str">
        <f>HYPERLINK("https://www.dndbeyond.com/magic-items/mariners-armor", "Mariner's Armor")</f>
        <v>Mariner's Armor</v>
      </c>
      <c r="B427" s="16">
        <v>1500</v>
      </c>
      <c r="C427" s="37">
        <v>400</v>
      </c>
      <c r="D427" s="18" t="str">
        <f>VLOOKUP(F427,'Price Ranges'!$A$2:$B$8,2, FALSE)</f>
        <v>101-500</v>
      </c>
      <c r="E427" s="8" t="str">
        <f>VLOOKUP(F427,'Price Ranges'!$A$2:$C$8,3, FALSE)</f>
        <v>100-600</v>
      </c>
      <c r="F427" s="18" t="s">
        <v>19</v>
      </c>
      <c r="G427" s="18" t="s">
        <v>20</v>
      </c>
      <c r="H427" s="19">
        <v>181</v>
      </c>
      <c r="I427" s="18" t="s">
        <v>21</v>
      </c>
      <c r="J427" s="20" t="s">
        <v>13</v>
      </c>
    </row>
    <row r="428" spans="1:10" ht="12.75">
      <c r="A428" s="24" t="str">
        <f>HYPERLINK("https://www.dndbeyond.com/magic-items/marvelous-pigments", "Marvelous Pigments")</f>
        <v>Marvelous Pigments</v>
      </c>
      <c r="B428" s="6"/>
      <c r="C428" s="14">
        <v>16000</v>
      </c>
      <c r="D428" s="18" t="str">
        <f>VLOOKUP(F428,'Price Ranges'!$A$2:$B$8,2, FALSE)</f>
        <v>5001-50000</v>
      </c>
      <c r="E428" s="8" t="str">
        <f>VLOOKUP(F428,'Price Ranges'!$A$2:$C$8,3, FALSE)</f>
        <v>20000-50000</v>
      </c>
      <c r="F428" s="18" t="s">
        <v>10</v>
      </c>
      <c r="G428" s="18" t="s">
        <v>32</v>
      </c>
      <c r="H428" s="26"/>
      <c r="I428" s="18" t="s">
        <v>12</v>
      </c>
      <c r="J428" s="20" t="s">
        <v>13</v>
      </c>
    </row>
    <row r="429" spans="1:10" ht="12.75">
      <c r="A429" s="24" t="str">
        <f>HYPERLINK("https://www.dndbeyond.com/magic-items/mask-of-the-beast", "Mask Of The Beast")</f>
        <v>Mask Of The Beast</v>
      </c>
      <c r="B429" s="6"/>
      <c r="C429" s="22">
        <v>200</v>
      </c>
      <c r="D429" s="18" t="str">
        <f>VLOOKUP(F429,'Price Ranges'!$A$2:$B$8,2, FALSE)</f>
        <v>101-500</v>
      </c>
      <c r="E429" s="8" t="str">
        <f>VLOOKUP(F429,'Price Ranges'!$A$2:$C$8,3, FALSE)</f>
        <v>100-600</v>
      </c>
      <c r="F429" s="18" t="s">
        <v>19</v>
      </c>
      <c r="G429" s="18" t="s">
        <v>28</v>
      </c>
      <c r="H429" s="23">
        <v>207</v>
      </c>
      <c r="I429" s="18" t="s">
        <v>48</v>
      </c>
      <c r="J429" s="20" t="s">
        <v>13</v>
      </c>
    </row>
    <row r="430" spans="1:10" ht="12.75">
      <c r="A430" s="24" t="str">
        <f>HYPERLINK("https://www.dndbeyond.com/magic-items/mask-of-the-dragon-queen", "Mask Of The Dragon Queen")</f>
        <v>Mask Of The Dragon Queen</v>
      </c>
      <c r="B430" s="6"/>
      <c r="C430" s="7"/>
      <c r="D430" s="18" t="str">
        <f>VLOOKUP(F430,'Price Ranges'!$A$2:$B$8,2, FALSE)</f>
        <v>50001+</v>
      </c>
      <c r="E430" s="8" t="str">
        <f>VLOOKUP(F430,'Price Ranges'!$A$2:$C$8,3, FALSE)</f>
        <v>50000-300000</v>
      </c>
      <c r="F430" s="18" t="s">
        <v>31</v>
      </c>
      <c r="G430" s="18" t="s">
        <v>53</v>
      </c>
      <c r="H430" s="26"/>
      <c r="I430" s="18" t="s">
        <v>12</v>
      </c>
      <c r="J430" s="20" t="s">
        <v>15</v>
      </c>
    </row>
    <row r="431" spans="1:10" ht="12.75">
      <c r="A431" s="5" t="str">
        <f>HYPERLINK("https://www.dndbeyond.com/magic-items/masquerade-tattoo", "Masquerade Tattoo")</f>
        <v>Masquerade Tattoo</v>
      </c>
      <c r="B431" s="6"/>
      <c r="C431" s="7"/>
      <c r="D431" s="8" t="str">
        <f>VLOOKUP(F431,'Price Ranges'!$A$2:$B$8,2, FALSE)</f>
        <v>50-100</v>
      </c>
      <c r="E431" s="8" t="str">
        <f>VLOOKUP(F431,'Price Ranges'!$A$2:$C$8,3, FALSE)</f>
        <v>20-70</v>
      </c>
      <c r="F431" s="12" t="s">
        <v>35</v>
      </c>
      <c r="G431" s="12" t="s">
        <v>14</v>
      </c>
      <c r="H431" s="10"/>
      <c r="I431" s="8" t="s">
        <v>12</v>
      </c>
      <c r="J431" s="13" t="s">
        <v>15</v>
      </c>
    </row>
    <row r="432" spans="1:10" ht="12.75">
      <c r="A432" s="24" t="str">
        <f>HYPERLINK("https://www.dndbeyond.com/magic-items/masters-amulet", "Master's Amulet")</f>
        <v>Master's Amulet</v>
      </c>
      <c r="B432" s="6"/>
      <c r="C432" s="7"/>
      <c r="D432" s="18" t="str">
        <f>VLOOKUP(F432,'Price Ranges'!$A$2:$B$8,2, FALSE)</f>
        <v>501-5000</v>
      </c>
      <c r="E432" s="8" t="str">
        <f>VLOOKUP(F432,'Price Ranges'!$A$2:$C$8,3, FALSE)</f>
        <v>2000-20000</v>
      </c>
      <c r="F432" s="18" t="s">
        <v>16</v>
      </c>
      <c r="G432" s="18" t="s">
        <v>32</v>
      </c>
      <c r="H432" s="26"/>
      <c r="I432" s="18" t="s">
        <v>12</v>
      </c>
      <c r="J432" s="20" t="s">
        <v>13</v>
      </c>
    </row>
    <row r="433" spans="1:10" ht="12.75">
      <c r="A433" s="24" t="str">
        <f>HYPERLINK("https://www.dndbeyond.com/magic-items/masters-call", "Master's Call")</f>
        <v>Master's Call</v>
      </c>
      <c r="B433" s="6"/>
      <c r="C433" s="7"/>
      <c r="D433" s="18" t="str">
        <f>VLOOKUP(F433,'Price Ranges'!$A$2:$B$8,2, FALSE)</f>
        <v>50001+</v>
      </c>
      <c r="E433" s="8" t="str">
        <f>VLOOKUP(F433,'Price Ranges'!$A$2:$C$8,3, FALSE)</f>
        <v>50000-300000</v>
      </c>
      <c r="F433" s="18" t="s">
        <v>31</v>
      </c>
      <c r="G433" s="18" t="s">
        <v>36</v>
      </c>
      <c r="H433" s="26"/>
      <c r="I433" s="18" t="s">
        <v>12</v>
      </c>
      <c r="J433" s="20" t="s">
        <v>15</v>
      </c>
    </row>
    <row r="434" spans="1:10" ht="12.75">
      <c r="A434" s="5" t="str">
        <f>HYPERLINK("https://www.dndbeyond.com/magic-items/masters-call", "Masters Call")</f>
        <v>Masters Call</v>
      </c>
      <c r="B434" s="6"/>
      <c r="C434" s="7"/>
      <c r="D434" s="8" t="str">
        <f>VLOOKUP(F434,'Price Ranges'!$A$2:$B$8,2, FALSE)</f>
        <v>50001+</v>
      </c>
      <c r="E434" s="8" t="str">
        <f>VLOOKUP(F434,'Price Ranges'!$A$2:$C$8,3, FALSE)</f>
        <v>50000-300000</v>
      </c>
      <c r="F434" s="9" t="s">
        <v>31</v>
      </c>
      <c r="G434" s="9" t="s">
        <v>33</v>
      </c>
      <c r="H434" s="8"/>
      <c r="I434" s="9" t="s">
        <v>12</v>
      </c>
      <c r="J434" s="13" t="s">
        <v>15</v>
      </c>
    </row>
    <row r="435" spans="1:10" ht="12.75">
      <c r="A435" s="15" t="str">
        <f>HYPERLINK("https://www.dndbeyond.com/magic-items/mastix-whip-of-erebos", "Mastix, Whip of Erebos")</f>
        <v>Mastix, Whip of Erebos</v>
      </c>
      <c r="B435" s="6"/>
      <c r="C435" s="7"/>
      <c r="D435" s="8" t="str">
        <f>VLOOKUP(F435,'Price Ranges'!$A$2:$B$8,2, FALSE)</f>
        <v>Priceless</v>
      </c>
      <c r="E435" s="8" t="str">
        <f>VLOOKUP(F435,'Price Ranges'!$A$2:$C$8,3, FALSE)</f>
        <v>Priceless</v>
      </c>
      <c r="F435" s="9" t="s">
        <v>22</v>
      </c>
      <c r="G435" s="9" t="s">
        <v>23</v>
      </c>
      <c r="H435" s="10"/>
      <c r="I435" s="9" t="s">
        <v>18</v>
      </c>
      <c r="J435" s="13" t="s">
        <v>15</v>
      </c>
    </row>
    <row r="436" spans="1:10" ht="12.75">
      <c r="A436" s="24" t="str">
        <f>HYPERLINK("https://www.dndbeyond.com/magic-items/matalotok", "Matalotok")</f>
        <v>Matalotok</v>
      </c>
      <c r="B436" s="6"/>
      <c r="C436" s="14">
        <v>70000</v>
      </c>
      <c r="D436" s="18" t="str">
        <f>VLOOKUP(F436,'Price Ranges'!$A$2:$B$8,2, FALSE)</f>
        <v>50001+</v>
      </c>
      <c r="E436" s="8" t="str">
        <f>VLOOKUP(F436,'Price Ranges'!$A$2:$C$8,3, FALSE)</f>
        <v>50000-300000</v>
      </c>
      <c r="F436" s="18" t="s">
        <v>31</v>
      </c>
      <c r="G436" s="18" t="s">
        <v>44</v>
      </c>
      <c r="H436" s="26"/>
      <c r="I436" s="18" t="s">
        <v>18</v>
      </c>
      <c r="J436" s="20" t="s">
        <v>15</v>
      </c>
    </row>
    <row r="437" spans="1:10" ht="12.75">
      <c r="A437" s="24" t="str">
        <f>HYPERLINK("https://www.dndbeyond.com/magic-items/medallion-of-thoughts", "Medallion Of Thoughts")</f>
        <v>Medallion Of Thoughts</v>
      </c>
      <c r="B437" s="16">
        <v>3000</v>
      </c>
      <c r="C437" s="21">
        <v>300</v>
      </c>
      <c r="D437" s="18" t="str">
        <f>VLOOKUP(F437,'Price Ranges'!$A$2:$B$8,2, FALSE)</f>
        <v>101-500</v>
      </c>
      <c r="E437" s="8" t="str">
        <f>VLOOKUP(F437,'Price Ranges'!$A$2:$C$8,3, FALSE)</f>
        <v>100-600</v>
      </c>
      <c r="F437" s="18" t="s">
        <v>19</v>
      </c>
      <c r="G437" s="18" t="s">
        <v>20</v>
      </c>
      <c r="H437" s="19">
        <v>181</v>
      </c>
      <c r="I437" s="18" t="s">
        <v>26</v>
      </c>
      <c r="J437" s="20" t="s">
        <v>15</v>
      </c>
    </row>
    <row r="438" spans="1:10" ht="12.75">
      <c r="A438" s="5" t="str">
        <f>HYPERLINK("https://www.dndbeyond.com/magic-items/mighty-servant-of-leuk-o", "Mighty Servant of Leuk-o")</f>
        <v>Mighty Servant of Leuk-o</v>
      </c>
      <c r="B438" s="6"/>
      <c r="C438" s="7"/>
      <c r="D438" s="8" t="str">
        <f>VLOOKUP(F438,'Price Ranges'!$A$2:$B$8,2, FALSE)</f>
        <v>Priceless</v>
      </c>
      <c r="E438" s="8" t="str">
        <f>VLOOKUP(F438,'Price Ranges'!$A$2:$C$8,3, FALSE)</f>
        <v>Priceless</v>
      </c>
      <c r="F438" s="12" t="s">
        <v>22</v>
      </c>
      <c r="G438" s="12" t="s">
        <v>14</v>
      </c>
      <c r="H438" s="10"/>
      <c r="I438" s="8" t="s">
        <v>12</v>
      </c>
      <c r="J438" s="13" t="s">
        <v>15</v>
      </c>
    </row>
    <row r="439" spans="1:10" ht="12.75">
      <c r="A439" s="24" t="str">
        <f>HYPERLINK("https://www.dndbeyond.com/magic-items/mind-blade", "Mind Blade")</f>
        <v>Mind Blade</v>
      </c>
      <c r="B439" s="6"/>
      <c r="C439" s="7"/>
      <c r="D439" s="18" t="str">
        <f>VLOOKUP(F439,'Price Ranges'!$A$2:$B$8,2, FALSE)</f>
        <v>501-5000</v>
      </c>
      <c r="E439" s="8" t="str">
        <f>VLOOKUP(F439,'Price Ranges'!$A$2:$C$8,3, FALSE)</f>
        <v>2000-20000</v>
      </c>
      <c r="F439" s="18" t="s">
        <v>16</v>
      </c>
      <c r="G439" s="18" t="s">
        <v>71</v>
      </c>
      <c r="H439" s="18"/>
      <c r="I439" s="18" t="s">
        <v>18</v>
      </c>
      <c r="J439" s="20" t="s">
        <v>15</v>
      </c>
    </row>
    <row r="440" spans="1:10" ht="12.75">
      <c r="A440" s="24" t="str">
        <f>HYPERLINK("https://www.dndbeyond.com/magic-items/mind-carapace-armor", "Mind Carapace Armor")</f>
        <v>Mind Carapace Armor</v>
      </c>
      <c r="B440" s="6"/>
      <c r="C440" s="7"/>
      <c r="D440" s="18" t="str">
        <f>VLOOKUP(F440,'Price Ranges'!$A$2:$B$8,2, FALSE)</f>
        <v>101-500</v>
      </c>
      <c r="E440" s="8" t="str">
        <f>VLOOKUP(F440,'Price Ranges'!$A$2:$C$8,3, FALSE)</f>
        <v>100-600</v>
      </c>
      <c r="F440" s="18" t="s">
        <v>19</v>
      </c>
      <c r="G440" s="18" t="s">
        <v>71</v>
      </c>
      <c r="H440" s="18"/>
      <c r="I440" s="18" t="s">
        <v>21</v>
      </c>
      <c r="J440" s="20" t="s">
        <v>15</v>
      </c>
    </row>
    <row r="441" spans="1:10" ht="12.75">
      <c r="A441" s="24" t="str">
        <f>HYPERLINK("https://www.dndbeyond.com/magic-items/mind-lash", "Mind Lash")</f>
        <v>Mind Lash</v>
      </c>
      <c r="B441" s="6"/>
      <c r="C441" s="7"/>
      <c r="D441" s="18" t="str">
        <f>VLOOKUP(F441,'Price Ranges'!$A$2:$B$8,2, FALSE)</f>
        <v>501-5000</v>
      </c>
      <c r="E441" s="8" t="str">
        <f>VLOOKUP(F441,'Price Ranges'!$A$2:$C$8,3, FALSE)</f>
        <v>2000-20000</v>
      </c>
      <c r="F441" s="18" t="s">
        <v>16</v>
      </c>
      <c r="G441" s="18" t="s">
        <v>71</v>
      </c>
      <c r="H441" s="18"/>
      <c r="I441" s="18" t="s">
        <v>18</v>
      </c>
      <c r="J441" s="20" t="s">
        <v>15</v>
      </c>
    </row>
    <row r="442" spans="1:10" ht="12.75">
      <c r="A442" s="24" t="str">
        <f>HYPERLINK("https://www.dndbeyond.com/magic-items/mirror-of-life-trapping", "Mirror Of Life Trapping")</f>
        <v>Mirror Of Life Trapping</v>
      </c>
      <c r="B442" s="16">
        <v>18000</v>
      </c>
      <c r="C442" s="21">
        <v>50000</v>
      </c>
      <c r="D442" s="18" t="str">
        <f>VLOOKUP(F442,'Price Ranges'!$A$2:$B$8,2, FALSE)</f>
        <v>5001-50000</v>
      </c>
      <c r="E442" s="8" t="str">
        <f>VLOOKUP(F442,'Price Ranges'!$A$2:$C$8,3, FALSE)</f>
        <v>20000-50000</v>
      </c>
      <c r="F442" s="18" t="s">
        <v>10</v>
      </c>
      <c r="G442" s="18" t="s">
        <v>20</v>
      </c>
      <c r="H442" s="19">
        <v>181</v>
      </c>
      <c r="I442" s="18" t="s">
        <v>12</v>
      </c>
      <c r="J442" s="20" t="s">
        <v>13</v>
      </c>
    </row>
    <row r="443" spans="1:10" ht="12.75">
      <c r="A443" s="24" t="str">
        <f>HYPERLINK("https://www.dndbeyond.com/magic-items/mirror-of-the-past", "Mirror Of The Past")</f>
        <v>Mirror Of The Past</v>
      </c>
      <c r="B443" s="6"/>
      <c r="C443" s="22">
        <v>3800</v>
      </c>
      <c r="D443" s="18" t="str">
        <f>VLOOKUP(F443,'Price Ranges'!$A$2:$B$8,2, FALSE)</f>
        <v>501-5000</v>
      </c>
      <c r="E443" s="8" t="str">
        <f>VLOOKUP(F443,'Price Ranges'!$A$2:$C$8,3, FALSE)</f>
        <v>2000-20000</v>
      </c>
      <c r="F443" s="18" t="s">
        <v>16</v>
      </c>
      <c r="G443" s="18" t="s">
        <v>27</v>
      </c>
      <c r="H443" s="23">
        <v>228</v>
      </c>
      <c r="I443" s="18" t="s">
        <v>12</v>
      </c>
      <c r="J443" s="20" t="s">
        <v>13</v>
      </c>
    </row>
    <row r="444" spans="1:10" ht="12.75">
      <c r="A444" s="24" t="str">
        <f>HYPERLINK("https://www.dndbeyond.com/magic-items/mithral-armor", "Mithral Armor (medium or heavy, not hide)")</f>
        <v>Mithral Armor (medium or heavy, not hide)</v>
      </c>
      <c r="B444" s="16">
        <v>800</v>
      </c>
      <c r="C444" s="17">
        <v>450</v>
      </c>
      <c r="D444" s="18" t="str">
        <f>VLOOKUP(F444,'Price Ranges'!$A$2:$B$8,2, FALSE)</f>
        <v>101-500</v>
      </c>
      <c r="E444" s="8" t="str">
        <f>VLOOKUP(F444,'Price Ranges'!$A$2:$C$8,3, FALSE)</f>
        <v>100-600</v>
      </c>
      <c r="F444" s="18" t="s">
        <v>19</v>
      </c>
      <c r="G444" s="18" t="s">
        <v>20</v>
      </c>
      <c r="H444" s="19">
        <v>182</v>
      </c>
      <c r="I444" s="18" t="s">
        <v>21</v>
      </c>
      <c r="J444" s="20" t="s">
        <v>13</v>
      </c>
    </row>
    <row r="445" spans="1:10" ht="12.75">
      <c r="A445" s="24" t="str">
        <f>HYPERLINK("https://www.dndbeyond.com/magic-items/mithral-half-plate-1", "Mithral Half Plate, +1")</f>
        <v>Mithral Half Plate, +1</v>
      </c>
      <c r="B445" s="6"/>
      <c r="C445" s="7"/>
      <c r="D445" s="18" t="str">
        <f>VLOOKUP(F445,'Price Ranges'!$A$2:$B$8,2, FALSE)</f>
        <v>501-5000</v>
      </c>
      <c r="E445" s="8" t="str">
        <f>VLOOKUP(F445,'Price Ranges'!$A$2:$C$8,3, FALSE)</f>
        <v>2000-20000</v>
      </c>
      <c r="F445" s="18" t="s">
        <v>16</v>
      </c>
      <c r="G445" s="18" t="s">
        <v>60</v>
      </c>
      <c r="H445" s="26"/>
      <c r="I445" s="18" t="s">
        <v>21</v>
      </c>
      <c r="J445" s="20" t="s">
        <v>13</v>
      </c>
    </row>
    <row r="446" spans="1:10" ht="12.75">
      <c r="A446" s="24" t="str">
        <f>HYPERLINK("https://www.dndbeyond.com/magic-items/mizzium-apparatus", "Mizzium Apparatus")</f>
        <v>Mizzium Apparatus</v>
      </c>
      <c r="B446" s="6"/>
      <c r="C446" s="22">
        <v>500</v>
      </c>
      <c r="D446" s="18" t="str">
        <f>VLOOKUP(F446,'Price Ranges'!$A$2:$B$8,2, FALSE)</f>
        <v>101-500</v>
      </c>
      <c r="E446" s="8" t="str">
        <f>VLOOKUP(F446,'Price Ranges'!$A$2:$C$8,3, FALSE)</f>
        <v>100-600</v>
      </c>
      <c r="F446" s="18" t="s">
        <v>19</v>
      </c>
      <c r="G446" s="18" t="s">
        <v>69</v>
      </c>
      <c r="H446" s="23">
        <v>179</v>
      </c>
      <c r="I446" s="18" t="s">
        <v>64</v>
      </c>
      <c r="J446" s="20" t="s">
        <v>15</v>
      </c>
    </row>
    <row r="447" spans="1:10" ht="12.75">
      <c r="A447" s="24" t="str">
        <f>HYPERLINK("https://www.dndbeyond.com/magic-items/mizzium-armor", "Mizzium Armor")</f>
        <v>Mizzium Armor</v>
      </c>
      <c r="B447" s="6"/>
      <c r="C447" s="28">
        <v>1500</v>
      </c>
      <c r="D447" s="18" t="str">
        <f>VLOOKUP(F447,'Price Ranges'!$A$2:$B$8,2, FALSE)</f>
        <v>501-5000</v>
      </c>
      <c r="E447" s="8" t="str">
        <f>VLOOKUP(F447,'Price Ranges'!$A$2:$C$8,3, FALSE)</f>
        <v>2000-20000</v>
      </c>
      <c r="F447" s="18" t="s">
        <v>16</v>
      </c>
      <c r="G447" s="18" t="s">
        <v>69</v>
      </c>
      <c r="H447" s="23">
        <v>179</v>
      </c>
      <c r="I447" s="18" t="s">
        <v>21</v>
      </c>
      <c r="J447" s="20" t="s">
        <v>13</v>
      </c>
    </row>
    <row r="448" spans="1:10" ht="12.75">
      <c r="A448" s="24" t="str">
        <f>HYPERLINK("https://www.dndbeyond.com/magic-items/mizzium-mortar", "Mizzium Mortar")</f>
        <v>Mizzium Mortar</v>
      </c>
      <c r="B448" s="6"/>
      <c r="C448" s="22">
        <v>2100</v>
      </c>
      <c r="D448" s="18" t="str">
        <f>VLOOKUP(F448,'Price Ranges'!$A$2:$B$8,2, FALSE)</f>
        <v>501-5000</v>
      </c>
      <c r="E448" s="8" t="str">
        <f>VLOOKUP(F448,'Price Ranges'!$A$2:$C$8,3, FALSE)</f>
        <v>2000-20000</v>
      </c>
      <c r="F448" s="18" t="s">
        <v>16</v>
      </c>
      <c r="G448" s="18" t="s">
        <v>69</v>
      </c>
      <c r="H448" s="23">
        <v>179</v>
      </c>
      <c r="I448" s="18" t="s">
        <v>12</v>
      </c>
      <c r="J448" s="20" t="s">
        <v>13</v>
      </c>
    </row>
    <row r="449" spans="1:10" ht="12.75">
      <c r="A449" s="5" t="str">
        <f>HYPERLINK("https://www.dndbeyond.com/magic-items/molten-bronze-skin", "Molten Bronze Skin")</f>
        <v>Molten Bronze Skin</v>
      </c>
      <c r="B449" s="6"/>
      <c r="C449" s="38">
        <v>1300</v>
      </c>
      <c r="D449" s="8" t="str">
        <f>VLOOKUP(F449,'Price Ranges'!$A$2:$B$8,2, FALSE)</f>
        <v>501-5000</v>
      </c>
      <c r="E449" s="8" t="str">
        <f>VLOOKUP(F449,'Price Ranges'!$A$2:$C$8,3, FALSE)</f>
        <v>2000-20000</v>
      </c>
      <c r="F449" s="9" t="s">
        <v>16</v>
      </c>
      <c r="G449" s="9" t="s">
        <v>23</v>
      </c>
      <c r="H449" s="10"/>
      <c r="I449" s="9" t="s">
        <v>21</v>
      </c>
      <c r="J449" s="13" t="s">
        <v>15</v>
      </c>
    </row>
    <row r="450" spans="1:10" ht="12.75">
      <c r="A450" s="24" t="str">
        <f>HYPERLINK("https://www.dndbeyond.com/magic-items/moodmark-paint", "Moodmark Paint")</f>
        <v>Moodmark Paint</v>
      </c>
      <c r="B450" s="6"/>
      <c r="C450" s="22">
        <v>50</v>
      </c>
      <c r="D450" s="18" t="str">
        <f>VLOOKUP(F450,'Price Ranges'!$A$2:$B$8,2, FALSE)</f>
        <v>50-100</v>
      </c>
      <c r="E450" s="8" t="str">
        <f>VLOOKUP(F450,'Price Ranges'!$A$2:$C$8,3, FALSE)</f>
        <v>20-70</v>
      </c>
      <c r="F450" s="18" t="s">
        <v>35</v>
      </c>
      <c r="G450" s="18" t="s">
        <v>69</v>
      </c>
      <c r="H450" s="23">
        <v>180</v>
      </c>
      <c r="I450" s="18" t="s">
        <v>12</v>
      </c>
      <c r="J450" s="20" t="s">
        <v>13</v>
      </c>
    </row>
    <row r="451" spans="1:10" ht="12.75">
      <c r="A451" s="5" t="str">
        <f>HYPERLINK("https://www.dndbeyond.com/magic-items/moon-sickle", "Moon Sickle")</f>
        <v>Moon Sickle</v>
      </c>
      <c r="B451" s="6"/>
      <c r="C451" s="7"/>
      <c r="D451" s="8" t="str">
        <f>VLOOKUP(F451,'Price Ranges'!$A$2:$B$8,2, FALSE)</f>
        <v>Varies</v>
      </c>
      <c r="E451" s="8" t="str">
        <f>VLOOKUP(F451,'Price Ranges'!$A$2:$C$8,3, FALSE)</f>
        <v>Varies</v>
      </c>
      <c r="F451" s="12" t="s">
        <v>24</v>
      </c>
      <c r="G451" s="12" t="s">
        <v>14</v>
      </c>
      <c r="H451" s="10"/>
      <c r="I451" s="9" t="s">
        <v>18</v>
      </c>
      <c r="J451" s="13" t="s">
        <v>15</v>
      </c>
    </row>
    <row r="452" spans="1:10" ht="12.75">
      <c r="A452" s="24" t="str">
        <f>HYPERLINK("https://www.dndbeyond.com/magic-items/moon-touched-sword", "Moon-Touched Sword")</f>
        <v>Moon-Touched Sword</v>
      </c>
      <c r="B452" s="6"/>
      <c r="C452" s="38">
        <v>75</v>
      </c>
      <c r="D452" s="18" t="str">
        <f>VLOOKUP(F452,'Price Ranges'!$A$2:$B$8,2, FALSE)</f>
        <v>50-100</v>
      </c>
      <c r="E452" s="8" t="str">
        <f>VLOOKUP(F452,'Price Ranges'!$A$2:$C$8,3, FALSE)</f>
        <v>20-70</v>
      </c>
      <c r="F452" s="18" t="s">
        <v>35</v>
      </c>
      <c r="G452" s="18" t="s">
        <v>37</v>
      </c>
      <c r="H452" s="19">
        <v>138</v>
      </c>
      <c r="I452" s="18" t="s">
        <v>18</v>
      </c>
      <c r="J452" s="20" t="s">
        <v>13</v>
      </c>
    </row>
    <row r="453" spans="1:10" ht="12.75">
      <c r="A453" s="24" t="str">
        <f>HYPERLINK("https://www.dndbeyond.com/magic-items/moonblade", "Moonblade")</f>
        <v>Moonblade</v>
      </c>
      <c r="B453" s="6"/>
      <c r="C453" s="7"/>
      <c r="D453" s="18" t="str">
        <f>VLOOKUP(F453,'Price Ranges'!$A$2:$B$8,2, FALSE)</f>
        <v>50001+</v>
      </c>
      <c r="E453" s="8" t="str">
        <f>VLOOKUP(F453,'Price Ranges'!$A$2:$C$8,3, FALSE)</f>
        <v>50000-300000</v>
      </c>
      <c r="F453" s="18" t="s">
        <v>31</v>
      </c>
      <c r="G453" s="18" t="s">
        <v>20</v>
      </c>
      <c r="H453" s="26"/>
      <c r="I453" s="18" t="s">
        <v>18</v>
      </c>
      <c r="J453" s="20" t="s">
        <v>15</v>
      </c>
    </row>
    <row r="454" spans="1:10" ht="12.75">
      <c r="A454" s="24" t="str">
        <f>HYPERLINK("https://www.dndbeyond.com/magic-items/mystery-key", "Mystery Key")</f>
        <v>Mystery Key</v>
      </c>
      <c r="B454" s="6"/>
      <c r="C454" s="22">
        <v>50</v>
      </c>
      <c r="D454" s="18" t="str">
        <f>VLOOKUP(F454,'Price Ranges'!$A$2:$B$8,2, FALSE)</f>
        <v>50-100</v>
      </c>
      <c r="E454" s="8" t="str">
        <f>VLOOKUP(F454,'Price Ranges'!$A$2:$C$8,3, FALSE)</f>
        <v>20-70</v>
      </c>
      <c r="F454" s="18" t="s">
        <v>35</v>
      </c>
      <c r="G454" s="18" t="s">
        <v>37</v>
      </c>
      <c r="H454" s="19">
        <v>138</v>
      </c>
      <c r="I454" s="18" t="s">
        <v>12</v>
      </c>
      <c r="J454" s="20" t="s">
        <v>13</v>
      </c>
    </row>
    <row r="455" spans="1:10" ht="12.75">
      <c r="A455" s="5" t="str">
        <f>HYPERLINK("https://www.dndbeyond.com/magic-items/natures-mantle", "Nature's Mantle")</f>
        <v>Nature's Mantle</v>
      </c>
      <c r="B455" s="6"/>
      <c r="C455" s="7"/>
      <c r="D455" s="8" t="str">
        <f>VLOOKUP(F455,'Price Ranges'!$A$2:$B$8,2, FALSE)</f>
        <v>101-500</v>
      </c>
      <c r="E455" s="8" t="str">
        <f>VLOOKUP(F455,'Price Ranges'!$A$2:$C$8,3, FALSE)</f>
        <v>100-600</v>
      </c>
      <c r="F455" s="12" t="s">
        <v>19</v>
      </c>
      <c r="G455" s="12" t="s">
        <v>14</v>
      </c>
      <c r="H455" s="10"/>
      <c r="I455" s="8" t="s">
        <v>12</v>
      </c>
      <c r="J455" s="13" t="s">
        <v>15</v>
      </c>
    </row>
    <row r="456" spans="1:10" ht="12.75">
      <c r="A456" s="24" t="str">
        <f>HYPERLINK("https://www.dndbeyond.com/magic-items/navigation-orb", "Navigation Orb")</f>
        <v>Navigation Orb</v>
      </c>
      <c r="B456" s="6"/>
      <c r="C456" s="22">
        <v>27000</v>
      </c>
      <c r="D456" s="18" t="str">
        <f>VLOOKUP(F456,'Price Ranges'!$A$2:$B$8,2, FALSE)</f>
        <v>5001-50000</v>
      </c>
      <c r="E456" s="8" t="str">
        <f>VLOOKUP(F456,'Price Ranges'!$A$2:$C$8,3, FALSE)</f>
        <v>20000-50000</v>
      </c>
      <c r="F456" s="18" t="s">
        <v>10</v>
      </c>
      <c r="G456" s="18" t="s">
        <v>43</v>
      </c>
      <c r="H456" s="23">
        <v>235</v>
      </c>
      <c r="I456" s="18" t="s">
        <v>12</v>
      </c>
      <c r="J456" s="20" t="s">
        <v>15</v>
      </c>
    </row>
    <row r="457" spans="1:10" ht="12.75">
      <c r="A457" s="24" t="str">
        <f>HYPERLINK("https://www.dndbeyond.com/magic-items/necklace-of-adaptation", "Necklace Of Adaptation")</f>
        <v>Necklace Of Adaptation</v>
      </c>
      <c r="B457" s="16">
        <v>1500</v>
      </c>
      <c r="C457" s="21">
        <v>450</v>
      </c>
      <c r="D457" s="18" t="str">
        <f>VLOOKUP(F457,'Price Ranges'!$A$2:$B$8,2, FALSE)</f>
        <v>101-500</v>
      </c>
      <c r="E457" s="8" t="str">
        <f>VLOOKUP(F457,'Price Ranges'!$A$2:$C$8,3, FALSE)</f>
        <v>100-600</v>
      </c>
      <c r="F457" s="18" t="s">
        <v>19</v>
      </c>
      <c r="G457" s="18" t="s">
        <v>20</v>
      </c>
      <c r="H457" s="19">
        <v>182</v>
      </c>
      <c r="I457" s="18" t="s">
        <v>26</v>
      </c>
      <c r="J457" s="20" t="s">
        <v>15</v>
      </c>
    </row>
    <row r="458" spans="1:10" ht="12.75">
      <c r="A458" s="24" t="str">
        <f>HYPERLINK("https://www.dndbeyond.com/magic-items/necklace-of-fireballs", "Necklace of Fireballs (1 Bead)")</f>
        <v>Necklace of Fireballs (1 Bead)</v>
      </c>
      <c r="B458" s="16">
        <v>300</v>
      </c>
      <c r="C458" s="21">
        <v>725</v>
      </c>
      <c r="D458" s="18" t="str">
        <f>VLOOKUP(F458,'Price Ranges'!$A$2:$B$8,2, FALSE)</f>
        <v>501-5000</v>
      </c>
      <c r="E458" s="8" t="str">
        <f>VLOOKUP(F458,'Price Ranges'!$A$2:$C$8,3, FALSE)</f>
        <v>2000-20000</v>
      </c>
      <c r="F458" s="18" t="s">
        <v>16</v>
      </c>
      <c r="G458" s="18" t="s">
        <v>20</v>
      </c>
      <c r="H458" s="19">
        <v>182</v>
      </c>
      <c r="I458" s="18" t="s">
        <v>26</v>
      </c>
      <c r="J458" s="20" t="s">
        <v>13</v>
      </c>
    </row>
    <row r="459" spans="1:10" ht="12.75">
      <c r="A459" s="24" t="str">
        <f>HYPERLINK("https://www.dndbeyond.com/magic-items/necklace-of-fireballs", "Necklace of Fireballs (2 Beads)")</f>
        <v>Necklace of Fireballs (2 Beads)</v>
      </c>
      <c r="B459" s="16">
        <v>480</v>
      </c>
      <c r="C459" s="21">
        <v>1450</v>
      </c>
      <c r="D459" s="18" t="str">
        <f>VLOOKUP(F459,'Price Ranges'!$A$2:$B$8,2, FALSE)</f>
        <v>501-5000</v>
      </c>
      <c r="E459" s="8" t="str">
        <f>VLOOKUP(F459,'Price Ranges'!$A$2:$C$8,3, FALSE)</f>
        <v>2000-20000</v>
      </c>
      <c r="F459" s="18" t="s">
        <v>16</v>
      </c>
      <c r="G459" s="18" t="s">
        <v>20</v>
      </c>
      <c r="H459" s="19">
        <v>182</v>
      </c>
      <c r="I459" s="18" t="s">
        <v>26</v>
      </c>
      <c r="J459" s="20" t="s">
        <v>13</v>
      </c>
    </row>
    <row r="460" spans="1:10" ht="12.75">
      <c r="A460" s="24" t="str">
        <f>HYPERLINK("https://www.dndbeyond.com/magic-items/necklace-of-fireballs", "Necklace of Fireballs (3 Beads)")</f>
        <v>Necklace of Fireballs (3 Beads)</v>
      </c>
      <c r="B460" s="16">
        <v>960</v>
      </c>
      <c r="C460" s="21">
        <v>2175</v>
      </c>
      <c r="D460" s="18" t="str">
        <f>VLOOKUP(F460,'Price Ranges'!$A$2:$B$8,2, FALSE)</f>
        <v>501-5000</v>
      </c>
      <c r="E460" s="8" t="str">
        <f>VLOOKUP(F460,'Price Ranges'!$A$2:$C$8,3, FALSE)</f>
        <v>2000-20000</v>
      </c>
      <c r="F460" s="18" t="s">
        <v>16</v>
      </c>
      <c r="G460" s="18" t="s">
        <v>20</v>
      </c>
      <c r="H460" s="19">
        <v>182</v>
      </c>
      <c r="I460" s="18" t="s">
        <v>26</v>
      </c>
      <c r="J460" s="20" t="s">
        <v>13</v>
      </c>
    </row>
    <row r="461" spans="1:10" ht="12.75">
      <c r="A461" s="24" t="str">
        <f>HYPERLINK("https://www.dndbeyond.com/magic-items/necklace-of-fireballs", "Necklace of Fireballs (4 Beads)")</f>
        <v>Necklace of Fireballs (4 Beads)</v>
      </c>
      <c r="B461" s="16">
        <v>1600</v>
      </c>
      <c r="C461" s="21">
        <v>2900</v>
      </c>
      <c r="D461" s="18" t="str">
        <f>VLOOKUP(F461,'Price Ranges'!$A$2:$B$8,2, FALSE)</f>
        <v>501-5000</v>
      </c>
      <c r="E461" s="8" t="str">
        <f>VLOOKUP(F461,'Price Ranges'!$A$2:$C$8,3, FALSE)</f>
        <v>2000-20000</v>
      </c>
      <c r="F461" s="18" t="s">
        <v>16</v>
      </c>
      <c r="G461" s="18" t="s">
        <v>20</v>
      </c>
      <c r="H461" s="19">
        <v>182</v>
      </c>
      <c r="I461" s="18" t="s">
        <v>26</v>
      </c>
      <c r="J461" s="20" t="s">
        <v>13</v>
      </c>
    </row>
    <row r="462" spans="1:10" ht="12.75">
      <c r="A462" s="24" t="str">
        <f>HYPERLINK("https://www.dndbeyond.com/magic-items/necklace-of-fireballs", "Necklace of Fireballs (5 Beads)")</f>
        <v>Necklace of Fireballs (5 Beads)</v>
      </c>
      <c r="B462" s="16">
        <v>3840</v>
      </c>
      <c r="C462" s="21">
        <v>3625</v>
      </c>
      <c r="D462" s="18" t="str">
        <f>VLOOKUP(F462,'Price Ranges'!$A$2:$B$8,2, FALSE)</f>
        <v>501-5000</v>
      </c>
      <c r="E462" s="8" t="str">
        <f>VLOOKUP(F462,'Price Ranges'!$A$2:$C$8,3, FALSE)</f>
        <v>2000-20000</v>
      </c>
      <c r="F462" s="18" t="s">
        <v>16</v>
      </c>
      <c r="G462" s="18" t="s">
        <v>20</v>
      </c>
      <c r="H462" s="19">
        <v>182</v>
      </c>
      <c r="I462" s="18" t="s">
        <v>26</v>
      </c>
      <c r="J462" s="20" t="s">
        <v>13</v>
      </c>
    </row>
    <row r="463" spans="1:10" ht="12.75">
      <c r="A463" s="24" t="str">
        <f>HYPERLINK("https://www.dndbeyond.com/magic-items/necklace-of-fireballs", "Necklace of Fireballs (6 Beads)")</f>
        <v>Necklace of Fireballs (6 Beads)</v>
      </c>
      <c r="B463" s="16">
        <v>7680</v>
      </c>
      <c r="C463" s="21">
        <v>4350</v>
      </c>
      <c r="D463" s="18" t="str">
        <f>VLOOKUP(F463,'Price Ranges'!$A$2:$B$8,2, FALSE)</f>
        <v>501-5000</v>
      </c>
      <c r="E463" s="8" t="str">
        <f>VLOOKUP(F463,'Price Ranges'!$A$2:$C$8,3, FALSE)</f>
        <v>2000-20000</v>
      </c>
      <c r="F463" s="18" t="s">
        <v>16</v>
      </c>
      <c r="G463" s="18" t="s">
        <v>20</v>
      </c>
      <c r="H463" s="19">
        <v>182</v>
      </c>
      <c r="I463" s="18" t="s">
        <v>26</v>
      </c>
      <c r="J463" s="20" t="s">
        <v>13</v>
      </c>
    </row>
    <row r="464" spans="1:10" ht="12.75">
      <c r="A464" s="24" t="str">
        <f>HYPERLINK("https://www.dndbeyond.com/magic-items/necklace-of-prayer-beads", "Necklace Of Prayer Beads (Blessing)")</f>
        <v>Necklace Of Prayer Beads (Blessing)</v>
      </c>
      <c r="B464" s="39">
        <v>2000</v>
      </c>
      <c r="C464" s="22">
        <v>5000</v>
      </c>
      <c r="D464" s="18" t="str">
        <f>VLOOKUP(F464,'Price Ranges'!$A$2:$B$8,2, FALSE)</f>
        <v>501-5000</v>
      </c>
      <c r="E464" s="8" t="str">
        <f>VLOOKUP(F464,'Price Ranges'!$A$2:$C$8,3, FALSE)</f>
        <v>2000-20000</v>
      </c>
      <c r="F464" s="18" t="s">
        <v>16</v>
      </c>
      <c r="G464" s="18" t="s">
        <v>20</v>
      </c>
      <c r="H464" s="23">
        <v>182</v>
      </c>
      <c r="I464" s="18" t="s">
        <v>26</v>
      </c>
      <c r="J464" s="20" t="s">
        <v>15</v>
      </c>
    </row>
    <row r="465" spans="1:10" ht="12.75">
      <c r="A465" s="24" t="str">
        <f>HYPERLINK("https://www.dndbeyond.com/magic-items/necklace-of-prayer-beads", "Necklace Of Prayer Beads (Curing)")</f>
        <v>Necklace Of Prayer Beads (Curing)</v>
      </c>
      <c r="B465" s="39">
        <v>4000</v>
      </c>
      <c r="C465" s="22">
        <v>5000</v>
      </c>
      <c r="D465" s="18" t="str">
        <f>VLOOKUP(F465,'Price Ranges'!$A$2:$B$8,2, FALSE)</f>
        <v>501-5000</v>
      </c>
      <c r="E465" s="8" t="str">
        <f>VLOOKUP(F465,'Price Ranges'!$A$2:$C$8,3, FALSE)</f>
        <v>2000-20000</v>
      </c>
      <c r="F465" s="18" t="s">
        <v>16</v>
      </c>
      <c r="G465" s="18" t="s">
        <v>20</v>
      </c>
      <c r="H465" s="23">
        <v>182</v>
      </c>
      <c r="I465" s="18" t="s">
        <v>26</v>
      </c>
      <c r="J465" s="20" t="s">
        <v>15</v>
      </c>
    </row>
    <row r="466" spans="1:10" ht="12.75">
      <c r="A466" s="24" t="str">
        <f>HYPERLINK("https://www.dndbeyond.com/magic-items/necklace-of-prayer-beads", "Necklace Of Prayer Beads (Favor)")</f>
        <v>Necklace Of Prayer Beads (Favor)</v>
      </c>
      <c r="B466" s="39">
        <v>32000</v>
      </c>
      <c r="C466" s="22">
        <v>5000</v>
      </c>
      <c r="D466" s="18" t="str">
        <f>VLOOKUP(F466,'Price Ranges'!$A$2:$B$8,2, FALSE)</f>
        <v>501-5000</v>
      </c>
      <c r="E466" s="8" t="str">
        <f>VLOOKUP(F466,'Price Ranges'!$A$2:$C$8,3, FALSE)</f>
        <v>2000-20000</v>
      </c>
      <c r="F466" s="18" t="s">
        <v>16</v>
      </c>
      <c r="G466" s="18" t="s">
        <v>20</v>
      </c>
      <c r="H466" s="23">
        <v>182</v>
      </c>
      <c r="I466" s="18" t="s">
        <v>26</v>
      </c>
      <c r="J466" s="20" t="s">
        <v>15</v>
      </c>
    </row>
    <row r="467" spans="1:10" ht="12.75">
      <c r="A467" s="24" t="str">
        <f>HYPERLINK("https://www.dndbeyond.com/magic-items/necklace-of-prayer-beads", "Necklace Of Prayer Beads (Smiting)")</f>
        <v>Necklace Of Prayer Beads (Smiting)</v>
      </c>
      <c r="B467" s="39">
        <v>1500</v>
      </c>
      <c r="C467" s="22">
        <v>5000</v>
      </c>
      <c r="D467" s="18" t="str">
        <f>VLOOKUP(F467,'Price Ranges'!$A$2:$B$8,2, FALSE)</f>
        <v>501-5000</v>
      </c>
      <c r="E467" s="8" t="str">
        <f>VLOOKUP(F467,'Price Ranges'!$A$2:$C$8,3, FALSE)</f>
        <v>2000-20000</v>
      </c>
      <c r="F467" s="18" t="s">
        <v>16</v>
      </c>
      <c r="G467" s="18" t="s">
        <v>20</v>
      </c>
      <c r="H467" s="23">
        <v>182</v>
      </c>
      <c r="I467" s="18" t="s">
        <v>26</v>
      </c>
      <c r="J467" s="20" t="s">
        <v>15</v>
      </c>
    </row>
    <row r="468" spans="1:10" ht="12.75">
      <c r="A468" s="24" t="str">
        <f>HYPERLINK("https://www.dndbeyond.com/magic-items/necklace-of-prayer-beads", "Necklace Of Prayer Beads (Summons)")</f>
        <v>Necklace Of Prayer Beads (Summons)</v>
      </c>
      <c r="B468" s="39">
        <v>128000</v>
      </c>
      <c r="C468" s="22">
        <v>5000</v>
      </c>
      <c r="D468" s="18" t="str">
        <f>VLOOKUP(F468,'Price Ranges'!$A$2:$B$8,2, FALSE)</f>
        <v>501-5000</v>
      </c>
      <c r="E468" s="8" t="str">
        <f>VLOOKUP(F468,'Price Ranges'!$A$2:$C$8,3, FALSE)</f>
        <v>2000-20000</v>
      </c>
      <c r="F468" s="18" t="s">
        <v>16</v>
      </c>
      <c r="G468" s="18" t="s">
        <v>20</v>
      </c>
      <c r="H468" s="23">
        <v>182</v>
      </c>
      <c r="I468" s="18" t="s">
        <v>26</v>
      </c>
      <c r="J468" s="20" t="s">
        <v>15</v>
      </c>
    </row>
    <row r="469" spans="1:10" ht="12.75">
      <c r="A469" s="24" t="str">
        <f>HYPERLINK("https://www.dndbeyond.com/magic-items/necklace-of-prayer-beads", "Necklace Of Prayer Beads (Wind Walking)")</f>
        <v>Necklace Of Prayer Beads (Wind Walking)</v>
      </c>
      <c r="B469" s="16">
        <v>96000</v>
      </c>
      <c r="C469" s="22">
        <v>5000</v>
      </c>
      <c r="D469" s="18" t="str">
        <f>VLOOKUP(F469,'Price Ranges'!$A$2:$B$8,2, FALSE)</f>
        <v>501-5000</v>
      </c>
      <c r="E469" s="8" t="str">
        <f>VLOOKUP(F469,'Price Ranges'!$A$2:$C$8,3, FALSE)</f>
        <v>2000-20000</v>
      </c>
      <c r="F469" s="18" t="s">
        <v>16</v>
      </c>
      <c r="G469" s="18" t="s">
        <v>20</v>
      </c>
      <c r="H469" s="23">
        <v>182</v>
      </c>
      <c r="I469" s="18" t="s">
        <v>26</v>
      </c>
      <c r="J469" s="20" t="s">
        <v>15</v>
      </c>
    </row>
    <row r="470" spans="1:10" ht="12.75">
      <c r="A470" s="5" t="str">
        <f>HYPERLINK("https://www.dndbeyond.com/magic-items/needle-of-mending", "Needle of Mending")</f>
        <v>Needle of Mending</v>
      </c>
      <c r="B470" s="6"/>
      <c r="C470" s="14">
        <v>1400</v>
      </c>
      <c r="D470" s="8" t="str">
        <f>VLOOKUP(F470,'Price Ranges'!$A$2:$B$8,2, FALSE)</f>
        <v>501-5000</v>
      </c>
      <c r="E470" s="8" t="str">
        <f>VLOOKUP(F470,'Price Ranges'!$A$2:$C$8,3, FALSE)</f>
        <v>2000-20000</v>
      </c>
      <c r="F470" s="9" t="s">
        <v>16</v>
      </c>
      <c r="G470" s="9" t="s">
        <v>17</v>
      </c>
      <c r="H470" s="12">
        <v>268</v>
      </c>
      <c r="I470" s="9" t="s">
        <v>18</v>
      </c>
      <c r="J470" s="13" t="s">
        <v>15</v>
      </c>
    </row>
    <row r="471" spans="1:10" ht="12.75">
      <c r="A471" s="24" t="str">
        <f>HYPERLINK("https://www.dndbeyond.com/magic-items/night-caller", "Night Caller")</f>
        <v>Night Caller</v>
      </c>
      <c r="B471" s="6"/>
      <c r="C471" s="22">
        <v>350</v>
      </c>
      <c r="D471" s="18" t="str">
        <f>VLOOKUP(F471,'Price Ranges'!$A$2:$B$8,2, FALSE)</f>
        <v>101-500</v>
      </c>
      <c r="E471" s="8" t="str">
        <f>VLOOKUP(F471,'Price Ranges'!$A$2:$C$8,3, FALSE)</f>
        <v>100-600</v>
      </c>
      <c r="F471" s="18" t="s">
        <v>19</v>
      </c>
      <c r="G471" s="18" t="s">
        <v>27</v>
      </c>
      <c r="H471" s="23">
        <v>228</v>
      </c>
      <c r="I471" s="18" t="s">
        <v>12</v>
      </c>
      <c r="J471" s="20" t="s">
        <v>13</v>
      </c>
    </row>
    <row r="472" spans="1:10" ht="12.75">
      <c r="A472" s="5" t="str">
        <f>HYPERLINK("https://www.dndbeyond.com/magic-items/nightfall-pearl", "Nightfall Pearl")</f>
        <v>Nightfall Pearl</v>
      </c>
      <c r="B472" s="6"/>
      <c r="C472" s="14">
        <v>51000</v>
      </c>
      <c r="D472" s="8" t="str">
        <f>VLOOKUP(F472,'Price Ranges'!$A$2:$B$8,2, FALSE)</f>
        <v>50001+</v>
      </c>
      <c r="E472" s="8" t="str">
        <f>VLOOKUP(F472,'Price Ranges'!$A$2:$C$8,3, FALSE)</f>
        <v>50000-300000</v>
      </c>
      <c r="F472" s="9" t="s">
        <v>31</v>
      </c>
      <c r="G472" s="9" t="s">
        <v>17</v>
      </c>
      <c r="H472" s="12">
        <v>268</v>
      </c>
      <c r="I472" s="9" t="s">
        <v>29</v>
      </c>
      <c r="J472" s="13" t="s">
        <v>15</v>
      </c>
    </row>
    <row r="473" spans="1:10" ht="12.75">
      <c r="A473" s="24" t="str">
        <f>HYPERLINK("https://www.dndbeyond.com/magic-items/nine-lives-stealer", "Nine Lives Stealer (Fully Charged) (any sword)")</f>
        <v>Nine Lives Stealer (Fully Charged) (any sword)</v>
      </c>
      <c r="B473" s="16">
        <v>8000</v>
      </c>
      <c r="C473" s="21">
        <v>36000</v>
      </c>
      <c r="D473" s="18" t="str">
        <f>VLOOKUP(F473,'Price Ranges'!$A$2:$B$8,2, FALSE)</f>
        <v>5001-50000</v>
      </c>
      <c r="E473" s="8" t="str">
        <f>VLOOKUP(F473,'Price Ranges'!$A$2:$C$8,3, FALSE)</f>
        <v>20000-50000</v>
      </c>
      <c r="F473" s="18" t="s">
        <v>10</v>
      </c>
      <c r="G473" s="18" t="s">
        <v>20</v>
      </c>
      <c r="H473" s="19">
        <v>183</v>
      </c>
      <c r="I473" s="18" t="s">
        <v>18</v>
      </c>
      <c r="J473" s="20" t="s">
        <v>15</v>
      </c>
    </row>
    <row r="474" spans="1:10" ht="12.75">
      <c r="A474" s="24" t="str">
        <f>HYPERLINK("https://www.dndbeyond.com/magic-items/nolzurs-marvelous-pigments", "Nolzur's Marvelous Pigments")</f>
        <v>Nolzur's Marvelous Pigments</v>
      </c>
      <c r="B474" s="16">
        <v>200</v>
      </c>
      <c r="C474" s="21">
        <v>16000</v>
      </c>
      <c r="D474" s="18" t="str">
        <f>VLOOKUP(F474,'Price Ranges'!$A$2:$B$8,2, FALSE)</f>
        <v>5001-50000</v>
      </c>
      <c r="E474" s="8" t="str">
        <f>VLOOKUP(F474,'Price Ranges'!$A$2:$C$8,3, FALSE)</f>
        <v>20000-50000</v>
      </c>
      <c r="F474" s="18" t="s">
        <v>10</v>
      </c>
      <c r="G474" s="18" t="s">
        <v>20</v>
      </c>
      <c r="H474" s="19">
        <v>183</v>
      </c>
      <c r="I474" s="18" t="s">
        <v>12</v>
      </c>
      <c r="J474" s="20" t="s">
        <v>13</v>
      </c>
    </row>
    <row r="475" spans="1:10" ht="12.75">
      <c r="A475" s="24" t="str">
        <f>HYPERLINK("https://www.dndbeyond.com/magic-items/oathbow", "Oathbow (longbow)")</f>
        <v>Oathbow (longbow)</v>
      </c>
      <c r="B475" s="16">
        <v>3500</v>
      </c>
      <c r="C475" s="21">
        <v>13000</v>
      </c>
      <c r="D475" s="18" t="str">
        <f>VLOOKUP(F475,'Price Ranges'!$A$2:$B$8,2, FALSE)</f>
        <v>5001-50000</v>
      </c>
      <c r="E475" s="8" t="str">
        <f>VLOOKUP(F475,'Price Ranges'!$A$2:$C$8,3, FALSE)</f>
        <v>20000-50000</v>
      </c>
      <c r="F475" s="18" t="s">
        <v>10</v>
      </c>
      <c r="G475" s="18" t="s">
        <v>20</v>
      </c>
      <c r="H475" s="19">
        <v>183</v>
      </c>
      <c r="I475" s="18" t="s">
        <v>18</v>
      </c>
      <c r="J475" s="20" t="s">
        <v>15</v>
      </c>
    </row>
    <row r="476" spans="1:10" ht="12.75">
      <c r="A476" s="24" t="str">
        <f>HYPERLINK("https://www.dndbeyond.com/magic-items/obsidian-flint-dragon-plate", "Obsidian Flint Dragon Plate")</f>
        <v>Obsidian Flint Dragon Plate</v>
      </c>
      <c r="B476" s="6"/>
      <c r="C476" s="14">
        <v>27000</v>
      </c>
      <c r="D476" s="18" t="str">
        <f>VLOOKUP(F476,'Price Ranges'!$A$2:$B$8,2, FALSE)</f>
        <v>50001+</v>
      </c>
      <c r="E476" s="8" t="str">
        <f>VLOOKUP(F476,'Price Ranges'!$A$2:$C$8,3, FALSE)</f>
        <v>50000-300000</v>
      </c>
      <c r="F476" s="18" t="s">
        <v>31</v>
      </c>
      <c r="G476" s="18" t="s">
        <v>44</v>
      </c>
      <c r="H476" s="26"/>
      <c r="I476" s="18" t="s">
        <v>21</v>
      </c>
      <c r="J476" s="20" t="s">
        <v>13</v>
      </c>
    </row>
    <row r="477" spans="1:10" ht="12.75">
      <c r="A477" s="24" t="str">
        <f>HYPERLINK("https://www.dndbeyond.com/magic-items/obviators-lenses", "Obviator's Lenses")</f>
        <v>Obviator's Lenses</v>
      </c>
      <c r="B477" s="6"/>
      <c r="C477" s="7"/>
      <c r="D477" s="18" t="str">
        <f>VLOOKUP(F477,'Price Ranges'!$A$2:$B$8,2, FALSE)</f>
        <v>Varies</v>
      </c>
      <c r="E477" s="8" t="str">
        <f>VLOOKUP(F477,'Price Ranges'!$A$2:$C$8,3, FALSE)</f>
        <v>Varies</v>
      </c>
      <c r="F477" s="18" t="s">
        <v>24</v>
      </c>
      <c r="G477" s="18" t="s">
        <v>60</v>
      </c>
      <c r="H477" s="18"/>
      <c r="I477" s="18" t="s">
        <v>12</v>
      </c>
      <c r="J477" s="20" t="s">
        <v>13</v>
      </c>
    </row>
    <row r="478" spans="1:10" ht="12.75">
      <c r="A478" s="24" t="str">
        <f>HYPERLINK("https://www.dndbeyond.com/magic-items/occultant-abacus", "Occultant Abacus")</f>
        <v>Occultant Abacus</v>
      </c>
      <c r="B478" s="6"/>
      <c r="C478" s="7"/>
      <c r="D478" s="18" t="str">
        <f>VLOOKUP(F478,'Price Ranges'!$A$2:$B$8,2, FALSE)</f>
        <v>Varies</v>
      </c>
      <c r="E478" s="8" t="str">
        <f>VLOOKUP(F478,'Price Ranges'!$A$2:$C$8,3, FALSE)</f>
        <v>Varies</v>
      </c>
      <c r="F478" s="18" t="s">
        <v>24</v>
      </c>
      <c r="G478" s="18" t="s">
        <v>60</v>
      </c>
      <c r="H478" s="18"/>
      <c r="I478" s="18" t="s">
        <v>12</v>
      </c>
      <c r="J478" s="20" t="s">
        <v>13</v>
      </c>
    </row>
    <row r="479" spans="1:10" ht="12.75">
      <c r="A479" s="24" t="str">
        <f>HYPERLINK("https://www.dndbeyond.com/magic-items/oil-of-etherealness", "Oil Of Etherealness")</f>
        <v>Oil Of Etherealness</v>
      </c>
      <c r="B479" s="16">
        <v>1920</v>
      </c>
      <c r="C479" s="21">
        <v>2000</v>
      </c>
      <c r="D479" s="18" t="str">
        <f>VLOOKUP(F479,'Price Ranges'!$A$2:$B$8,2, FALSE)</f>
        <v>501-5000</v>
      </c>
      <c r="E479" s="8" t="str">
        <f>VLOOKUP(F479,'Price Ranges'!$A$2:$C$8,3, FALSE)</f>
        <v>2000-20000</v>
      </c>
      <c r="F479" s="18" t="s">
        <v>16</v>
      </c>
      <c r="G479" s="18" t="s">
        <v>20</v>
      </c>
      <c r="H479" s="19">
        <v>183</v>
      </c>
      <c r="I479" s="18" t="s">
        <v>56</v>
      </c>
      <c r="J479" s="20" t="s">
        <v>13</v>
      </c>
    </row>
    <row r="480" spans="1:10" ht="12.75">
      <c r="A480" s="24" t="str">
        <f>HYPERLINK("https://www.dndbeyond.com/magic-items/oil-of-sharpness", "Oil Of Sharpness")</f>
        <v>Oil Of Sharpness</v>
      </c>
      <c r="B480" s="16">
        <v>3200</v>
      </c>
      <c r="C480" s="25">
        <v>2200</v>
      </c>
      <c r="D480" s="18" t="str">
        <f>VLOOKUP(F480,'Price Ranges'!$A$2:$B$8,2, FALSE)</f>
        <v>5001-50000</v>
      </c>
      <c r="E480" s="8" t="str">
        <f>VLOOKUP(F480,'Price Ranges'!$A$2:$C$8,3, FALSE)</f>
        <v>20000-50000</v>
      </c>
      <c r="F480" s="18" t="s">
        <v>10</v>
      </c>
      <c r="G480" s="18" t="s">
        <v>20</v>
      </c>
      <c r="H480" s="19">
        <v>184</v>
      </c>
      <c r="I480" s="18" t="s">
        <v>56</v>
      </c>
      <c r="J480" s="20" t="s">
        <v>13</v>
      </c>
    </row>
    <row r="481" spans="1:10" ht="12.75">
      <c r="A481" s="24" t="str">
        <f>HYPERLINK("https://www.dndbeyond.com/magic-items/oil-of-slipperiness", "Oil Of Slipperiness")</f>
        <v>Oil Of Slipperiness</v>
      </c>
      <c r="B481" s="16">
        <v>480</v>
      </c>
      <c r="C481" s="21">
        <v>250</v>
      </c>
      <c r="D481" s="18" t="str">
        <f>VLOOKUP(F481,'Price Ranges'!$A$2:$B$8,2, FALSE)</f>
        <v>101-500</v>
      </c>
      <c r="E481" s="8" t="str">
        <f>VLOOKUP(F481,'Price Ranges'!$A$2:$C$8,3, FALSE)</f>
        <v>100-600</v>
      </c>
      <c r="F481" s="18" t="s">
        <v>19</v>
      </c>
      <c r="G481" s="18" t="s">
        <v>20</v>
      </c>
      <c r="H481" s="19">
        <v>184</v>
      </c>
      <c r="I481" s="18" t="s">
        <v>56</v>
      </c>
      <c r="J481" s="20" t="s">
        <v>13</v>
      </c>
    </row>
    <row r="482" spans="1:10" ht="12.75">
      <c r="A482" s="24" t="str">
        <f>HYPERLINK("https://www.dndbeyond.com/magic-items/opal-of-the-ild-rune", "Opal Of The Ild Rune")</f>
        <v>Opal Of The Ild Rune</v>
      </c>
      <c r="B482" s="6"/>
      <c r="C482" s="22">
        <v>3500</v>
      </c>
      <c r="D482" s="18" t="str">
        <f>VLOOKUP(F482,'Price Ranges'!$A$2:$B$8,2, FALSE)</f>
        <v>501-5000</v>
      </c>
      <c r="E482" s="8" t="str">
        <f>VLOOKUP(F482,'Price Ranges'!$A$2:$C$8,3, FALSE)</f>
        <v>2000-20000</v>
      </c>
      <c r="F482" s="18" t="s">
        <v>16</v>
      </c>
      <c r="G482" s="18" t="s">
        <v>43</v>
      </c>
      <c r="H482" s="23">
        <v>235</v>
      </c>
      <c r="I482" s="18" t="s">
        <v>12</v>
      </c>
      <c r="J482" s="20" t="s">
        <v>15</v>
      </c>
    </row>
    <row r="483" spans="1:10" ht="12.75">
      <c r="A483" s="24" t="str">
        <f>HYPERLINK("https://www.dndbeyond.com/magic-items/orb-of-direction", "Orb Of Direction")</f>
        <v>Orb Of Direction</v>
      </c>
      <c r="B483" s="6"/>
      <c r="C483" s="22">
        <v>50</v>
      </c>
      <c r="D483" s="18" t="str">
        <f>VLOOKUP(F483,'Price Ranges'!$A$2:$B$8,2, FALSE)</f>
        <v>50-100</v>
      </c>
      <c r="E483" s="8" t="str">
        <f>VLOOKUP(F483,'Price Ranges'!$A$2:$C$8,3, FALSE)</f>
        <v>20-70</v>
      </c>
      <c r="F483" s="18" t="s">
        <v>35</v>
      </c>
      <c r="G483" s="18" t="s">
        <v>37</v>
      </c>
      <c r="H483" s="19">
        <v>138</v>
      </c>
      <c r="I483" s="18" t="s">
        <v>12</v>
      </c>
      <c r="J483" s="20" t="s">
        <v>13</v>
      </c>
    </row>
    <row r="484" spans="1:10" ht="12.75">
      <c r="A484" s="24" t="str">
        <f>HYPERLINK("https://www.dndbeyond.com/magic-items/orb-of-dragonkind", "Orb Of Dragonkind")</f>
        <v>Orb Of Dragonkind</v>
      </c>
      <c r="B484" s="6"/>
      <c r="C484" s="7"/>
      <c r="D484" s="18" t="str">
        <f>VLOOKUP(F484,'Price Ranges'!$A$2:$B$8,2, FALSE)</f>
        <v>Priceless</v>
      </c>
      <c r="E484" s="8" t="str">
        <f>VLOOKUP(F484,'Price Ranges'!$A$2:$C$8,3, FALSE)</f>
        <v>Priceless</v>
      </c>
      <c r="F484" s="18" t="s">
        <v>22</v>
      </c>
      <c r="G484" s="18" t="s">
        <v>20</v>
      </c>
      <c r="H484" s="26"/>
      <c r="I484" s="18" t="s">
        <v>12</v>
      </c>
      <c r="J484" s="20" t="s">
        <v>15</v>
      </c>
    </row>
    <row r="485" spans="1:10" ht="12.75">
      <c r="A485" s="24" t="str">
        <f>HYPERLINK("https://www.dndbeyond.com/magic-items/orb-of-gonging", "Orb Of Gonging")</f>
        <v>Orb Of Gonging</v>
      </c>
      <c r="B485" s="6"/>
      <c r="C485" s="7"/>
      <c r="D485" s="18" t="str">
        <f>VLOOKUP(F485,'Price Ranges'!$A$2:$B$8,2, FALSE)</f>
        <v>50-100</v>
      </c>
      <c r="E485" s="8" t="str">
        <f>VLOOKUP(F485,'Price Ranges'!$A$2:$C$8,3, FALSE)</f>
        <v>20-70</v>
      </c>
      <c r="F485" s="18" t="s">
        <v>35</v>
      </c>
      <c r="G485" s="18" t="s">
        <v>46</v>
      </c>
      <c r="H485" s="26"/>
      <c r="I485" s="18" t="s">
        <v>12</v>
      </c>
      <c r="J485" s="20" t="s">
        <v>13</v>
      </c>
    </row>
    <row r="486" spans="1:10" ht="12.75">
      <c r="A486" s="24" t="str">
        <f t="shared" ref="A486:A487" si="14">HYPERLINK("https://www.dndbeyond.com/magic-items/orb-of-shielding", "Orb Of Shielding")</f>
        <v>Orb Of Shielding</v>
      </c>
      <c r="B486" s="6"/>
      <c r="C486" s="14">
        <v>80</v>
      </c>
      <c r="D486" s="18" t="str">
        <f>VLOOKUP(F486,'Price Ranges'!$A$2:$B$8,2, FALSE)</f>
        <v>50-100</v>
      </c>
      <c r="E486" s="8" t="str">
        <f>VLOOKUP(F486,'Price Ranges'!$A$2:$C$8,3, FALSE)</f>
        <v>20-70</v>
      </c>
      <c r="F486" s="18" t="s">
        <v>35</v>
      </c>
      <c r="G486" s="18" t="s">
        <v>36</v>
      </c>
      <c r="H486" s="26"/>
      <c r="I486" s="18" t="s">
        <v>12</v>
      </c>
      <c r="J486" s="20" t="s">
        <v>15</v>
      </c>
    </row>
    <row r="487" spans="1:10" ht="12.75">
      <c r="A487" s="5" t="str">
        <f t="shared" si="14"/>
        <v>Orb Of Shielding</v>
      </c>
      <c r="B487" s="6"/>
      <c r="C487" s="14">
        <v>80</v>
      </c>
      <c r="D487" s="8" t="str">
        <f>VLOOKUP(F487,'Price Ranges'!$A$2:$B$8,2, FALSE)</f>
        <v>50-100</v>
      </c>
      <c r="E487" s="8" t="str">
        <f>VLOOKUP(F487,'Price Ranges'!$A$2:$C$8,3, FALSE)</f>
        <v>20-70</v>
      </c>
      <c r="F487" s="9" t="s">
        <v>35</v>
      </c>
      <c r="G487" s="9" t="s">
        <v>33</v>
      </c>
      <c r="H487" s="10"/>
      <c r="I487" s="9" t="s">
        <v>12</v>
      </c>
      <c r="J487" s="13" t="s">
        <v>15</v>
      </c>
    </row>
    <row r="488" spans="1:10" ht="12.75">
      <c r="A488" s="24" t="str">
        <f>HYPERLINK("https://www.dndbeyond.com/magic-items/orb-of-the-stein-rune", "Orb Of The Stein Rune")</f>
        <v>Orb Of The Stein Rune</v>
      </c>
      <c r="B488" s="6"/>
      <c r="C488" s="22">
        <v>2700</v>
      </c>
      <c r="D488" s="18" t="str">
        <f>VLOOKUP(F488,'Price Ranges'!$A$2:$B$8,2, FALSE)</f>
        <v>501-5000</v>
      </c>
      <c r="E488" s="8" t="str">
        <f>VLOOKUP(F488,'Price Ranges'!$A$2:$C$8,3, FALSE)</f>
        <v>2000-20000</v>
      </c>
      <c r="F488" s="18" t="s">
        <v>16</v>
      </c>
      <c r="G488" s="18" t="s">
        <v>43</v>
      </c>
      <c r="H488" s="23">
        <v>235</v>
      </c>
      <c r="I488" s="18" t="s">
        <v>12</v>
      </c>
      <c r="J488" s="20" t="s">
        <v>15</v>
      </c>
    </row>
    <row r="489" spans="1:10" ht="12.75">
      <c r="A489" s="5" t="str">
        <f>HYPERLINK("https://www.dndbeyond.com/magic-items/orb-of-the-veil", "Orb of the Veil")</f>
        <v>Orb of the Veil</v>
      </c>
      <c r="B489" s="6"/>
      <c r="C489" s="14">
        <v>31000</v>
      </c>
      <c r="D489" s="8" t="str">
        <f>VLOOKUP(F489,'Price Ranges'!$A$2:$B$8,2, FALSE)</f>
        <v>5001-50000</v>
      </c>
      <c r="E489" s="8" t="str">
        <f>VLOOKUP(F489,'Price Ranges'!$A$2:$C$8,3, FALSE)</f>
        <v>20000-50000</v>
      </c>
      <c r="F489" s="9" t="s">
        <v>10</v>
      </c>
      <c r="G489" s="9" t="s">
        <v>17</v>
      </c>
      <c r="H489" s="12">
        <v>268</v>
      </c>
      <c r="I489" s="9" t="s">
        <v>29</v>
      </c>
      <c r="J489" s="13" t="s">
        <v>15</v>
      </c>
    </row>
    <row r="490" spans="1:10" ht="12.75">
      <c r="A490" s="24" t="str">
        <f>HYPERLINK("https://www.dndbeyond.com/magic-items/orb-of-time", "Orb Of Time")</f>
        <v>Orb Of Time</v>
      </c>
      <c r="B490" s="6"/>
      <c r="C490" s="22">
        <v>50</v>
      </c>
      <c r="D490" s="18" t="str">
        <f>VLOOKUP(F490,'Price Ranges'!$A$2:$B$8,2, FALSE)</f>
        <v>50-100</v>
      </c>
      <c r="E490" s="8" t="str">
        <f>VLOOKUP(F490,'Price Ranges'!$A$2:$C$8,3, FALSE)</f>
        <v>20-70</v>
      </c>
      <c r="F490" s="18" t="s">
        <v>35</v>
      </c>
      <c r="G490" s="18" t="s">
        <v>37</v>
      </c>
      <c r="H490" s="19">
        <v>138</v>
      </c>
      <c r="I490" s="18" t="s">
        <v>12</v>
      </c>
      <c r="J490" s="20" t="s">
        <v>13</v>
      </c>
    </row>
    <row r="491" spans="1:10" ht="12.75">
      <c r="A491" s="24" t="str">
        <f>HYPERLINK("https://www.dndbeyond.com/magic-items/orcsplitter", "Orcsplitter (greataxe)")</f>
        <v>Orcsplitter (greataxe)</v>
      </c>
      <c r="B491" s="6"/>
      <c r="C491" s="22">
        <v>60000</v>
      </c>
      <c r="D491" s="18" t="str">
        <f>VLOOKUP(F491,'Price Ranges'!$A$2:$B$8,2, FALSE)</f>
        <v>50001+</v>
      </c>
      <c r="E491" s="8" t="str">
        <f>VLOOKUP(F491,'Price Ranges'!$A$2:$C$8,3, FALSE)</f>
        <v>50000-300000</v>
      </c>
      <c r="F491" s="18" t="s">
        <v>31</v>
      </c>
      <c r="G491" s="18" t="s">
        <v>40</v>
      </c>
      <c r="H491" s="23">
        <v>224</v>
      </c>
      <c r="I491" s="18" t="s">
        <v>18</v>
      </c>
      <c r="J491" s="20" t="s">
        <v>15</v>
      </c>
    </row>
    <row r="492" spans="1:10" ht="12.75">
      <c r="A492" s="24" t="str">
        <f>HYPERLINK("https://www.dndbeyond.com/magic-items/orrery-of-the-wanderer", "Orrery Of The Wanderer")</f>
        <v>Orrery Of The Wanderer</v>
      </c>
      <c r="B492" s="6"/>
      <c r="C492" s="7"/>
      <c r="D492" s="18" t="str">
        <f>VLOOKUP(F492,'Price Ranges'!$A$2:$B$8,2, FALSE)</f>
        <v>Priceless</v>
      </c>
      <c r="E492" s="8" t="str">
        <f>VLOOKUP(F492,'Price Ranges'!$A$2:$C$8,3, FALSE)</f>
        <v>Priceless</v>
      </c>
      <c r="F492" s="18" t="s">
        <v>22</v>
      </c>
      <c r="G492" s="18" t="s">
        <v>60</v>
      </c>
      <c r="H492" s="26"/>
      <c r="I492" s="18" t="s">
        <v>12</v>
      </c>
      <c r="J492" s="20" t="s">
        <v>15</v>
      </c>
    </row>
    <row r="493" spans="1:10" ht="12.75">
      <c r="A493" s="5" t="str">
        <f>HYPERLINK("https://www.dndbeyond.com/magic-items/outer-essence-shard", "Outer Essence Shard")</f>
        <v>Outer Essence Shard</v>
      </c>
      <c r="B493" s="6"/>
      <c r="C493" s="7"/>
      <c r="D493" s="8" t="str">
        <f>VLOOKUP(F493,'Price Ranges'!$A$2:$B$8,2, FALSE)</f>
        <v>501-5000</v>
      </c>
      <c r="E493" s="8" t="str">
        <f>VLOOKUP(F493,'Price Ranges'!$A$2:$C$8,3, FALSE)</f>
        <v>2000-20000</v>
      </c>
      <c r="F493" s="12" t="s">
        <v>16</v>
      </c>
      <c r="G493" s="12" t="s">
        <v>14</v>
      </c>
      <c r="H493" s="10"/>
      <c r="I493" s="8" t="s">
        <v>12</v>
      </c>
      <c r="J493" s="13" t="s">
        <v>15</v>
      </c>
    </row>
    <row r="494" spans="1:10" ht="12.75">
      <c r="A494" s="24" t="str">
        <f>HYPERLINK("https://www.dndbeyond.com/magic-items/paper-bird", "Paper Bird")</f>
        <v>Paper Bird</v>
      </c>
      <c r="B494" s="6"/>
      <c r="C494" s="22">
        <v>350</v>
      </c>
      <c r="D494" s="18" t="str">
        <f>VLOOKUP(F494,'Price Ranges'!$A$2:$B$8,2, FALSE)</f>
        <v>101-500</v>
      </c>
      <c r="E494" s="8" t="str">
        <f>VLOOKUP(F494,'Price Ranges'!$A$2:$C$8,3, FALSE)</f>
        <v>100-600</v>
      </c>
      <c r="F494" s="18" t="s">
        <v>19</v>
      </c>
      <c r="G494" s="18" t="s">
        <v>39</v>
      </c>
      <c r="H494" s="23">
        <v>191</v>
      </c>
      <c r="I494" s="18" t="s">
        <v>12</v>
      </c>
      <c r="J494" s="20" t="s">
        <v>13</v>
      </c>
    </row>
    <row r="495" spans="1:10" ht="12.75">
      <c r="A495" s="24" t="str">
        <f>HYPERLINK("https://www.dndbeyond.com/magic-items/pariahs-shield", "Pariah's Shield")</f>
        <v>Pariah's Shield</v>
      </c>
      <c r="B495" s="6"/>
      <c r="C495" s="22">
        <v>1500</v>
      </c>
      <c r="D495" s="18" t="str">
        <f>VLOOKUP(F495,'Price Ranges'!$A$2:$B$8,2, FALSE)</f>
        <v>501-5000</v>
      </c>
      <c r="E495" s="8" t="str">
        <f>VLOOKUP(F495,'Price Ranges'!$A$2:$C$8,3, FALSE)</f>
        <v>2000-20000</v>
      </c>
      <c r="F495" s="18" t="s">
        <v>16</v>
      </c>
      <c r="G495" s="18" t="s">
        <v>69</v>
      </c>
      <c r="H495" s="23">
        <v>180</v>
      </c>
      <c r="I495" s="18" t="s">
        <v>30</v>
      </c>
      <c r="J495" s="20" t="s">
        <v>15</v>
      </c>
    </row>
    <row r="496" spans="1:10" ht="12.75">
      <c r="A496" s="24" t="str">
        <f>HYPERLINK("https://www.dndbeyond.com/magic-items/pearl-of-power", "Pearl Of Power")</f>
        <v>Pearl Of Power</v>
      </c>
      <c r="B496" s="16">
        <v>6000</v>
      </c>
      <c r="C496" s="21">
        <v>400</v>
      </c>
      <c r="D496" s="18" t="str">
        <f>VLOOKUP(F496,'Price Ranges'!$A$2:$B$8,2, FALSE)</f>
        <v>101-500</v>
      </c>
      <c r="E496" s="8" t="str">
        <f>VLOOKUP(F496,'Price Ranges'!$A$2:$C$8,3, FALSE)</f>
        <v>100-600</v>
      </c>
      <c r="F496" s="18" t="s">
        <v>19</v>
      </c>
      <c r="G496" s="18" t="s">
        <v>20</v>
      </c>
      <c r="H496" s="19">
        <v>184</v>
      </c>
      <c r="I496" s="18" t="s">
        <v>12</v>
      </c>
      <c r="J496" s="20" t="s">
        <v>15</v>
      </c>
    </row>
    <row r="497" spans="1:10" ht="12.75">
      <c r="A497" s="24" t="str">
        <f>HYPERLINK("https://www.dndbeyond.com/magic-items/pennant-of-the-vind-rune", "Pennant Of The Vind Rune")</f>
        <v>Pennant Of The Vind Rune</v>
      </c>
      <c r="B497" s="6"/>
      <c r="C497" s="22">
        <v>13000</v>
      </c>
      <c r="D497" s="18" t="str">
        <f>VLOOKUP(F497,'Price Ranges'!$A$2:$B$8,2, FALSE)</f>
        <v>5001-50000</v>
      </c>
      <c r="E497" s="8" t="str">
        <f>VLOOKUP(F497,'Price Ranges'!$A$2:$C$8,3, FALSE)</f>
        <v>20000-50000</v>
      </c>
      <c r="F497" s="18" t="s">
        <v>10</v>
      </c>
      <c r="G497" s="18" t="s">
        <v>43</v>
      </c>
      <c r="H497" s="23">
        <v>235</v>
      </c>
      <c r="I497" s="18" t="s">
        <v>12</v>
      </c>
      <c r="J497" s="20" t="s">
        <v>15</v>
      </c>
    </row>
    <row r="498" spans="1:10" ht="12.75">
      <c r="A498" s="24" t="str">
        <f>HYPERLINK("https://www.dndbeyond.com/magic-items/peregrine-mask", "Peregrine Mask")</f>
        <v>Peregrine Mask</v>
      </c>
      <c r="B498" s="6"/>
      <c r="C498" s="22">
        <v>6000</v>
      </c>
      <c r="D498" s="18" t="str">
        <f>VLOOKUP(F498,'Price Ranges'!$A$2:$B$8,2, FALSE)</f>
        <v>5001-50000</v>
      </c>
      <c r="E498" s="8" t="str">
        <f>VLOOKUP(F498,'Price Ranges'!$A$2:$C$8,3, FALSE)</f>
        <v>20000-50000</v>
      </c>
      <c r="F498" s="18" t="s">
        <v>10</v>
      </c>
      <c r="G498" s="18" t="s">
        <v>69</v>
      </c>
      <c r="H498" s="23">
        <v>180</v>
      </c>
      <c r="I498" s="18" t="s">
        <v>58</v>
      </c>
      <c r="J498" s="20" t="s">
        <v>15</v>
      </c>
    </row>
    <row r="499" spans="1:10" ht="12.75">
      <c r="A499" s="24" t="str">
        <f>HYPERLINK("https://www.dndbeyond.com/magic-items/perfume-of-bewitching", "Perfume Of Bewitching")</f>
        <v>Perfume Of Bewitching</v>
      </c>
      <c r="B499" s="6"/>
      <c r="C499" s="22">
        <v>75</v>
      </c>
      <c r="D499" s="18" t="str">
        <f>VLOOKUP(F499,'Price Ranges'!$A$2:$B$8,2, FALSE)</f>
        <v>50-100</v>
      </c>
      <c r="E499" s="8" t="str">
        <f>VLOOKUP(F499,'Price Ranges'!$A$2:$C$8,3, FALSE)</f>
        <v>20-70</v>
      </c>
      <c r="F499" s="18" t="s">
        <v>35</v>
      </c>
      <c r="G499" s="18" t="s">
        <v>37</v>
      </c>
      <c r="H499" s="19">
        <v>138</v>
      </c>
      <c r="I499" s="18" t="s">
        <v>56</v>
      </c>
      <c r="J499" s="20" t="s">
        <v>13</v>
      </c>
    </row>
    <row r="500" spans="1:10" ht="12.75">
      <c r="A500" s="24" t="str">
        <f>HYPERLINK("https://www.dndbeyond.com/magic-items/periapt-of-health", "Periapt Of Health")</f>
        <v>Periapt Of Health</v>
      </c>
      <c r="B500" s="16">
        <v>5000</v>
      </c>
      <c r="C500" s="21">
        <v>250</v>
      </c>
      <c r="D500" s="18" t="str">
        <f>VLOOKUP(F500,'Price Ranges'!$A$2:$B$8,2, FALSE)</f>
        <v>101-500</v>
      </c>
      <c r="E500" s="8" t="str">
        <f>VLOOKUP(F500,'Price Ranges'!$A$2:$C$8,3, FALSE)</f>
        <v>100-600</v>
      </c>
      <c r="F500" s="18" t="s">
        <v>19</v>
      </c>
      <c r="G500" s="18" t="s">
        <v>20</v>
      </c>
      <c r="H500" s="19">
        <v>184</v>
      </c>
      <c r="I500" s="18" t="s">
        <v>26</v>
      </c>
      <c r="J500" s="20" t="s">
        <v>13</v>
      </c>
    </row>
    <row r="501" spans="1:10" ht="12.75">
      <c r="A501" s="24" t="str">
        <f>HYPERLINK("https://www.dndbeyond.com/magic-items/periapt-of-proof-against-poison", "Periapt Of Proof Against Poison")</f>
        <v>Periapt Of Proof Against Poison</v>
      </c>
      <c r="B501" s="16">
        <v>5000</v>
      </c>
      <c r="C501" s="21">
        <v>4700</v>
      </c>
      <c r="D501" s="18" t="str">
        <f>VLOOKUP(F501,'Price Ranges'!$A$2:$B$8,2, FALSE)</f>
        <v>501-5000</v>
      </c>
      <c r="E501" s="8" t="str">
        <f>VLOOKUP(F501,'Price Ranges'!$A$2:$C$8,3, FALSE)</f>
        <v>2000-20000</v>
      </c>
      <c r="F501" s="18" t="s">
        <v>16</v>
      </c>
      <c r="G501" s="18" t="s">
        <v>20</v>
      </c>
      <c r="H501" s="19">
        <v>184</v>
      </c>
      <c r="I501" s="18" t="s">
        <v>26</v>
      </c>
      <c r="J501" s="20" t="s">
        <v>13</v>
      </c>
    </row>
    <row r="502" spans="1:10" ht="12.75">
      <c r="A502" s="24" t="str">
        <f>HYPERLINK("https://www.dndbeyond.com/magic-items/periapt-of-wound-closure", "Periapt Of Wound Closure")</f>
        <v>Periapt Of Wound Closure</v>
      </c>
      <c r="B502" s="16">
        <v>5000</v>
      </c>
      <c r="C502" s="21">
        <v>375</v>
      </c>
      <c r="D502" s="18" t="str">
        <f>VLOOKUP(F502,'Price Ranges'!$A$2:$B$8,2, FALSE)</f>
        <v>101-500</v>
      </c>
      <c r="E502" s="8" t="str">
        <f>VLOOKUP(F502,'Price Ranges'!$A$2:$C$8,3, FALSE)</f>
        <v>100-600</v>
      </c>
      <c r="F502" s="18" t="s">
        <v>19</v>
      </c>
      <c r="G502" s="18" t="s">
        <v>20</v>
      </c>
      <c r="H502" s="19">
        <v>184</v>
      </c>
      <c r="I502" s="18" t="s">
        <v>26</v>
      </c>
      <c r="J502" s="20" t="s">
        <v>15</v>
      </c>
    </row>
    <row r="503" spans="1:10" ht="12.75">
      <c r="A503" s="24" t="str">
        <f>HYPERLINK("https://www.dndbeyond.com/magic-items/philter-of-love", "Philter Of Love")</f>
        <v>Philter Of Love</v>
      </c>
      <c r="B503" s="16">
        <v>90</v>
      </c>
      <c r="C503" s="21">
        <v>150</v>
      </c>
      <c r="D503" s="18" t="str">
        <f>VLOOKUP(F503,'Price Ranges'!$A$2:$B$8,2, FALSE)</f>
        <v>101-500</v>
      </c>
      <c r="E503" s="8" t="str">
        <f>VLOOKUP(F503,'Price Ranges'!$A$2:$C$8,3, FALSE)</f>
        <v>100-600</v>
      </c>
      <c r="F503" s="18" t="s">
        <v>19</v>
      </c>
      <c r="G503" s="18" t="s">
        <v>20</v>
      </c>
      <c r="H503" s="19">
        <v>184</v>
      </c>
      <c r="I503" s="18" t="s">
        <v>56</v>
      </c>
      <c r="J503" s="20" t="s">
        <v>13</v>
      </c>
    </row>
    <row r="504" spans="1:10" ht="12.75">
      <c r="A504" s="24" t="str">
        <f>HYPERLINK("https://www.dndbeyond.com/magic-items/piercer", "Piercer")</f>
        <v>Piercer</v>
      </c>
      <c r="B504" s="6"/>
      <c r="C504" s="7"/>
      <c r="D504" s="18" t="str">
        <f>VLOOKUP(F504,'Price Ranges'!$A$2:$B$8,2, FALSE)</f>
        <v>501-5000</v>
      </c>
      <c r="E504" s="8" t="str">
        <f>VLOOKUP(F504,'Price Ranges'!$A$2:$C$8,3, FALSE)</f>
        <v>2000-20000</v>
      </c>
      <c r="F504" s="18" t="s">
        <v>16</v>
      </c>
      <c r="G504" s="18" t="s">
        <v>60</v>
      </c>
      <c r="H504" s="26"/>
      <c r="I504" s="18" t="s">
        <v>18</v>
      </c>
      <c r="J504" s="20" t="s">
        <v>15</v>
      </c>
    </row>
    <row r="505" spans="1:10" ht="12.75">
      <c r="A505" s="24" t="str">
        <f>HYPERLINK("https://www.dndbeyond.com/magic-items/pipe-of-remembrance", "Pipe Of Remembrance")</f>
        <v>Pipe Of Remembrance</v>
      </c>
      <c r="B505" s="6"/>
      <c r="C505" s="14">
        <v>50</v>
      </c>
      <c r="D505" s="18" t="str">
        <f>VLOOKUP(F505,'Price Ranges'!$A$2:$B$8,2, FALSE)</f>
        <v>50-100</v>
      </c>
      <c r="E505" s="8" t="str">
        <f>VLOOKUP(F505,'Price Ranges'!$A$2:$C$8,3, FALSE)</f>
        <v>20-70</v>
      </c>
      <c r="F505" s="18" t="s">
        <v>35</v>
      </c>
      <c r="G505" s="18" t="s">
        <v>62</v>
      </c>
      <c r="H505" s="26"/>
      <c r="I505" s="18" t="s">
        <v>12</v>
      </c>
      <c r="J505" s="20" t="s">
        <v>13</v>
      </c>
    </row>
    <row r="506" spans="1:10" ht="12.75">
      <c r="A506" s="24" t="str">
        <f>HYPERLINK("https://www.dndbeyond.com/magic-items/pipe-of-smoke-monsters", "Pipe Of Smoke Monsters")</f>
        <v>Pipe Of Smoke Monsters</v>
      </c>
      <c r="B506" s="6"/>
      <c r="C506" s="22">
        <v>50</v>
      </c>
      <c r="D506" s="18" t="str">
        <f>VLOOKUP(F506,'Price Ranges'!$A$2:$B$8,2, FALSE)</f>
        <v>50-100</v>
      </c>
      <c r="E506" s="8" t="str">
        <f>VLOOKUP(F506,'Price Ranges'!$A$2:$C$8,3, FALSE)</f>
        <v>20-70</v>
      </c>
      <c r="F506" s="18" t="s">
        <v>35</v>
      </c>
      <c r="G506" s="18" t="s">
        <v>37</v>
      </c>
      <c r="H506" s="19">
        <v>138</v>
      </c>
      <c r="I506" s="18" t="s">
        <v>12</v>
      </c>
      <c r="J506" s="20" t="s">
        <v>13</v>
      </c>
    </row>
    <row r="507" spans="1:10" ht="12.75">
      <c r="A507" s="24" t="str">
        <f>HYPERLINK("https://www.dndbeyond.com/magic-items/pipes-of-haunting", "Pipes Of Haunting")</f>
        <v>Pipes Of Haunting</v>
      </c>
      <c r="B507" s="16">
        <v>6000</v>
      </c>
      <c r="C507" s="21">
        <v>300</v>
      </c>
      <c r="D507" s="18" t="str">
        <f>VLOOKUP(F507,'Price Ranges'!$A$2:$B$8,2, FALSE)</f>
        <v>101-500</v>
      </c>
      <c r="E507" s="8" t="str">
        <f>VLOOKUP(F507,'Price Ranges'!$A$2:$C$8,3, FALSE)</f>
        <v>100-600</v>
      </c>
      <c r="F507" s="18" t="s">
        <v>19</v>
      </c>
      <c r="G507" s="18" t="s">
        <v>20</v>
      </c>
      <c r="H507" s="19">
        <v>185</v>
      </c>
      <c r="I507" s="18" t="s">
        <v>12</v>
      </c>
      <c r="J507" s="20" t="s">
        <v>13</v>
      </c>
    </row>
    <row r="508" spans="1:10" ht="12.75">
      <c r="A508" s="24" t="str">
        <f>HYPERLINK("https://www.dndbeyond.com/magic-items/pipes-of-the-sewers", "Pipes Of The Sewers")</f>
        <v>Pipes Of The Sewers</v>
      </c>
      <c r="B508" s="16">
        <v>2000</v>
      </c>
      <c r="C508" s="21">
        <v>150</v>
      </c>
      <c r="D508" s="18" t="str">
        <f>VLOOKUP(F508,'Price Ranges'!$A$2:$B$8,2, FALSE)</f>
        <v>101-500</v>
      </c>
      <c r="E508" s="8" t="str">
        <f>VLOOKUP(F508,'Price Ranges'!$A$2:$C$8,3, FALSE)</f>
        <v>100-600</v>
      </c>
      <c r="F508" s="18" t="s">
        <v>19</v>
      </c>
      <c r="G508" s="18" t="s">
        <v>20</v>
      </c>
      <c r="H508" s="19">
        <v>185</v>
      </c>
      <c r="I508" s="18" t="s">
        <v>12</v>
      </c>
      <c r="J508" s="20" t="s">
        <v>15</v>
      </c>
    </row>
    <row r="509" spans="1:10" ht="12.75">
      <c r="A509" s="24" t="str">
        <f>HYPERLINK("https://www.dndbeyond.com/magic-items/piwafwi-cloak-of-elvenkind", "Piwafwi (Cloak Of Elvenkind)")</f>
        <v>Piwafwi (Cloak Of Elvenkind)</v>
      </c>
      <c r="B509" s="6"/>
      <c r="C509" s="22">
        <v>200</v>
      </c>
      <c r="D509" s="18" t="str">
        <f>VLOOKUP(F509,'Price Ranges'!$A$2:$B$8,2, FALSE)</f>
        <v>101-500</v>
      </c>
      <c r="E509" s="8" t="str">
        <f>VLOOKUP(F509,'Price Ranges'!$A$2:$C$8,3, FALSE)</f>
        <v>100-600</v>
      </c>
      <c r="F509" s="18" t="s">
        <v>19</v>
      </c>
      <c r="G509" s="18" t="s">
        <v>65</v>
      </c>
      <c r="H509" s="23">
        <v>222</v>
      </c>
      <c r="I509" s="18" t="s">
        <v>59</v>
      </c>
      <c r="J509" s="20" t="s">
        <v>15</v>
      </c>
    </row>
    <row r="510" spans="1:10" ht="12.75">
      <c r="A510" s="24" t="str">
        <f>HYPERLINK("https://www.dndbeyond.com/magic-items/piwafwi-of-fire-resistance", "Piwafwi Of Fire Resistance")</f>
        <v>Piwafwi Of Fire Resistance</v>
      </c>
      <c r="B510" s="6"/>
      <c r="C510" s="22">
        <v>1400</v>
      </c>
      <c r="D510" s="18" t="str">
        <f>VLOOKUP(F510,'Price Ranges'!$A$2:$B$8,2, FALSE)</f>
        <v>501-5000</v>
      </c>
      <c r="E510" s="8" t="str">
        <f>VLOOKUP(F510,'Price Ranges'!$A$2:$C$8,3, FALSE)</f>
        <v>2000-20000</v>
      </c>
      <c r="F510" s="18" t="s">
        <v>16</v>
      </c>
      <c r="G510" s="18" t="s">
        <v>65</v>
      </c>
      <c r="H510" s="23">
        <v>222</v>
      </c>
      <c r="I510" s="18" t="s">
        <v>59</v>
      </c>
      <c r="J510" s="20" t="s">
        <v>15</v>
      </c>
    </row>
    <row r="511" spans="1:10" ht="12.75">
      <c r="A511" s="5" t="str">
        <f>HYPERLINK("https://www.dndbeyond.com/magic-items/planecallers-codex", "Planecaller's Codex")</f>
        <v>Planecaller's Codex</v>
      </c>
      <c r="B511" s="6"/>
      <c r="C511" s="7"/>
      <c r="D511" s="8" t="str">
        <f>VLOOKUP(F511,'Price Ranges'!$A$2:$B$8,2, FALSE)</f>
        <v>501-5000</v>
      </c>
      <c r="E511" s="8" t="str">
        <f>VLOOKUP(F511,'Price Ranges'!$A$2:$C$8,3, FALSE)</f>
        <v>2000-20000</v>
      </c>
      <c r="F511" s="12" t="s">
        <v>16</v>
      </c>
      <c r="G511" s="12" t="s">
        <v>14</v>
      </c>
      <c r="H511" s="10"/>
      <c r="I511" s="8" t="s">
        <v>12</v>
      </c>
      <c r="J511" s="13" t="s">
        <v>15</v>
      </c>
    </row>
    <row r="512" spans="1:10" ht="12.75">
      <c r="A512" s="24" t="str">
        <f>HYPERLINK("https://www.dndbeyond.com/magic-items/plate-armor-of-etherealness", "Plate Armor Of Etherealness")</f>
        <v>Plate Armor Of Etherealness</v>
      </c>
      <c r="B512" s="16">
        <v>48000</v>
      </c>
      <c r="C512" s="21">
        <v>60000</v>
      </c>
      <c r="D512" s="18" t="str">
        <f>VLOOKUP(F512,'Price Ranges'!$A$2:$B$8,2, FALSE)</f>
        <v>50001+</v>
      </c>
      <c r="E512" s="8" t="str">
        <f>VLOOKUP(F512,'Price Ranges'!$A$2:$C$8,3, FALSE)</f>
        <v>50000-300000</v>
      </c>
      <c r="F512" s="18" t="s">
        <v>31</v>
      </c>
      <c r="G512" s="18" t="s">
        <v>20</v>
      </c>
      <c r="H512" s="19">
        <v>185</v>
      </c>
      <c r="I512" s="18" t="s">
        <v>21</v>
      </c>
      <c r="J512" s="20" t="s">
        <v>15</v>
      </c>
    </row>
    <row r="513" spans="1:10" ht="12.75">
      <c r="A513" s="24" t="str">
        <f>HYPERLINK("https://www.dndbeyond.com/magic-items/pole-of-angling", "Pole Of Angling")</f>
        <v>Pole Of Angling</v>
      </c>
      <c r="B513" s="6"/>
      <c r="C513" s="22">
        <v>50</v>
      </c>
      <c r="D513" s="18" t="str">
        <f>VLOOKUP(F513,'Price Ranges'!$A$2:$B$8,2, FALSE)</f>
        <v>50-100</v>
      </c>
      <c r="E513" s="8" t="str">
        <f>VLOOKUP(F513,'Price Ranges'!$A$2:$C$8,3, FALSE)</f>
        <v>20-70</v>
      </c>
      <c r="F513" s="18" t="s">
        <v>35</v>
      </c>
      <c r="G513" s="18" t="s">
        <v>37</v>
      </c>
      <c r="H513" s="19">
        <v>138</v>
      </c>
      <c r="I513" s="18" t="s">
        <v>12</v>
      </c>
      <c r="J513" s="20" t="s">
        <v>13</v>
      </c>
    </row>
    <row r="514" spans="1:10" ht="12.75">
      <c r="A514" s="24" t="str">
        <f>HYPERLINK("https://www.dndbeyond.com/magic-items/pole-of-collapsing", "Pole Of Collapsing")</f>
        <v>Pole Of Collapsing</v>
      </c>
      <c r="B514" s="6"/>
      <c r="C514" s="22">
        <v>55</v>
      </c>
      <c r="D514" s="18" t="str">
        <f>VLOOKUP(F514,'Price Ranges'!$A$2:$B$8,2, FALSE)</f>
        <v>50-100</v>
      </c>
      <c r="E514" s="8" t="str">
        <f>VLOOKUP(F514,'Price Ranges'!$A$2:$C$8,3, FALSE)</f>
        <v>20-70</v>
      </c>
      <c r="F514" s="18" t="s">
        <v>35</v>
      </c>
      <c r="G514" s="18" t="s">
        <v>37</v>
      </c>
      <c r="H514" s="19">
        <v>138</v>
      </c>
      <c r="I514" s="18" t="s">
        <v>12</v>
      </c>
      <c r="J514" s="20" t="s">
        <v>13</v>
      </c>
    </row>
    <row r="515" spans="1:10" ht="12.75">
      <c r="A515" s="24" t="str">
        <f>HYPERLINK("https://www.dndbeyond.com/magic-items/polymorph-blade", "Polymorph Blade")</f>
        <v>Polymorph Blade</v>
      </c>
      <c r="B515" s="6"/>
      <c r="C515" s="7"/>
      <c r="D515" s="18" t="str">
        <f>VLOOKUP(F515,'Price Ranges'!$A$2:$B$8,2, FALSE)</f>
        <v>5001-50000</v>
      </c>
      <c r="E515" s="8" t="str">
        <f>VLOOKUP(F515,'Price Ranges'!$A$2:$C$8,3, FALSE)</f>
        <v>20000-50000</v>
      </c>
      <c r="F515" s="18" t="s">
        <v>10</v>
      </c>
      <c r="G515" s="18" t="s">
        <v>50</v>
      </c>
      <c r="H515" s="18"/>
      <c r="I515" s="18" t="s">
        <v>18</v>
      </c>
      <c r="J515" s="20" t="s">
        <v>15</v>
      </c>
    </row>
    <row r="516" spans="1:10" ht="12.75">
      <c r="A516" s="24" t="str">
        <f>HYPERLINK("https://www.dndbeyond.com/magic-items/portable-hole", "Portable Hole")</f>
        <v>Portable Hole</v>
      </c>
      <c r="B516" s="16">
        <v>8000</v>
      </c>
      <c r="C516" s="21">
        <v>5000</v>
      </c>
      <c r="D516" s="18" t="str">
        <f>VLOOKUP(F516,'Price Ranges'!$A$2:$B$8,2, FALSE)</f>
        <v>501-5000</v>
      </c>
      <c r="E516" s="8" t="str">
        <f>VLOOKUP(F516,'Price Ranges'!$A$2:$C$8,3, FALSE)</f>
        <v>2000-20000</v>
      </c>
      <c r="F516" s="18" t="s">
        <v>16</v>
      </c>
      <c r="G516" s="18" t="s">
        <v>20</v>
      </c>
      <c r="H516" s="19">
        <v>185</v>
      </c>
      <c r="I516" s="18" t="s">
        <v>12</v>
      </c>
      <c r="J516" s="20" t="s">
        <v>13</v>
      </c>
    </row>
    <row r="517" spans="1:10" ht="12.75">
      <c r="A517" s="24" t="str">
        <f>HYPERLINK("https://www.dndbeyond.com/magic-items/portfolio-keeper", "Portfolio Keeper")</f>
        <v>Portfolio Keeper</v>
      </c>
      <c r="B517" s="6"/>
      <c r="C517" s="7"/>
      <c r="D517" s="18" t="str">
        <f>VLOOKUP(F517,'Price Ranges'!$A$2:$B$8,2, FALSE)</f>
        <v>Varies</v>
      </c>
      <c r="E517" s="8" t="str">
        <f>VLOOKUP(F517,'Price Ranges'!$A$2:$C$8,3, FALSE)</f>
        <v>Varies</v>
      </c>
      <c r="F517" s="18" t="s">
        <v>24</v>
      </c>
      <c r="G517" s="18" t="s">
        <v>60</v>
      </c>
      <c r="H517" s="18"/>
      <c r="I517" s="18" t="s">
        <v>12</v>
      </c>
      <c r="J517" s="20" t="s">
        <v>13</v>
      </c>
    </row>
    <row r="518" spans="1:10" ht="12.75">
      <c r="A518" s="24" t="str">
        <f>HYPERLINK("https://www.dndbeyond.com/magic-items/pot-of-awakening", "Pot Of Awakening")</f>
        <v>Pot Of Awakening</v>
      </c>
      <c r="B518" s="6"/>
      <c r="C518" s="22">
        <v>85</v>
      </c>
      <c r="D518" s="18" t="str">
        <f>VLOOKUP(F518,'Price Ranges'!$A$2:$B$8,2, FALSE)</f>
        <v>50-100</v>
      </c>
      <c r="E518" s="8" t="str">
        <f>VLOOKUP(F518,'Price Ranges'!$A$2:$C$8,3, FALSE)</f>
        <v>20-70</v>
      </c>
      <c r="F518" s="18" t="s">
        <v>35</v>
      </c>
      <c r="G518" s="18" t="s">
        <v>37</v>
      </c>
      <c r="H518" s="19">
        <v>138</v>
      </c>
      <c r="I518" s="18" t="s">
        <v>12</v>
      </c>
      <c r="J518" s="20" t="s">
        <v>13</v>
      </c>
    </row>
    <row r="519" spans="1:10" ht="12.75">
      <c r="A519" s="24" t="str">
        <f>HYPERLINK("https://www.dndbeyond.com/magic-items/potion-of-animal-friendship", "Potion Of Animal Friendship")</f>
        <v>Potion Of Animal Friendship</v>
      </c>
      <c r="B519" s="16">
        <v>200</v>
      </c>
      <c r="C519" s="21">
        <v>200</v>
      </c>
      <c r="D519" s="18" t="str">
        <f>VLOOKUP(F519,'Price Ranges'!$A$2:$B$8,2, FALSE)</f>
        <v>101-500</v>
      </c>
      <c r="E519" s="8" t="str">
        <f>VLOOKUP(F519,'Price Ranges'!$A$2:$C$8,3, FALSE)</f>
        <v>100-600</v>
      </c>
      <c r="F519" s="18" t="s">
        <v>19</v>
      </c>
      <c r="G519" s="18" t="s">
        <v>20</v>
      </c>
      <c r="H519" s="19">
        <v>187</v>
      </c>
      <c r="I519" s="18" t="s">
        <v>56</v>
      </c>
      <c r="J519" s="20" t="s">
        <v>13</v>
      </c>
    </row>
    <row r="520" spans="1:10" ht="12.75">
      <c r="A520" s="15" t="str">
        <f>HYPERLINK("https://www.dndbeyond.com/magic-items/potion-of-aqueous-form", "Potion of Aqueous Form")</f>
        <v>Potion of Aqueous Form</v>
      </c>
      <c r="B520" s="6"/>
      <c r="C520" s="14">
        <v>1000</v>
      </c>
      <c r="D520" s="8" t="str">
        <f>VLOOKUP(F520,'Price Ranges'!$A$2:$B$8,2, FALSE)</f>
        <v>501-5000</v>
      </c>
      <c r="E520" s="8" t="str">
        <f>VLOOKUP(F520,'Price Ranges'!$A$2:$C$8,3, FALSE)</f>
        <v>2000-20000</v>
      </c>
      <c r="F520" s="9" t="s">
        <v>16</v>
      </c>
      <c r="G520" s="9" t="s">
        <v>23</v>
      </c>
      <c r="H520" s="10"/>
      <c r="I520" s="18" t="s">
        <v>56</v>
      </c>
      <c r="J520" s="13" t="s">
        <v>13</v>
      </c>
    </row>
    <row r="521" spans="1:10" ht="12.75">
      <c r="A521" s="24" t="str">
        <f>HYPERLINK("https://www.dndbeyond.com/magic-items/potion-of-clairvoyance", "Potion Of Clairvoyance")</f>
        <v>Potion Of Clairvoyance</v>
      </c>
      <c r="B521" s="16">
        <v>960</v>
      </c>
      <c r="C521" s="21">
        <v>900</v>
      </c>
      <c r="D521" s="18" t="str">
        <f>VLOOKUP(F521,'Price Ranges'!$A$2:$B$8,2, FALSE)</f>
        <v>501-5000</v>
      </c>
      <c r="E521" s="8" t="str">
        <f>VLOOKUP(F521,'Price Ranges'!$A$2:$C$8,3, FALSE)</f>
        <v>2000-20000</v>
      </c>
      <c r="F521" s="18" t="s">
        <v>16</v>
      </c>
      <c r="G521" s="18" t="s">
        <v>20</v>
      </c>
      <c r="H521" s="19">
        <v>187</v>
      </c>
      <c r="I521" s="18" t="s">
        <v>56</v>
      </c>
      <c r="J521" s="20" t="s">
        <v>13</v>
      </c>
    </row>
    <row r="522" spans="1:10" ht="12.75">
      <c r="A522" s="24" t="str">
        <f>HYPERLINK("https://www.dndbeyond.com/magic-items/potion-of-climbing", "Potion Of Climbing")</f>
        <v>Potion Of Climbing</v>
      </c>
      <c r="B522" s="16">
        <v>180</v>
      </c>
      <c r="C522" s="21">
        <v>30</v>
      </c>
      <c r="D522" s="18" t="str">
        <f>VLOOKUP(F522,'Price Ranges'!$A$2:$B$8,2, FALSE)</f>
        <v>50-100</v>
      </c>
      <c r="E522" s="8" t="str">
        <f>VLOOKUP(F522,'Price Ranges'!$A$2:$C$8,3, FALSE)</f>
        <v>20-70</v>
      </c>
      <c r="F522" s="18" t="s">
        <v>35</v>
      </c>
      <c r="G522" s="18" t="s">
        <v>20</v>
      </c>
      <c r="H522" s="19">
        <v>187</v>
      </c>
      <c r="I522" s="18" t="s">
        <v>56</v>
      </c>
      <c r="J522" s="20" t="s">
        <v>13</v>
      </c>
    </row>
    <row r="523" spans="1:10" ht="12.75">
      <c r="A523" s="24" t="str">
        <f>HYPERLINK("https://www.dndbeyond.com/magic-items/potion-of-comprehension", "Potion Of Comprehension")</f>
        <v>Potion Of Comprehension</v>
      </c>
      <c r="B523" s="6"/>
      <c r="C523" s="7"/>
      <c r="D523" s="18" t="str">
        <f>VLOOKUP(F523,'Price Ranges'!$A$2:$B$8,2, FALSE)</f>
        <v>50-100</v>
      </c>
      <c r="E523" s="8" t="str">
        <f>VLOOKUP(F523,'Price Ranges'!$A$2:$C$8,3, FALSE)</f>
        <v>20-70</v>
      </c>
      <c r="F523" s="18" t="s">
        <v>35</v>
      </c>
      <c r="G523" s="18" t="s">
        <v>39</v>
      </c>
      <c r="H523" s="18"/>
      <c r="I523" s="18" t="s">
        <v>56</v>
      </c>
      <c r="J523" s="20" t="s">
        <v>13</v>
      </c>
    </row>
    <row r="524" spans="1:10" ht="12.75">
      <c r="A524" s="24" t="str">
        <f>HYPERLINK("https://www.dndbeyond.com/magic-items/potion-of-diminution", "Potion Of Diminution")</f>
        <v>Potion Of Diminution</v>
      </c>
      <c r="B524" s="16">
        <v>270</v>
      </c>
      <c r="C524" s="21">
        <v>500</v>
      </c>
      <c r="D524" s="18" t="str">
        <f>VLOOKUP(F524,'Price Ranges'!$A$2:$B$8,2, FALSE)</f>
        <v>501-5000</v>
      </c>
      <c r="E524" s="8" t="str">
        <f>VLOOKUP(F524,'Price Ranges'!$A$2:$C$8,3, FALSE)</f>
        <v>2000-20000</v>
      </c>
      <c r="F524" s="18" t="s">
        <v>16</v>
      </c>
      <c r="G524" s="18" t="s">
        <v>20</v>
      </c>
      <c r="H524" s="19">
        <v>187</v>
      </c>
      <c r="I524" s="18" t="s">
        <v>56</v>
      </c>
      <c r="J524" s="20" t="s">
        <v>13</v>
      </c>
    </row>
    <row r="525" spans="1:10" ht="12.75">
      <c r="A525" s="24" t="str">
        <f>HYPERLINK("https://www.dndbeyond.com/magic-items/potion-of-fire-breath", "Potion Of Fire Breath")</f>
        <v>Potion Of Fire Breath</v>
      </c>
      <c r="B525" s="16">
        <v>150</v>
      </c>
      <c r="C525" s="21">
        <v>350</v>
      </c>
      <c r="D525" s="18" t="str">
        <f>VLOOKUP(F525,'Price Ranges'!$A$2:$B$8,2, FALSE)</f>
        <v>101-500</v>
      </c>
      <c r="E525" s="8" t="str">
        <f>VLOOKUP(F525,'Price Ranges'!$A$2:$C$8,3, FALSE)</f>
        <v>100-600</v>
      </c>
      <c r="F525" s="18" t="s">
        <v>19</v>
      </c>
      <c r="G525" s="18" t="s">
        <v>20</v>
      </c>
      <c r="H525" s="19">
        <v>187</v>
      </c>
      <c r="I525" s="18" t="s">
        <v>56</v>
      </c>
      <c r="J525" s="20" t="s">
        <v>13</v>
      </c>
    </row>
    <row r="526" spans="1:10" ht="12.75">
      <c r="A526" s="24" t="str">
        <f>HYPERLINK("https://www.dndbeyond.com/magic-items/potion-of-flying", "Potion Of Flying")</f>
        <v>Potion Of Flying</v>
      </c>
      <c r="B526" s="16">
        <v>500</v>
      </c>
      <c r="C526" s="21">
        <v>2500</v>
      </c>
      <c r="D526" s="18" t="str">
        <f>VLOOKUP(F526,'Price Ranges'!$A$2:$B$8,2, FALSE)</f>
        <v>5001-50000</v>
      </c>
      <c r="E526" s="8" t="str">
        <f>VLOOKUP(F526,'Price Ranges'!$A$2:$C$8,3, FALSE)</f>
        <v>20000-50000</v>
      </c>
      <c r="F526" s="18" t="s">
        <v>10</v>
      </c>
      <c r="G526" s="18" t="s">
        <v>20</v>
      </c>
      <c r="H526" s="19">
        <v>187</v>
      </c>
      <c r="I526" s="18" t="s">
        <v>56</v>
      </c>
      <c r="J526" s="20" t="s">
        <v>13</v>
      </c>
    </row>
    <row r="527" spans="1:10" ht="12.75">
      <c r="A527" s="24" t="str">
        <f>HYPERLINK("https://www.dndbeyond.com/magic-items/potion-of-gaseous-form", "Potion Of Gaseous Form")</f>
        <v>Potion Of Gaseous Form</v>
      </c>
      <c r="B527" s="16">
        <v>300</v>
      </c>
      <c r="C527" s="21">
        <v>1500</v>
      </c>
      <c r="D527" s="18" t="str">
        <f>VLOOKUP(F527,'Price Ranges'!$A$2:$B$8,2, FALSE)</f>
        <v>501-5000</v>
      </c>
      <c r="E527" s="8" t="str">
        <f>VLOOKUP(F527,'Price Ranges'!$A$2:$C$8,3, FALSE)</f>
        <v>2000-20000</v>
      </c>
      <c r="F527" s="18" t="s">
        <v>16</v>
      </c>
      <c r="G527" s="18" t="s">
        <v>20</v>
      </c>
      <c r="H527" s="19">
        <v>187</v>
      </c>
      <c r="I527" s="18" t="s">
        <v>56</v>
      </c>
      <c r="J527" s="20" t="s">
        <v>13</v>
      </c>
    </row>
    <row r="528" spans="1:10" ht="12.75">
      <c r="A528" s="24" t="str">
        <f>HYPERLINK("https://www.dndbeyond.com/magic-items/potion-of-giant-size", "Potion Of Giant Size")</f>
        <v>Potion Of Giant Size</v>
      </c>
      <c r="B528" s="6"/>
      <c r="C528" s="22">
        <v>11000</v>
      </c>
      <c r="D528" s="18" t="str">
        <f>VLOOKUP(F528,'Price Ranges'!$A$2:$B$8,2, FALSE)</f>
        <v>50001+</v>
      </c>
      <c r="E528" s="8" t="str">
        <f>VLOOKUP(F528,'Price Ranges'!$A$2:$C$8,3, FALSE)</f>
        <v>50000-300000</v>
      </c>
      <c r="F528" s="18" t="s">
        <v>31</v>
      </c>
      <c r="G528" s="18" t="s">
        <v>43</v>
      </c>
      <c r="H528" s="23">
        <v>236</v>
      </c>
      <c r="I528" s="18" t="s">
        <v>56</v>
      </c>
      <c r="J528" s="20" t="s">
        <v>13</v>
      </c>
    </row>
    <row r="529" spans="1:10" ht="12.75">
      <c r="A529" s="24" t="str">
        <f>HYPERLINK("https://www.dndbeyond.com/magic-items/potion-of-giant-strength", "Potion Of Giant Strength (Cloud)")</f>
        <v>Potion Of Giant Strength (Cloud)</v>
      </c>
      <c r="B529" s="6"/>
      <c r="C529" s="22">
        <v>1800</v>
      </c>
      <c r="D529" s="18" t="str">
        <f>VLOOKUP(F529,'Price Ranges'!$A$2:$B$8,2, FALSE)</f>
        <v>5001-50000</v>
      </c>
      <c r="E529" s="8" t="str">
        <f>VLOOKUP(F529,'Price Ranges'!$A$2:$C$8,3, FALSE)</f>
        <v>20000-50000</v>
      </c>
      <c r="F529" s="9" t="s">
        <v>10</v>
      </c>
      <c r="G529" s="18" t="s">
        <v>20</v>
      </c>
      <c r="H529" s="23">
        <v>187</v>
      </c>
      <c r="I529" s="18" t="s">
        <v>56</v>
      </c>
      <c r="J529" s="20" t="s">
        <v>13</v>
      </c>
    </row>
    <row r="530" spans="1:10" ht="12.75">
      <c r="A530" s="24" t="str">
        <f>HYPERLINK("https://www.dndbeyond.com/magic-items/potion-of-giant-strength", "Potion Of Giant Strength (Fire)")</f>
        <v>Potion Of Giant Strength (Fire)</v>
      </c>
      <c r="B530" s="6"/>
      <c r="C530" s="22">
        <v>1200</v>
      </c>
      <c r="D530" s="18" t="str">
        <f>VLOOKUP(F530,'Price Ranges'!$A$2:$B$8,2, FALSE)</f>
        <v>501-5000</v>
      </c>
      <c r="E530" s="8" t="str">
        <f>VLOOKUP(F530,'Price Ranges'!$A$2:$C$8,3, FALSE)</f>
        <v>2000-20000</v>
      </c>
      <c r="F530" s="9" t="s">
        <v>16</v>
      </c>
      <c r="G530" s="18" t="s">
        <v>20</v>
      </c>
      <c r="H530" s="23">
        <v>187</v>
      </c>
      <c r="I530" s="18" t="s">
        <v>56</v>
      </c>
      <c r="J530" s="20" t="s">
        <v>13</v>
      </c>
    </row>
    <row r="531" spans="1:10" ht="12.75">
      <c r="A531" s="24" t="str">
        <f>HYPERLINK("https://www.dndbeyond.com/magic-items/potion-of-giant-strength", "Potion Of Giant Strength (Frost/Stone)")</f>
        <v>Potion Of Giant Strength (Frost/Stone)</v>
      </c>
      <c r="B531" s="6"/>
      <c r="C531" s="22">
        <v>650</v>
      </c>
      <c r="D531" s="18" t="str">
        <f>VLOOKUP(F531,'Price Ranges'!$A$2:$B$8,2, FALSE)</f>
        <v>501-5000</v>
      </c>
      <c r="E531" s="8" t="str">
        <f>VLOOKUP(F531,'Price Ranges'!$A$2:$C$8,3, FALSE)</f>
        <v>2000-20000</v>
      </c>
      <c r="F531" s="9" t="s">
        <v>16</v>
      </c>
      <c r="G531" s="18" t="s">
        <v>20</v>
      </c>
      <c r="H531" s="23">
        <v>187</v>
      </c>
      <c r="I531" s="18" t="s">
        <v>56</v>
      </c>
      <c r="J531" s="20" t="s">
        <v>13</v>
      </c>
    </row>
    <row r="532" spans="1:10" ht="12.75">
      <c r="A532" s="24" t="str">
        <f>HYPERLINK("https://www.dndbeyond.com/magic-items/potion-of-giant-strength", "Potion Of Giant Strength (Hill)")</f>
        <v>Potion Of Giant Strength (Hill)</v>
      </c>
      <c r="B532" s="6"/>
      <c r="C532" s="22">
        <v>125</v>
      </c>
      <c r="D532" s="18" t="str">
        <f>VLOOKUP(F532,'Price Ranges'!$A$2:$B$8,2, FALSE)</f>
        <v>101-500</v>
      </c>
      <c r="E532" s="8" t="str">
        <f>VLOOKUP(F532,'Price Ranges'!$A$2:$C$8,3, FALSE)</f>
        <v>100-600</v>
      </c>
      <c r="F532" s="18" t="s">
        <v>19</v>
      </c>
      <c r="G532" s="18" t="s">
        <v>20</v>
      </c>
      <c r="H532" s="23">
        <v>187</v>
      </c>
      <c r="I532" s="18" t="s">
        <v>56</v>
      </c>
      <c r="J532" s="20" t="s">
        <v>13</v>
      </c>
    </row>
    <row r="533" spans="1:10" ht="12.75">
      <c r="A533" s="24" t="str">
        <f>HYPERLINK("https://www.dndbeyond.com/magic-items/potion-of-giant-strength", "Potion Of Giant Strength (Storm)")</f>
        <v>Potion Of Giant Strength (Storm)</v>
      </c>
      <c r="B533" s="6"/>
      <c r="C533" s="22">
        <v>8000</v>
      </c>
      <c r="D533" s="18" t="str">
        <f>VLOOKUP(F533,'Price Ranges'!$A$2:$B$8,2, FALSE)</f>
        <v>50001+</v>
      </c>
      <c r="E533" s="8" t="str">
        <f>VLOOKUP(F533,'Price Ranges'!$A$2:$C$8,3, FALSE)</f>
        <v>50000-300000</v>
      </c>
      <c r="F533" s="9" t="s">
        <v>31</v>
      </c>
      <c r="G533" s="18" t="s">
        <v>20</v>
      </c>
      <c r="H533" s="23">
        <v>187</v>
      </c>
      <c r="I533" s="18" t="s">
        <v>56</v>
      </c>
      <c r="J533" s="20" t="s">
        <v>13</v>
      </c>
    </row>
    <row r="534" spans="1:10" ht="12.75">
      <c r="A534" s="24" t="str">
        <f>HYPERLINK("https://www.dndbeyond.com/magic-items/potion-of-growth", "Potion Of Growth")</f>
        <v>Potion Of Growth</v>
      </c>
      <c r="B534" s="16">
        <v>270</v>
      </c>
      <c r="C534" s="21">
        <v>300</v>
      </c>
      <c r="D534" s="18" t="str">
        <f>VLOOKUP(F534,'Price Ranges'!$A$2:$B$8,2, FALSE)</f>
        <v>101-500</v>
      </c>
      <c r="E534" s="8" t="str">
        <f>VLOOKUP(F534,'Price Ranges'!$A$2:$C$8,3, FALSE)</f>
        <v>100-600</v>
      </c>
      <c r="F534" s="18" t="s">
        <v>19</v>
      </c>
      <c r="G534" s="18" t="s">
        <v>20</v>
      </c>
      <c r="H534" s="19">
        <v>187</v>
      </c>
      <c r="I534" s="18" t="s">
        <v>56</v>
      </c>
      <c r="J534" s="20" t="s">
        <v>13</v>
      </c>
    </row>
    <row r="535" spans="1:10" ht="12.75">
      <c r="A535" s="24" t="str">
        <f>HYPERLINK("https://www.dndbeyond.com/magic-items/potion-of-healing", "Potion Of Healing")</f>
        <v>Potion Of Healing</v>
      </c>
      <c r="B535" s="16">
        <v>50</v>
      </c>
      <c r="C535" s="21">
        <v>50</v>
      </c>
      <c r="D535" s="18" t="str">
        <f>VLOOKUP(F535,'Price Ranges'!$A$2:$B$8,2, FALSE)</f>
        <v>50-100</v>
      </c>
      <c r="E535" s="8" t="str">
        <f>VLOOKUP(F535,'Price Ranges'!$A$2:$C$8,3, FALSE)</f>
        <v>20-70</v>
      </c>
      <c r="F535" s="18" t="s">
        <v>35</v>
      </c>
      <c r="G535" s="18" t="s">
        <v>20</v>
      </c>
      <c r="H535" s="19">
        <v>187</v>
      </c>
      <c r="I535" s="18" t="s">
        <v>56</v>
      </c>
      <c r="J535" s="20" t="s">
        <v>13</v>
      </c>
    </row>
    <row r="536" spans="1:10" ht="12.75">
      <c r="A536" s="24" t="str">
        <f>HYPERLINK("https://www.dndbeyond.com/magic-items/potion-of-healing", "Potion Of Healing (Greater)")</f>
        <v>Potion Of Healing (Greater)</v>
      </c>
      <c r="B536" s="16">
        <v>150</v>
      </c>
      <c r="C536" s="21">
        <v>300</v>
      </c>
      <c r="D536" s="18" t="str">
        <f>VLOOKUP(F536,'Price Ranges'!$A$2:$B$8,2, FALSE)</f>
        <v>101-500</v>
      </c>
      <c r="E536" s="8" t="str">
        <f>VLOOKUP(F536,'Price Ranges'!$A$2:$C$8,3, FALSE)</f>
        <v>100-600</v>
      </c>
      <c r="F536" s="18" t="s">
        <v>19</v>
      </c>
      <c r="G536" s="18" t="s">
        <v>20</v>
      </c>
      <c r="H536" s="19">
        <v>187</v>
      </c>
      <c r="I536" s="18" t="s">
        <v>56</v>
      </c>
      <c r="J536" s="20" t="s">
        <v>13</v>
      </c>
    </row>
    <row r="537" spans="1:10" ht="12.75">
      <c r="A537" s="24" t="str">
        <f>HYPERLINK("https://www.dndbeyond.com/magic-items/potion-of-healing", "Potion Of Healing (Superior)")</f>
        <v>Potion Of Healing (Superior)</v>
      </c>
      <c r="B537" s="16">
        <v>450</v>
      </c>
      <c r="C537" s="21">
        <v>750</v>
      </c>
      <c r="D537" s="18" t="str">
        <f>VLOOKUP(F537,'Price Ranges'!$A$2:$B$8,2, FALSE)</f>
        <v>5001-50000</v>
      </c>
      <c r="E537" s="8" t="str">
        <f>VLOOKUP(F537,'Price Ranges'!$A$2:$C$8,3, FALSE)</f>
        <v>20000-50000</v>
      </c>
      <c r="F537" s="18" t="s">
        <v>10</v>
      </c>
      <c r="G537" s="18" t="s">
        <v>20</v>
      </c>
      <c r="H537" s="19">
        <v>187</v>
      </c>
      <c r="I537" s="18" t="s">
        <v>56</v>
      </c>
      <c r="J537" s="20" t="s">
        <v>13</v>
      </c>
    </row>
    <row r="538" spans="1:10" ht="12.75">
      <c r="A538" s="24" t="str">
        <f>HYPERLINK("https://www.dndbeyond.com/magic-items/potion-of-healing", "Potion Of Healing (Supreme)")</f>
        <v>Potion Of Healing (Supreme)</v>
      </c>
      <c r="B538" s="16">
        <v>1350</v>
      </c>
      <c r="C538" s="21">
        <v>1500</v>
      </c>
      <c r="D538" s="18" t="str">
        <f>VLOOKUP(F538,'Price Ranges'!$A$2:$B$8,2, FALSE)</f>
        <v>5001-50000</v>
      </c>
      <c r="E538" s="8" t="str">
        <f>VLOOKUP(F538,'Price Ranges'!$A$2:$C$8,3, FALSE)</f>
        <v>20000-50000</v>
      </c>
      <c r="F538" s="18" t="s">
        <v>10</v>
      </c>
      <c r="G538" s="18" t="s">
        <v>20</v>
      </c>
      <c r="H538" s="19">
        <v>187</v>
      </c>
      <c r="I538" s="18" t="s">
        <v>56</v>
      </c>
      <c r="J538" s="20" t="s">
        <v>13</v>
      </c>
    </row>
    <row r="539" spans="1:10" ht="12.75">
      <c r="A539" s="24" t="str">
        <f>HYPERLINK("https://www.dndbeyond.com/magic-items/potion-of-heroism", "Potion Of Heroism")</f>
        <v>Potion Of Heroism</v>
      </c>
      <c r="B539" s="16">
        <v>180</v>
      </c>
      <c r="C539" s="21">
        <v>800</v>
      </c>
      <c r="D539" s="18" t="str">
        <f>VLOOKUP(F539,'Price Ranges'!$A$2:$B$8,2, FALSE)</f>
        <v>501-5000</v>
      </c>
      <c r="E539" s="8" t="str">
        <f>VLOOKUP(F539,'Price Ranges'!$A$2:$C$8,3, FALSE)</f>
        <v>2000-20000</v>
      </c>
      <c r="F539" s="18" t="s">
        <v>16</v>
      </c>
      <c r="G539" s="18" t="s">
        <v>20</v>
      </c>
      <c r="H539" s="19">
        <v>188</v>
      </c>
      <c r="I539" s="18" t="s">
        <v>56</v>
      </c>
      <c r="J539" s="20" t="s">
        <v>13</v>
      </c>
    </row>
    <row r="540" spans="1:10" ht="12.75">
      <c r="A540" s="24" t="str">
        <f>HYPERLINK("https://www.dndbeyond.com/magic-items/potion-of-invisibility", "Potion Of Invisibility")</f>
        <v>Potion Of Invisibility</v>
      </c>
      <c r="B540" s="16">
        <v>180</v>
      </c>
      <c r="C540" s="21">
        <v>2000</v>
      </c>
      <c r="D540" s="18" t="str">
        <f>VLOOKUP(F540,'Price Ranges'!$A$2:$B$8,2, FALSE)</f>
        <v>5001-50000</v>
      </c>
      <c r="E540" s="8" t="str">
        <f>VLOOKUP(F540,'Price Ranges'!$A$2:$C$8,3, FALSE)</f>
        <v>20000-50000</v>
      </c>
      <c r="F540" s="18" t="s">
        <v>10</v>
      </c>
      <c r="G540" s="18" t="s">
        <v>20</v>
      </c>
      <c r="H540" s="19">
        <v>188</v>
      </c>
      <c r="I540" s="18" t="s">
        <v>56</v>
      </c>
      <c r="J540" s="20" t="s">
        <v>13</v>
      </c>
    </row>
    <row r="541" spans="1:10" ht="12.75">
      <c r="A541" s="24" t="str">
        <f>HYPERLINK("https://www.dndbeyond.com/magic-items/potion-of-invulnerability", "Potion Of Invulnerability")</f>
        <v>Potion Of Invulnerability</v>
      </c>
      <c r="B541" s="16">
        <v>3840</v>
      </c>
      <c r="C541" s="21">
        <v>1500</v>
      </c>
      <c r="D541" s="18" t="str">
        <f>VLOOKUP(F541,'Price Ranges'!$A$2:$B$8,2, FALSE)</f>
        <v>501-5000</v>
      </c>
      <c r="E541" s="8" t="str">
        <f>VLOOKUP(F541,'Price Ranges'!$A$2:$C$8,3, FALSE)</f>
        <v>2000-20000</v>
      </c>
      <c r="F541" s="18" t="s">
        <v>16</v>
      </c>
      <c r="G541" s="18" t="s">
        <v>20</v>
      </c>
      <c r="H541" s="19">
        <v>188</v>
      </c>
      <c r="I541" s="18" t="s">
        <v>56</v>
      </c>
      <c r="J541" s="20" t="s">
        <v>13</v>
      </c>
    </row>
    <row r="542" spans="1:10" ht="12.75">
      <c r="A542" s="24" t="str">
        <f>HYPERLINK("https://www.dndbeyond.com/magic-items/potion-of-longevity", "Potion Of Longevity")</f>
        <v>Potion Of Longevity</v>
      </c>
      <c r="B542" s="16">
        <v>9000</v>
      </c>
      <c r="C542" s="21">
        <v>3000</v>
      </c>
      <c r="D542" s="18" t="str">
        <f>VLOOKUP(F542,'Price Ranges'!$A$2:$B$8,2, FALSE)</f>
        <v>5001-50000</v>
      </c>
      <c r="E542" s="8" t="str">
        <f>VLOOKUP(F542,'Price Ranges'!$A$2:$C$8,3, FALSE)</f>
        <v>20000-50000</v>
      </c>
      <c r="F542" s="18" t="s">
        <v>10</v>
      </c>
      <c r="G542" s="18" t="s">
        <v>20</v>
      </c>
      <c r="H542" s="19">
        <v>188</v>
      </c>
      <c r="I542" s="18" t="s">
        <v>56</v>
      </c>
      <c r="J542" s="20" t="s">
        <v>13</v>
      </c>
    </row>
    <row r="543" spans="1:10" ht="12.75">
      <c r="A543" s="40" t="str">
        <f>HYPERLINK("https://www.dndbeyond.com/magic-items/potion-of-maximum-power", "Potion of Maximum Power")</f>
        <v>Potion of Maximum Power</v>
      </c>
      <c r="B543" s="6"/>
      <c r="C543" s="14">
        <v>2000</v>
      </c>
      <c r="D543" s="8" t="str">
        <f>VLOOKUP(F543,'Price Ranges'!$A$2:$B$8,2, FALSE)</f>
        <v>501-5000</v>
      </c>
      <c r="E543" s="8" t="str">
        <f>VLOOKUP(F543,'Price Ranges'!$A$2:$C$8,3, FALSE)</f>
        <v>2000-20000</v>
      </c>
      <c r="F543" s="9" t="s">
        <v>16</v>
      </c>
      <c r="G543" s="9" t="s">
        <v>17</v>
      </c>
      <c r="H543" s="12">
        <v>268</v>
      </c>
      <c r="I543" s="9" t="s">
        <v>72</v>
      </c>
      <c r="J543" s="13" t="s">
        <v>13</v>
      </c>
    </row>
    <row r="544" spans="1:10" ht="12.75">
      <c r="A544" s="24" t="str">
        <f>HYPERLINK("https://www.dndbeyond.com/magic-items/potion-of-mind-control", "Potion Of Mind Control (Beast)")</f>
        <v>Potion Of Mind Control (Beast)</v>
      </c>
      <c r="B544" s="6"/>
      <c r="C544" s="22">
        <v>1600</v>
      </c>
      <c r="D544" s="18" t="str">
        <f>VLOOKUP(F544,'Price Ranges'!$A$2:$B$8,2, FALSE)</f>
        <v>501-5000</v>
      </c>
      <c r="E544" s="8" t="str">
        <f>VLOOKUP(F544,'Price Ranges'!$A$2:$C$8,3, FALSE)</f>
        <v>2000-20000</v>
      </c>
      <c r="F544" s="18" t="s">
        <v>16</v>
      </c>
      <c r="G544" s="18" t="s">
        <v>27</v>
      </c>
      <c r="H544" s="23">
        <v>229</v>
      </c>
      <c r="I544" s="18" t="s">
        <v>56</v>
      </c>
      <c r="J544" s="20" t="s">
        <v>13</v>
      </c>
    </row>
    <row r="545" spans="1:10" ht="12.75">
      <c r="A545" s="24" t="str">
        <f>HYPERLINK("https://www.dndbeyond.com/magic-items/potion-of-mind-control", "Potion Of Mind Control (Humanoid)")</f>
        <v>Potion Of Mind Control (Humanoid)</v>
      </c>
      <c r="B545" s="6"/>
      <c r="C545" s="22">
        <v>2500</v>
      </c>
      <c r="D545" s="18" t="str">
        <f>VLOOKUP(F545,'Price Ranges'!$A$2:$B$8,2, FALSE)</f>
        <v>501-5000</v>
      </c>
      <c r="E545" s="8" t="str">
        <f>VLOOKUP(F545,'Price Ranges'!$A$2:$C$8,3, FALSE)</f>
        <v>2000-20000</v>
      </c>
      <c r="F545" s="18" t="s">
        <v>16</v>
      </c>
      <c r="G545" s="18" t="s">
        <v>27</v>
      </c>
      <c r="H545" s="23">
        <v>229</v>
      </c>
      <c r="I545" s="18" t="s">
        <v>56</v>
      </c>
      <c r="J545" s="20" t="s">
        <v>13</v>
      </c>
    </row>
    <row r="546" spans="1:10" ht="12.75">
      <c r="A546" s="24" t="str">
        <f>HYPERLINK("https://www.dndbeyond.com/magic-items/potion-of-mind-control", "Potion Of Mind Control (Monster)")</f>
        <v>Potion Of Mind Control (Monster)</v>
      </c>
      <c r="B546" s="6"/>
      <c r="C546" s="22">
        <v>6000</v>
      </c>
      <c r="D546" s="18" t="str">
        <f>VLOOKUP(F546,'Price Ranges'!$A$2:$B$8,2, FALSE)</f>
        <v>5001-50000</v>
      </c>
      <c r="E546" s="8" t="str">
        <f>VLOOKUP(F546,'Price Ranges'!$A$2:$C$8,3, FALSE)</f>
        <v>20000-50000</v>
      </c>
      <c r="F546" s="18" t="s">
        <v>10</v>
      </c>
      <c r="G546" s="18" t="s">
        <v>27</v>
      </c>
      <c r="H546" s="23">
        <v>229</v>
      </c>
      <c r="I546" s="18" t="s">
        <v>56</v>
      </c>
      <c r="J546" s="20" t="s">
        <v>13</v>
      </c>
    </row>
    <row r="547" spans="1:10" ht="12.75">
      <c r="A547" s="24" t="str">
        <f>HYPERLINK("https://www.dndbeyond.com/magic-items/potion-of-mind-reading", "Potion Of Mind Reading")</f>
        <v>Potion Of Mind Reading</v>
      </c>
      <c r="B547" s="16">
        <v>180</v>
      </c>
      <c r="C547" s="21">
        <v>1100</v>
      </c>
      <c r="D547" s="18" t="str">
        <f>VLOOKUP(F547,'Price Ranges'!$A$2:$B$8,2, FALSE)</f>
        <v>501-5000</v>
      </c>
      <c r="E547" s="8" t="str">
        <f>VLOOKUP(F547,'Price Ranges'!$A$2:$C$8,3, FALSE)</f>
        <v>2000-20000</v>
      </c>
      <c r="F547" s="18" t="s">
        <v>16</v>
      </c>
      <c r="G547" s="18" t="s">
        <v>20</v>
      </c>
      <c r="H547" s="19">
        <v>188</v>
      </c>
      <c r="I547" s="18" t="s">
        <v>56</v>
      </c>
      <c r="J547" s="20" t="s">
        <v>13</v>
      </c>
    </row>
    <row r="548" spans="1:10" ht="12.75">
      <c r="A548" s="24" t="str">
        <f>HYPERLINK("https://www.dndbeyond.com/magic-items/potion-of-poison", "Potion Of Poison")</f>
        <v>Potion Of Poison</v>
      </c>
      <c r="B548" s="16">
        <v>100</v>
      </c>
      <c r="C548" s="21">
        <v>500</v>
      </c>
      <c r="D548" s="18" t="str">
        <f>VLOOKUP(F548,'Price Ranges'!$A$2:$B$8,2, FALSE)</f>
        <v>101-500</v>
      </c>
      <c r="E548" s="8" t="str">
        <f>VLOOKUP(F548,'Price Ranges'!$A$2:$C$8,3, FALSE)</f>
        <v>100-600</v>
      </c>
      <c r="F548" s="18" t="s">
        <v>19</v>
      </c>
      <c r="G548" s="18" t="s">
        <v>20</v>
      </c>
      <c r="H548" s="19">
        <v>188</v>
      </c>
      <c r="I548" s="18" t="s">
        <v>56</v>
      </c>
      <c r="J548" s="20" t="s">
        <v>13</v>
      </c>
    </row>
    <row r="549" spans="1:10" ht="12.75">
      <c r="A549" s="5" t="str">
        <f>HYPERLINK("https://www.dndbeyond.com/magic-items/potion-of-possibility", "Potion of Possibility")</f>
        <v>Potion of Possibility</v>
      </c>
      <c r="B549" s="6"/>
      <c r="C549" s="14">
        <v>1900</v>
      </c>
      <c r="D549" s="8" t="str">
        <f>VLOOKUP(F549,'Price Ranges'!$A$2:$B$8,2, FALSE)</f>
        <v>5001-50000</v>
      </c>
      <c r="E549" s="8" t="str">
        <f>VLOOKUP(F549,'Price Ranges'!$A$2:$C$8,3, FALSE)</f>
        <v>20000-50000</v>
      </c>
      <c r="F549" s="9" t="s">
        <v>10</v>
      </c>
      <c r="G549" s="9" t="s">
        <v>17</v>
      </c>
      <c r="H549" s="12">
        <v>268</v>
      </c>
      <c r="I549" s="9" t="s">
        <v>72</v>
      </c>
      <c r="J549" s="13" t="s">
        <v>13</v>
      </c>
    </row>
    <row r="550" spans="1:10" ht="12.75">
      <c r="A550" s="24" t="str">
        <f>HYPERLINK("https://www.dndbeyond.com/magic-items/potion-of-resistance", "Potion Of Resistance")</f>
        <v>Potion Of Resistance</v>
      </c>
      <c r="B550" s="16">
        <v>300</v>
      </c>
      <c r="C550" s="21">
        <v>500</v>
      </c>
      <c r="D550" s="18" t="str">
        <f>VLOOKUP(F550,'Price Ranges'!$A$2:$B$8,2, FALSE)</f>
        <v>101-500</v>
      </c>
      <c r="E550" s="8" t="str">
        <f>VLOOKUP(F550,'Price Ranges'!$A$2:$C$8,3, FALSE)</f>
        <v>100-600</v>
      </c>
      <c r="F550" s="18" t="s">
        <v>19</v>
      </c>
      <c r="G550" s="18" t="s">
        <v>20</v>
      </c>
      <c r="H550" s="19">
        <v>188</v>
      </c>
      <c r="I550" s="18" t="s">
        <v>56</v>
      </c>
      <c r="J550" s="20" t="s">
        <v>13</v>
      </c>
    </row>
    <row r="551" spans="1:10" ht="12.75">
      <c r="A551" s="24" t="str">
        <f>HYPERLINK("https://www.dndbeyond.com/magic-items/potion-of-speed", "Potion Of Speed")</f>
        <v>Potion Of Speed</v>
      </c>
      <c r="B551" s="16">
        <v>400</v>
      </c>
      <c r="C551" s="21">
        <v>2000</v>
      </c>
      <c r="D551" s="18" t="str">
        <f>VLOOKUP(F551,'Price Ranges'!$A$2:$B$8,2, FALSE)</f>
        <v>5001-50000</v>
      </c>
      <c r="E551" s="8" t="str">
        <f>VLOOKUP(F551,'Price Ranges'!$A$2:$C$8,3, FALSE)</f>
        <v>20000-50000</v>
      </c>
      <c r="F551" s="18" t="s">
        <v>10</v>
      </c>
      <c r="G551" s="18" t="s">
        <v>20</v>
      </c>
      <c r="H551" s="19">
        <v>188</v>
      </c>
      <c r="I551" s="18" t="s">
        <v>56</v>
      </c>
      <c r="J551" s="20" t="s">
        <v>13</v>
      </c>
    </row>
    <row r="552" spans="1:10" ht="12.75">
      <c r="A552" s="24" t="str">
        <f>HYPERLINK("https://www.dndbeyond.com/magic-items/potion-of-vitality", "Potion Of Vitality")</f>
        <v>Potion Of Vitality</v>
      </c>
      <c r="B552" s="16">
        <v>960</v>
      </c>
      <c r="C552" s="21">
        <v>1800</v>
      </c>
      <c r="D552" s="18" t="str">
        <f>VLOOKUP(F552,'Price Ranges'!$A$2:$B$8,2, FALSE)</f>
        <v>5001-50000</v>
      </c>
      <c r="E552" s="8" t="str">
        <f>VLOOKUP(F552,'Price Ranges'!$A$2:$C$8,3, FALSE)</f>
        <v>20000-50000</v>
      </c>
      <c r="F552" s="9" t="s">
        <v>10</v>
      </c>
      <c r="G552" s="18" t="s">
        <v>20</v>
      </c>
      <c r="H552" s="19">
        <v>188</v>
      </c>
      <c r="I552" s="18" t="s">
        <v>56</v>
      </c>
      <c r="J552" s="20" t="s">
        <v>13</v>
      </c>
    </row>
    <row r="553" spans="1:10" ht="12.75">
      <c r="A553" s="24" t="str">
        <f>HYPERLINK("https://www.dndbeyond.com/magic-items/potion-of-watchful-rest", "Potion Of Watchful Rest")</f>
        <v>Potion Of Watchful Rest</v>
      </c>
      <c r="B553" s="6"/>
      <c r="C553" s="7"/>
      <c r="D553" s="18" t="str">
        <f>VLOOKUP(F553,'Price Ranges'!$A$2:$B$8,2, FALSE)</f>
        <v>50-100</v>
      </c>
      <c r="E553" s="8" t="str">
        <f>VLOOKUP(F553,'Price Ranges'!$A$2:$C$8,3, FALSE)</f>
        <v>20-70</v>
      </c>
      <c r="F553" s="18" t="s">
        <v>35</v>
      </c>
      <c r="G553" s="18" t="s">
        <v>39</v>
      </c>
      <c r="H553" s="18"/>
      <c r="I553" s="18" t="s">
        <v>56</v>
      </c>
      <c r="J553" s="20" t="s">
        <v>13</v>
      </c>
    </row>
    <row r="554" spans="1:10" ht="12.75">
      <c r="A554" s="24" t="str">
        <f>HYPERLINK("https://www.dndbeyond.com/magic-items/potion-of-water-breathing", "Potion Of Water Breathing")</f>
        <v>Potion Of Water Breathing</v>
      </c>
      <c r="B554" s="16">
        <v>180</v>
      </c>
      <c r="C554" s="21">
        <v>400</v>
      </c>
      <c r="D554" s="18" t="str">
        <f>VLOOKUP(F554,'Price Ranges'!$A$2:$B$8,2, FALSE)</f>
        <v>501-5000</v>
      </c>
      <c r="E554" s="8" t="str">
        <f>VLOOKUP(F554,'Price Ranges'!$A$2:$C$8,3, FALSE)</f>
        <v>2000-20000</v>
      </c>
      <c r="F554" s="18" t="s">
        <v>16</v>
      </c>
      <c r="G554" s="18" t="s">
        <v>20</v>
      </c>
      <c r="H554" s="19">
        <v>188</v>
      </c>
      <c r="I554" s="18" t="s">
        <v>56</v>
      </c>
      <c r="J554" s="20" t="s">
        <v>13</v>
      </c>
    </row>
    <row r="555" spans="1:10" ht="12.75">
      <c r="A555" s="24" t="str">
        <f>HYPERLINK("https://www.dndbeyond.com/magic-items/powered-armor", "Powered Armor")</f>
        <v>Powered Armor</v>
      </c>
      <c r="B555" s="6"/>
      <c r="C555" s="7"/>
      <c r="D555" s="18" t="str">
        <f>VLOOKUP(F555,'Price Ranges'!$A$2:$B$8,2, FALSE)</f>
        <v>50001+</v>
      </c>
      <c r="E555" s="8" t="str">
        <f>VLOOKUP(F555,'Price Ranges'!$A$2:$C$8,3, FALSE)</f>
        <v>50000-300000</v>
      </c>
      <c r="F555" s="18" t="s">
        <v>31</v>
      </c>
      <c r="G555" s="18" t="s">
        <v>50</v>
      </c>
      <c r="H555" s="26"/>
      <c r="I555" s="18" t="s">
        <v>21</v>
      </c>
      <c r="J555" s="20" t="s">
        <v>15</v>
      </c>
    </row>
    <row r="556" spans="1:10" ht="12.75">
      <c r="A556" s="24" t="str">
        <f>HYPERLINK("https://www.dndbeyond.com/magic-items/pressure-capsule", "Pressure Capsule")</f>
        <v>Pressure Capsule</v>
      </c>
      <c r="B556" s="6"/>
      <c r="C556" s="14">
        <v>25</v>
      </c>
      <c r="D556" s="18" t="str">
        <f>VLOOKUP(F556,'Price Ranges'!$A$2:$B$8,2, FALSE)</f>
        <v>50-100</v>
      </c>
      <c r="E556" s="8" t="str">
        <f>VLOOKUP(F556,'Price Ranges'!$A$2:$C$8,3, FALSE)</f>
        <v>20-70</v>
      </c>
      <c r="F556" s="18" t="s">
        <v>35</v>
      </c>
      <c r="G556" s="18" t="s">
        <v>62</v>
      </c>
      <c r="H556" s="26"/>
      <c r="I556" s="18" t="s">
        <v>12</v>
      </c>
      <c r="J556" s="20" t="s">
        <v>13</v>
      </c>
    </row>
    <row r="557" spans="1:10" ht="12.75">
      <c r="A557" s="24" t="str">
        <f t="shared" ref="A557:A558" si="15">HYPERLINK("https://www.dndbeyond.com/magic-items/professor-orb", "Professor Orb")</f>
        <v>Professor Orb</v>
      </c>
      <c r="B557" s="6"/>
      <c r="C557" s="7"/>
      <c r="D557" s="18" t="str">
        <f>VLOOKUP(F557,'Price Ranges'!$A$2:$B$8,2, FALSE)</f>
        <v>501-5000</v>
      </c>
      <c r="E557" s="8" t="str">
        <f>VLOOKUP(F557,'Price Ranges'!$A$2:$C$8,3, FALSE)</f>
        <v>2000-20000</v>
      </c>
      <c r="F557" s="18" t="s">
        <v>16</v>
      </c>
      <c r="G557" s="18" t="s">
        <v>46</v>
      </c>
      <c r="H557" s="26"/>
      <c r="I557" s="18" t="s">
        <v>12</v>
      </c>
      <c r="J557" s="20" t="s">
        <v>13</v>
      </c>
    </row>
    <row r="558" spans="1:10" ht="12.75">
      <c r="A558" s="5" t="str">
        <f t="shared" si="15"/>
        <v>Professor Orb</v>
      </c>
      <c r="B558" s="6"/>
      <c r="C558" s="7"/>
      <c r="D558" s="8" t="str">
        <f>VLOOKUP(F558,'Price Ranges'!$A$2:$B$8,2, FALSE)</f>
        <v>501-5000</v>
      </c>
      <c r="E558" s="8" t="str">
        <f>VLOOKUP(F558,'Price Ranges'!$A$2:$C$8,3, FALSE)</f>
        <v>2000-20000</v>
      </c>
      <c r="F558" s="12" t="s">
        <v>16</v>
      </c>
      <c r="G558" s="9" t="s">
        <v>11</v>
      </c>
      <c r="H558" s="10"/>
      <c r="I558" s="8" t="s">
        <v>12</v>
      </c>
      <c r="J558" s="11" t="s">
        <v>13</v>
      </c>
    </row>
    <row r="559" spans="1:10" ht="12.75">
      <c r="A559" s="24" t="str">
        <f>HYPERLINK("https://www.dndbeyond.com/magic-items/propeller-helm", "Propeller Helm")</f>
        <v>Propeller Helm</v>
      </c>
      <c r="B559" s="6"/>
      <c r="C559" s="7"/>
      <c r="D559" s="18" t="str">
        <f>VLOOKUP(F559,'Price Ranges'!$A$2:$B$8,2, FALSE)</f>
        <v>101-500</v>
      </c>
      <c r="E559" s="8" t="str">
        <f>VLOOKUP(F559,'Price Ranges'!$A$2:$C$8,3, FALSE)</f>
        <v>100-600</v>
      </c>
      <c r="F559" s="18" t="s">
        <v>19</v>
      </c>
      <c r="G559" s="18" t="s">
        <v>46</v>
      </c>
      <c r="H559" s="26"/>
      <c r="I559" s="18" t="s">
        <v>12</v>
      </c>
      <c r="J559" s="20" t="s">
        <v>15</v>
      </c>
    </row>
    <row r="560" spans="1:10" ht="12.75">
      <c r="A560" s="5" t="str">
        <f t="shared" ref="A560:A562" si="16">HYPERLINK("https://www.dndbeyond.com/magic-items/prosthetic-limb", "Prosthetic Limb")</f>
        <v>Prosthetic Limb</v>
      </c>
      <c r="B560" s="6"/>
      <c r="C560" s="14">
        <v>100</v>
      </c>
      <c r="D560" s="8" t="str">
        <f>VLOOKUP(F560,'Price Ranges'!$A$2:$B$8,2, FALSE)</f>
        <v>50-100</v>
      </c>
      <c r="E560" s="8" t="str">
        <f>VLOOKUP(F560,'Price Ranges'!$A$2:$C$8,3, FALSE)</f>
        <v>20-70</v>
      </c>
      <c r="F560" s="9" t="s">
        <v>35</v>
      </c>
      <c r="G560" s="9" t="s">
        <v>33</v>
      </c>
      <c r="H560" s="10"/>
      <c r="I560" s="9" t="s">
        <v>12</v>
      </c>
      <c r="J560" s="13" t="s">
        <v>15</v>
      </c>
    </row>
    <row r="561" spans="1:10" ht="12.75">
      <c r="A561" s="5" t="str">
        <f t="shared" si="16"/>
        <v>Prosthetic Limb</v>
      </c>
      <c r="B561" s="6"/>
      <c r="C561" s="14">
        <v>100</v>
      </c>
      <c r="D561" s="8" t="str">
        <f>VLOOKUP(F561,'Price Ranges'!$A$2:$B$8,2, FALSE)</f>
        <v>50-100</v>
      </c>
      <c r="E561" s="8" t="str">
        <f>VLOOKUP(F561,'Price Ranges'!$A$2:$C$8,3, FALSE)</f>
        <v>20-70</v>
      </c>
      <c r="F561" s="9" t="s">
        <v>35</v>
      </c>
      <c r="G561" s="9" t="s">
        <v>17</v>
      </c>
      <c r="H561" s="12">
        <v>278</v>
      </c>
      <c r="I561" s="9" t="s">
        <v>29</v>
      </c>
      <c r="J561" s="13" t="s">
        <v>15</v>
      </c>
    </row>
    <row r="562" spans="1:10" ht="12.75">
      <c r="A562" s="5" t="str">
        <f t="shared" si="16"/>
        <v>Prosthetic Limb</v>
      </c>
      <c r="B562" s="6"/>
      <c r="C562" s="7"/>
      <c r="D562" s="8" t="str">
        <f>VLOOKUP(F562,'Price Ranges'!$A$2:$B$8,2, FALSE)</f>
        <v>50-100</v>
      </c>
      <c r="E562" s="8" t="str">
        <f>VLOOKUP(F562,'Price Ranges'!$A$2:$C$8,3, FALSE)</f>
        <v>20-70</v>
      </c>
      <c r="F562" s="12" t="s">
        <v>35</v>
      </c>
      <c r="G562" s="12" t="s">
        <v>14</v>
      </c>
      <c r="H562" s="10"/>
      <c r="I562" s="8" t="s">
        <v>12</v>
      </c>
      <c r="J562" s="41" t="s">
        <v>13</v>
      </c>
    </row>
    <row r="563" spans="1:10" ht="12.75">
      <c r="A563" s="5" t="str">
        <f>HYPERLINK("https://www.dndbeyond.com/magic-items/protective-verses", "Protective Verses")</f>
        <v>Protective Verses</v>
      </c>
      <c r="B563" s="6"/>
      <c r="C563" s="7"/>
      <c r="D563" s="8" t="str">
        <f>VLOOKUP(F563,'Price Ranges'!$A$2:$B$8,2, FALSE)</f>
        <v>501-5000</v>
      </c>
      <c r="E563" s="8" t="str">
        <f>VLOOKUP(F563,'Price Ranges'!$A$2:$C$8,3, FALSE)</f>
        <v>2000-20000</v>
      </c>
      <c r="F563" s="12" t="s">
        <v>16</v>
      </c>
      <c r="G563" s="12" t="s">
        <v>14</v>
      </c>
      <c r="H563" s="10"/>
      <c r="I563" s="8" t="s">
        <v>12</v>
      </c>
      <c r="J563" s="13" t="s">
        <v>15</v>
      </c>
    </row>
    <row r="564" spans="1:10" ht="12.75">
      <c r="A564" s="5" t="str">
        <f>HYPERLINK("https://www.dndbeyond.com/magic-items/psi-crystal", "Psi Crystal")</f>
        <v>Psi Crystal</v>
      </c>
      <c r="B564" s="6"/>
      <c r="C564" s="7"/>
      <c r="D564" s="8" t="str">
        <f>VLOOKUP(F564,'Price Ranges'!$A$2:$B$8,2, FALSE)</f>
        <v>101-500</v>
      </c>
      <c r="E564" s="8" t="str">
        <f>VLOOKUP(F564,'Price Ranges'!$A$2:$C$8,3, FALSE)</f>
        <v>100-600</v>
      </c>
      <c r="F564" s="12" t="s">
        <v>19</v>
      </c>
      <c r="G564" s="9" t="s">
        <v>11</v>
      </c>
      <c r="H564" s="10"/>
      <c r="I564" s="8" t="s">
        <v>12</v>
      </c>
      <c r="J564" s="13" t="s">
        <v>15</v>
      </c>
    </row>
    <row r="565" spans="1:10" ht="12.75">
      <c r="A565" s="24" t="str">
        <f>HYPERLINK("https://www.dndbeyond.com/magic-items/pyroconverger", "Pyroconverger")</f>
        <v>Pyroconverger</v>
      </c>
      <c r="B565" s="6"/>
      <c r="C565" s="22">
        <v>250</v>
      </c>
      <c r="D565" s="18" t="str">
        <f>VLOOKUP(F565,'Price Ranges'!$A$2:$B$8,2, FALSE)</f>
        <v>101-500</v>
      </c>
      <c r="E565" s="8" t="str">
        <f>VLOOKUP(F565,'Price Ranges'!$A$2:$C$8,3, FALSE)</f>
        <v>100-600</v>
      </c>
      <c r="F565" s="18" t="s">
        <v>19</v>
      </c>
      <c r="G565" s="18" t="s">
        <v>69</v>
      </c>
      <c r="H565" s="23">
        <v>180</v>
      </c>
      <c r="I565" s="18" t="s">
        <v>12</v>
      </c>
      <c r="J565" s="20" t="s">
        <v>15</v>
      </c>
    </row>
    <row r="566" spans="1:10" ht="12.75">
      <c r="A566" s="15" t="str">
        <f>HYPERLINK("https://www.dndbeyond.com/magic-items/pyxis-of-pandemonium", "Pyxis of Pandemonium")</f>
        <v>Pyxis of Pandemonium</v>
      </c>
      <c r="B566" s="6"/>
      <c r="C566" s="14">
        <v>25000</v>
      </c>
      <c r="D566" s="8" t="str">
        <f>VLOOKUP(F566,'Price Ranges'!$A$2:$B$8,2, FALSE)</f>
        <v>50001+</v>
      </c>
      <c r="E566" s="8" t="str">
        <f>VLOOKUP(F566,'Price Ranges'!$A$2:$C$8,3, FALSE)</f>
        <v>50000-300000</v>
      </c>
      <c r="F566" s="9" t="s">
        <v>31</v>
      </c>
      <c r="G566" s="9" t="s">
        <v>23</v>
      </c>
      <c r="H566" s="10"/>
      <c r="I566" s="9" t="s">
        <v>12</v>
      </c>
      <c r="J566" s="13" t="s">
        <v>13</v>
      </c>
    </row>
    <row r="567" spans="1:10" ht="12.75">
      <c r="A567" s="24" t="str">
        <f>HYPERLINK("https://www.dndbeyond.com/magic-items/quaals-feather-token", "Quaals Feather Token (Anchor)")</f>
        <v>Quaals Feather Token (Anchor)</v>
      </c>
      <c r="B567" s="16">
        <v>50</v>
      </c>
      <c r="C567" s="21">
        <v>1000</v>
      </c>
      <c r="D567" s="18" t="str">
        <f>VLOOKUP(F567,'Price Ranges'!$A$2:$B$8,2, FALSE)</f>
        <v>501-5000</v>
      </c>
      <c r="E567" s="8" t="str">
        <f>VLOOKUP(F567,'Price Ranges'!$A$2:$C$8,3, FALSE)</f>
        <v>2000-20000</v>
      </c>
      <c r="F567" s="18" t="s">
        <v>16</v>
      </c>
      <c r="G567" s="18" t="s">
        <v>20</v>
      </c>
      <c r="H567" s="19">
        <v>188</v>
      </c>
      <c r="I567" s="18" t="s">
        <v>12</v>
      </c>
      <c r="J567" s="20" t="s">
        <v>13</v>
      </c>
    </row>
    <row r="568" spans="1:10" ht="12.75">
      <c r="A568" s="24" t="str">
        <f>HYPERLINK("https://www.dndbeyond.com/magic-items/quaals-feather-token", "Quaals Feather Token (Bird)")</f>
        <v>Quaals Feather Token (Bird)</v>
      </c>
      <c r="B568" s="16">
        <v>3000</v>
      </c>
      <c r="C568" s="21">
        <v>1000</v>
      </c>
      <c r="D568" s="18" t="str">
        <f>VLOOKUP(F568,'Price Ranges'!$A$2:$B$8,2, FALSE)</f>
        <v>501-5000</v>
      </c>
      <c r="E568" s="8" t="str">
        <f>VLOOKUP(F568,'Price Ranges'!$A$2:$C$8,3, FALSE)</f>
        <v>2000-20000</v>
      </c>
      <c r="F568" s="18" t="s">
        <v>16</v>
      </c>
      <c r="G568" s="18" t="s">
        <v>20</v>
      </c>
      <c r="H568" s="19">
        <v>188</v>
      </c>
      <c r="I568" s="18" t="s">
        <v>12</v>
      </c>
      <c r="J568" s="20" t="s">
        <v>13</v>
      </c>
    </row>
    <row r="569" spans="1:10" ht="12.75">
      <c r="A569" s="24" t="str">
        <f>HYPERLINK("https://www.dndbeyond.com/magic-items/quaals-feather-token", "Quaals Feather Token (Fan)")</f>
        <v>Quaals Feather Token (Fan)</v>
      </c>
      <c r="B569" s="16">
        <v>250</v>
      </c>
      <c r="C569" s="21">
        <v>1000</v>
      </c>
      <c r="D569" s="18" t="str">
        <f>VLOOKUP(F569,'Price Ranges'!$A$2:$B$8,2, FALSE)</f>
        <v>501-5000</v>
      </c>
      <c r="E569" s="8" t="str">
        <f>VLOOKUP(F569,'Price Ranges'!$A$2:$C$8,3, FALSE)</f>
        <v>2000-20000</v>
      </c>
      <c r="F569" s="18" t="s">
        <v>16</v>
      </c>
      <c r="G569" s="18" t="s">
        <v>20</v>
      </c>
      <c r="H569" s="19">
        <v>188</v>
      </c>
      <c r="I569" s="18" t="s">
        <v>12</v>
      </c>
      <c r="J569" s="20" t="s">
        <v>13</v>
      </c>
    </row>
    <row r="570" spans="1:10" ht="12.75">
      <c r="A570" s="24" t="str">
        <f>HYPERLINK("https://www.dndbeyond.com/magic-items/quaals-feather-token", "Quaals Feather Token (Swan Boat)")</f>
        <v>Quaals Feather Token (Swan Boat)</v>
      </c>
      <c r="B570" s="16">
        <v>3000</v>
      </c>
      <c r="C570" s="21">
        <v>1000</v>
      </c>
      <c r="D570" s="18" t="str">
        <f>VLOOKUP(F570,'Price Ranges'!$A$2:$B$8,2, FALSE)</f>
        <v>501-5000</v>
      </c>
      <c r="E570" s="8" t="str">
        <f>VLOOKUP(F570,'Price Ranges'!$A$2:$C$8,3, FALSE)</f>
        <v>2000-20000</v>
      </c>
      <c r="F570" s="18" t="s">
        <v>16</v>
      </c>
      <c r="G570" s="18" t="s">
        <v>20</v>
      </c>
      <c r="H570" s="19">
        <v>188</v>
      </c>
      <c r="I570" s="18" t="s">
        <v>12</v>
      </c>
      <c r="J570" s="20" t="s">
        <v>13</v>
      </c>
    </row>
    <row r="571" spans="1:10" ht="12.75">
      <c r="A571" s="24" t="str">
        <f>HYPERLINK("https://www.dndbeyond.com/magic-items/quaals-feather-token", "Quaals Feather Token (Whip)")</f>
        <v>Quaals Feather Token (Whip)</v>
      </c>
      <c r="B571" s="16">
        <v>250</v>
      </c>
      <c r="C571" s="21">
        <v>1000</v>
      </c>
      <c r="D571" s="18" t="str">
        <f>VLOOKUP(F571,'Price Ranges'!$A$2:$B$8,2, FALSE)</f>
        <v>501-5000</v>
      </c>
      <c r="E571" s="8" t="str">
        <f>VLOOKUP(F571,'Price Ranges'!$A$2:$C$8,3, FALSE)</f>
        <v>2000-20000</v>
      </c>
      <c r="F571" s="18" t="s">
        <v>16</v>
      </c>
      <c r="G571" s="18" t="s">
        <v>20</v>
      </c>
      <c r="H571" s="19">
        <v>188</v>
      </c>
      <c r="I571" s="18" t="s">
        <v>12</v>
      </c>
      <c r="J571" s="20" t="s">
        <v>13</v>
      </c>
    </row>
    <row r="572" spans="1:10" ht="12.75">
      <c r="A572" s="24" t="str">
        <f>HYPERLINK("https://www.dndbeyond.com/magic-items/quiver-of-ehlonna", "Quiver Of Ehlonna")</f>
        <v>Quiver Of Ehlonna</v>
      </c>
      <c r="B572" s="16">
        <v>1000</v>
      </c>
      <c r="C572" s="21">
        <v>250</v>
      </c>
      <c r="D572" s="18" t="str">
        <f>VLOOKUP(F572,'Price Ranges'!$A$2:$B$8,2, FALSE)</f>
        <v>101-500</v>
      </c>
      <c r="E572" s="8" t="str">
        <f>VLOOKUP(F572,'Price Ranges'!$A$2:$C$8,3, FALSE)</f>
        <v>100-600</v>
      </c>
      <c r="F572" s="18" t="s">
        <v>19</v>
      </c>
      <c r="G572" s="18" t="s">
        <v>20</v>
      </c>
      <c r="H572" s="19">
        <v>189</v>
      </c>
      <c r="I572" s="18" t="s">
        <v>12</v>
      </c>
      <c r="J572" s="20" t="s">
        <v>13</v>
      </c>
    </row>
    <row r="573" spans="1:10" ht="12.75">
      <c r="A573" s="24" t="str">
        <f t="shared" ref="A573:A574" si="17">HYPERLINK("https://www.dndbeyond.com/magic-items/quori-beech-focus", "Quori Beech Focus")</f>
        <v>Quori Beech Focus</v>
      </c>
      <c r="B573" s="6"/>
      <c r="C573" s="7"/>
      <c r="D573" s="18" t="str">
        <f>VLOOKUP(F573,'Price Ranges'!$A$2:$B$8,2, FALSE)</f>
        <v>50-100</v>
      </c>
      <c r="E573" s="8" t="str">
        <f>VLOOKUP(F573,'Price Ranges'!$A$2:$C$8,3, FALSE)</f>
        <v>20-70</v>
      </c>
      <c r="F573" s="18" t="s">
        <v>35</v>
      </c>
      <c r="G573" s="18" t="s">
        <v>36</v>
      </c>
      <c r="H573" s="26"/>
      <c r="I573" s="18" t="s">
        <v>12</v>
      </c>
      <c r="J573" s="20" t="s">
        <v>15</v>
      </c>
    </row>
    <row r="574" spans="1:10" ht="12.75">
      <c r="A574" s="5" t="str">
        <f t="shared" si="17"/>
        <v>Quori Beech Focus</v>
      </c>
      <c r="B574" s="6"/>
      <c r="C574" s="7"/>
      <c r="D574" s="8" t="str">
        <f>VLOOKUP(F574,'Price Ranges'!$A$2:$B$8,2, FALSE)</f>
        <v>50-100</v>
      </c>
      <c r="E574" s="8" t="str">
        <f>VLOOKUP(F574,'Price Ranges'!$A$2:$C$8,3, FALSE)</f>
        <v>20-70</v>
      </c>
      <c r="F574" s="9" t="s">
        <v>35</v>
      </c>
      <c r="G574" s="9" t="s">
        <v>33</v>
      </c>
      <c r="H574" s="10"/>
      <c r="I574" s="9" t="s">
        <v>12</v>
      </c>
      <c r="J574" s="13" t="s">
        <v>15</v>
      </c>
    </row>
    <row r="575" spans="1:10" ht="12.75">
      <c r="A575" s="24" t="str">
        <f>HYPERLINK("https://www.dndbeyond.com/magic-items/radiant-weapon", "Radiant Weapon")</f>
        <v>Radiant Weapon</v>
      </c>
      <c r="B575" s="6"/>
      <c r="C575" s="7"/>
      <c r="D575" s="18" t="str">
        <f>VLOOKUP(F575,'Price Ranges'!$A$2:$B$8,2, FALSE)</f>
        <v>Varies</v>
      </c>
      <c r="E575" s="8" t="str">
        <f>VLOOKUP(F575,'Price Ranges'!$A$2:$C$8,3, FALSE)</f>
        <v>Varies</v>
      </c>
      <c r="F575" s="18" t="s">
        <v>24</v>
      </c>
      <c r="G575" s="18" t="s">
        <v>34</v>
      </c>
      <c r="H575" s="26"/>
      <c r="I575" s="18" t="s">
        <v>18</v>
      </c>
      <c r="J575" s="20" t="s">
        <v>15</v>
      </c>
    </row>
    <row r="576" spans="1:10" ht="12.75">
      <c r="A576" s="24" t="str">
        <f>HYPERLINK("https://www.dndbeyond.com/magic-items/rakdos-riteknife", "Rakdos Riteknife (dagger)")</f>
        <v>Rakdos Riteknife (dagger)</v>
      </c>
      <c r="B576" s="6"/>
      <c r="C576" s="22">
        <v>60000</v>
      </c>
      <c r="D576" s="18" t="str">
        <f>VLOOKUP(F576,'Price Ranges'!$A$2:$B$8,2, FALSE)</f>
        <v>50001+</v>
      </c>
      <c r="E576" s="8" t="str">
        <f>VLOOKUP(F576,'Price Ranges'!$A$2:$C$8,3, FALSE)</f>
        <v>50000-300000</v>
      </c>
      <c r="F576" s="18" t="s">
        <v>31</v>
      </c>
      <c r="G576" s="18" t="s">
        <v>69</v>
      </c>
      <c r="H576" s="23">
        <v>180</v>
      </c>
      <c r="I576" s="18" t="s">
        <v>18</v>
      </c>
      <c r="J576" s="20" t="s">
        <v>15</v>
      </c>
    </row>
    <row r="577" spans="1:10" ht="12.75">
      <c r="A577" s="24" t="str">
        <f>HYPERLINK("https://www.dndbeyond.com/magic-items/red-dragon-mask", "Red Dragon Mask")</f>
        <v>Red Dragon Mask</v>
      </c>
      <c r="B577" s="6"/>
      <c r="C577" s="7"/>
      <c r="D577" s="18" t="str">
        <f>VLOOKUP(F577,'Price Ranges'!$A$2:$B$8,2, FALSE)</f>
        <v>50001+</v>
      </c>
      <c r="E577" s="8" t="str">
        <f>VLOOKUP(F577,'Price Ranges'!$A$2:$C$8,3, FALSE)</f>
        <v>50000-300000</v>
      </c>
      <c r="F577" s="18" t="s">
        <v>31</v>
      </c>
      <c r="G577" s="18" t="s">
        <v>53</v>
      </c>
      <c r="H577" s="18"/>
      <c r="I577" s="18" t="s">
        <v>12</v>
      </c>
      <c r="J577" s="20" t="s">
        <v>15</v>
      </c>
    </row>
    <row r="578" spans="1:10" ht="12.75">
      <c r="A578" s="5" t="str">
        <f>HYPERLINK("https://www.dndbeyond.com/magic-items/reincarnation-dust", "Reincarnation Dust")</f>
        <v>Reincarnation Dust</v>
      </c>
      <c r="B578" s="6"/>
      <c r="C578" s="14">
        <v>3500</v>
      </c>
      <c r="D578" s="8" t="str">
        <f>VLOOKUP(F578,'Price Ranges'!$A$2:$B$8,2, FALSE)</f>
        <v>5001-50000</v>
      </c>
      <c r="E578" s="8" t="str">
        <f>VLOOKUP(F578,'Price Ranges'!$A$2:$C$8,3, FALSE)</f>
        <v>20000-50000</v>
      </c>
      <c r="F578" s="9" t="s">
        <v>10</v>
      </c>
      <c r="G578" s="9" t="s">
        <v>17</v>
      </c>
      <c r="H578" s="12">
        <v>268</v>
      </c>
      <c r="I578" s="9" t="s">
        <v>29</v>
      </c>
      <c r="J578" s="13" t="s">
        <v>13</v>
      </c>
    </row>
    <row r="579" spans="1:10" ht="12.75">
      <c r="A579" s="24" t="str">
        <f>HYPERLINK("https://www.dndbeyond.com/magic-items/repeating-shot-weapon", "Repeating Shot Weapon")</f>
        <v>Repeating Shot Weapon</v>
      </c>
      <c r="B579" s="6"/>
      <c r="C579" s="7"/>
      <c r="D579" s="18" t="str">
        <f>VLOOKUP(F579,'Price Ranges'!$A$2:$B$8,2, FALSE)</f>
        <v>Varies</v>
      </c>
      <c r="E579" s="8" t="str">
        <f>VLOOKUP(F579,'Price Ranges'!$A$2:$C$8,3, FALSE)</f>
        <v>Varies</v>
      </c>
      <c r="F579" s="18" t="s">
        <v>24</v>
      </c>
      <c r="G579" s="18" t="s">
        <v>34</v>
      </c>
      <c r="H579" s="18"/>
      <c r="I579" s="18" t="s">
        <v>18</v>
      </c>
      <c r="J579" s="20" t="s">
        <v>15</v>
      </c>
    </row>
    <row r="580" spans="1:10" ht="12.75">
      <c r="A580" s="24" t="str">
        <f>HYPERLINK("https://www.dndbeyond.com/magic-items/repulsion-shield", "Repulsion Shield")</f>
        <v>Repulsion Shield</v>
      </c>
      <c r="B580" s="6"/>
      <c r="C580" s="7"/>
      <c r="D580" s="18" t="str">
        <f>VLOOKUP(F580,'Price Ranges'!$A$2:$B$8,2, FALSE)</f>
        <v>Varies</v>
      </c>
      <c r="E580" s="8" t="str">
        <f>VLOOKUP(F580,'Price Ranges'!$A$2:$C$8,3, FALSE)</f>
        <v>Varies</v>
      </c>
      <c r="F580" s="18" t="s">
        <v>24</v>
      </c>
      <c r="G580" s="18" t="s">
        <v>34</v>
      </c>
      <c r="H580" s="18"/>
      <c r="I580" s="18" t="s">
        <v>21</v>
      </c>
      <c r="J580" s="20" t="s">
        <v>15</v>
      </c>
    </row>
    <row r="581" spans="1:10" ht="12.75">
      <c r="A581" s="24" t="str">
        <f>HYPERLINK("https://www.dndbeyond.com/magic-items/restorative-ointment", "Restorative Ointment")</f>
        <v>Restorative Ointment</v>
      </c>
      <c r="B581" s="6"/>
      <c r="C581" s="7"/>
      <c r="D581" s="18" t="str">
        <f>VLOOKUP(F581,'Price Ranges'!$A$2:$B$8,2, FALSE)</f>
        <v>101-500</v>
      </c>
      <c r="E581" s="8" t="str">
        <f>VLOOKUP(F581,'Price Ranges'!$A$2:$C$8,3, FALSE)</f>
        <v>100-600</v>
      </c>
      <c r="F581" s="18" t="s">
        <v>19</v>
      </c>
      <c r="G581" s="18" t="s">
        <v>32</v>
      </c>
      <c r="H581" s="18"/>
      <c r="I581" s="18" t="s">
        <v>12</v>
      </c>
      <c r="J581" s="20" t="s">
        <v>13</v>
      </c>
    </row>
    <row r="582" spans="1:10" ht="12.75">
      <c r="A582" s="24" t="str">
        <f>HYPERLINK("https://www.dndbeyond.com/magic-items/returning-weapon", "Returning Weapon")</f>
        <v>Returning Weapon</v>
      </c>
      <c r="B582" s="6"/>
      <c r="C582" s="7"/>
      <c r="D582" s="18" t="str">
        <f>VLOOKUP(F582,'Price Ranges'!$A$2:$B$8,2, FALSE)</f>
        <v>Varies</v>
      </c>
      <c r="E582" s="8" t="str">
        <f>VLOOKUP(F582,'Price Ranges'!$A$2:$C$8,3, FALSE)</f>
        <v>Varies</v>
      </c>
      <c r="F582" s="18" t="s">
        <v>24</v>
      </c>
      <c r="G582" s="18" t="s">
        <v>34</v>
      </c>
      <c r="H582" s="18"/>
      <c r="I582" s="18" t="s">
        <v>18</v>
      </c>
      <c r="J582" s="20" t="s">
        <v>13</v>
      </c>
    </row>
    <row r="583" spans="1:10" ht="12.75">
      <c r="A583" s="5" t="str">
        <f>HYPERLINK("https://www.dndbeyond.com/magic-items/revelers-concertina", "Reveler's Concertina")</f>
        <v>Reveler's Concertina</v>
      </c>
      <c r="B583" s="6"/>
      <c r="C583" s="7"/>
      <c r="D583" s="8" t="str">
        <f>VLOOKUP(F583,'Price Ranges'!$A$2:$B$8,2, FALSE)</f>
        <v>501-5000</v>
      </c>
      <c r="E583" s="8" t="str">
        <f>VLOOKUP(F583,'Price Ranges'!$A$2:$C$8,3, FALSE)</f>
        <v>2000-20000</v>
      </c>
      <c r="F583" s="12" t="s">
        <v>16</v>
      </c>
      <c r="G583" s="12" t="s">
        <v>14</v>
      </c>
      <c r="H583" s="10"/>
      <c r="I583" s="8" t="s">
        <v>12</v>
      </c>
      <c r="J583" s="13" t="s">
        <v>15</v>
      </c>
    </row>
    <row r="584" spans="1:10" ht="12.75">
      <c r="A584" s="5" t="str">
        <f>HYPERLINK("https://www.dndbeyond.com/magic-items/revenant-double-bladed-scimitar", "Revenant Double Bladed Scimitar")</f>
        <v>Revenant Double Bladed Scimitar</v>
      </c>
      <c r="B584" s="6"/>
      <c r="C584" s="7"/>
      <c r="D584" s="8" t="str">
        <f>VLOOKUP(F584,'Price Ranges'!$A$2:$B$8,2, FALSE)</f>
        <v>50-100</v>
      </c>
      <c r="E584" s="8" t="str">
        <f>VLOOKUP(F584,'Price Ranges'!$A$2:$C$8,3, FALSE)</f>
        <v>20-70</v>
      </c>
      <c r="F584" s="9" t="s">
        <v>35</v>
      </c>
      <c r="G584" s="9" t="s">
        <v>33</v>
      </c>
      <c r="H584" s="10"/>
      <c r="I584" s="9" t="s">
        <v>18</v>
      </c>
      <c r="J584" s="13" t="s">
        <v>13</v>
      </c>
    </row>
    <row r="585" spans="1:10" ht="12.75">
      <c r="A585" s="24" t="str">
        <f>HYPERLINK("https://www.dndbeyond.com/magic-items/revenant-double-bladed-scimitar", "Revenant Double-Bladed Scimitar")</f>
        <v>Revenant Double-Bladed Scimitar</v>
      </c>
      <c r="B585" s="6"/>
      <c r="C585" s="7"/>
      <c r="D585" s="18" t="str">
        <f>VLOOKUP(F585,'Price Ranges'!$A$2:$B$8,2, FALSE)</f>
        <v>50-100</v>
      </c>
      <c r="E585" s="8" t="str">
        <f>VLOOKUP(F585,'Price Ranges'!$A$2:$C$8,3, FALSE)</f>
        <v>20-70</v>
      </c>
      <c r="F585" s="18" t="s">
        <v>35</v>
      </c>
      <c r="G585" s="18" t="s">
        <v>36</v>
      </c>
      <c r="H585" s="18"/>
      <c r="I585" s="18" t="s">
        <v>18</v>
      </c>
      <c r="J585" s="20" t="s">
        <v>13</v>
      </c>
    </row>
    <row r="586" spans="1:10" ht="12.75">
      <c r="A586" s="5" t="str">
        <f>HYPERLINK("https://www.dndbeyond.com/magic-items/rhythm-makers-drum", "Rhythm-Maker's Drum")</f>
        <v>Rhythm-Maker's Drum</v>
      </c>
      <c r="B586" s="6"/>
      <c r="C586" s="7"/>
      <c r="D586" s="8" t="str">
        <f>VLOOKUP(F586,'Price Ranges'!$A$2:$B$8,2, FALSE)</f>
        <v>Varies</v>
      </c>
      <c r="E586" s="8" t="str">
        <f>VLOOKUP(F586,'Price Ranges'!$A$2:$C$8,3, FALSE)</f>
        <v>Varies</v>
      </c>
      <c r="F586" s="12" t="s">
        <v>24</v>
      </c>
      <c r="G586" s="12" t="s">
        <v>14</v>
      </c>
      <c r="H586" s="10"/>
      <c r="I586" s="8" t="s">
        <v>12</v>
      </c>
      <c r="J586" s="13" t="s">
        <v>15</v>
      </c>
    </row>
    <row r="587" spans="1:10" ht="12.75">
      <c r="A587" s="24" t="str">
        <f>HYPERLINK("https://www.dndbeyond.com/magic-items/ring-of-air-elemental-command", "Ring Of Air Elemental Command")</f>
        <v>Ring Of Air Elemental Command</v>
      </c>
      <c r="B587" s="16">
        <v>35000</v>
      </c>
      <c r="C587" s="21">
        <v>200000</v>
      </c>
      <c r="D587" s="18" t="str">
        <f>VLOOKUP(F587,'Price Ranges'!$A$2:$B$8,2, FALSE)</f>
        <v>50001+</v>
      </c>
      <c r="E587" s="8" t="str">
        <f>VLOOKUP(F587,'Price Ranges'!$A$2:$C$8,3, FALSE)</f>
        <v>50000-300000</v>
      </c>
      <c r="F587" s="18" t="s">
        <v>31</v>
      </c>
      <c r="G587" s="18" t="s">
        <v>20</v>
      </c>
      <c r="H587" s="19">
        <v>190</v>
      </c>
      <c r="I587" s="18" t="s">
        <v>41</v>
      </c>
      <c r="J587" s="20" t="s">
        <v>15</v>
      </c>
    </row>
    <row r="588" spans="1:10" ht="12.75">
      <c r="A588" s="24" t="str">
        <f>HYPERLINK("https://www.dndbeyond.com/magic-items/ring-of-animal-influence", "Ring Of Animal Influence")</f>
        <v>Ring Of Animal Influence</v>
      </c>
      <c r="B588" s="16">
        <v>4000</v>
      </c>
      <c r="C588" s="21">
        <v>1000</v>
      </c>
      <c r="D588" s="18" t="str">
        <f>VLOOKUP(F588,'Price Ranges'!$A$2:$B$8,2, FALSE)</f>
        <v>501-5000</v>
      </c>
      <c r="E588" s="8" t="str">
        <f>VLOOKUP(F588,'Price Ranges'!$A$2:$C$8,3, FALSE)</f>
        <v>2000-20000</v>
      </c>
      <c r="F588" s="18" t="s">
        <v>16</v>
      </c>
      <c r="G588" s="18" t="s">
        <v>20</v>
      </c>
      <c r="H588" s="19">
        <v>189</v>
      </c>
      <c r="I588" s="18" t="s">
        <v>41</v>
      </c>
      <c r="J588" s="20" t="s">
        <v>13</v>
      </c>
    </row>
    <row r="589" spans="1:10" ht="12.75">
      <c r="A589" s="24" t="str">
        <f>HYPERLINK("https://www.dndbeyond.com/magic-items/ring-of-djinni-summoning", "Ring Of Djinni Summoning")</f>
        <v>Ring Of Djinni Summoning</v>
      </c>
      <c r="B589" s="6"/>
      <c r="C589" s="22">
        <v>125000</v>
      </c>
      <c r="D589" s="18" t="str">
        <f>VLOOKUP(F589,'Price Ranges'!$A$2:$B$8,2, FALSE)</f>
        <v>50001+</v>
      </c>
      <c r="E589" s="8" t="str">
        <f>VLOOKUP(F589,'Price Ranges'!$A$2:$C$8,3, FALSE)</f>
        <v>50000-300000</v>
      </c>
      <c r="F589" s="18" t="s">
        <v>31</v>
      </c>
      <c r="G589" s="18" t="s">
        <v>20</v>
      </c>
      <c r="H589" s="23">
        <v>190</v>
      </c>
      <c r="I589" s="18" t="s">
        <v>41</v>
      </c>
      <c r="J589" s="20" t="s">
        <v>15</v>
      </c>
    </row>
    <row r="590" spans="1:10" ht="12.75">
      <c r="A590" s="24" t="str">
        <f>HYPERLINK("https://www.dndbeyond.com/magic-items/ring-of-earth-elemental-command", "Ring Of Earth Elemental Command")</f>
        <v>Ring Of Earth Elemental Command</v>
      </c>
      <c r="B590" s="16">
        <v>31000</v>
      </c>
      <c r="C590" s="21">
        <v>200000</v>
      </c>
      <c r="D590" s="18" t="str">
        <f>VLOOKUP(F590,'Price Ranges'!$A$2:$B$8,2, FALSE)</f>
        <v>50001+</v>
      </c>
      <c r="E590" s="8" t="str">
        <f>VLOOKUP(F590,'Price Ranges'!$A$2:$C$8,3, FALSE)</f>
        <v>50000-300000</v>
      </c>
      <c r="F590" s="18" t="s">
        <v>31</v>
      </c>
      <c r="G590" s="18" t="s">
        <v>20</v>
      </c>
      <c r="H590" s="19">
        <v>190</v>
      </c>
      <c r="I590" s="18" t="s">
        <v>41</v>
      </c>
      <c r="J590" s="20" t="s">
        <v>15</v>
      </c>
    </row>
    <row r="591" spans="1:10" ht="12.75">
      <c r="A591" s="24" t="str">
        <f>HYPERLINK("https://www.dndbeyond.com/magic-items/ring-of-elemental-command", "Ring Of Elemental Command")</f>
        <v>Ring Of Elemental Command</v>
      </c>
      <c r="B591" s="6"/>
      <c r="C591" s="21">
        <v>200000</v>
      </c>
      <c r="D591" s="18" t="str">
        <f>VLOOKUP(F591,'Price Ranges'!$A$2:$B$8,2, FALSE)</f>
        <v>50001+</v>
      </c>
      <c r="E591" s="8" t="str">
        <f>VLOOKUP(F591,'Price Ranges'!$A$2:$C$8,3, FALSE)</f>
        <v>50000-300000</v>
      </c>
      <c r="F591" s="18" t="s">
        <v>31</v>
      </c>
      <c r="G591" s="18" t="s">
        <v>20</v>
      </c>
      <c r="H591" s="18"/>
      <c r="I591" s="18" t="s">
        <v>41</v>
      </c>
      <c r="J591" s="20" t="s">
        <v>15</v>
      </c>
    </row>
    <row r="592" spans="1:10" ht="12.75">
      <c r="A592" s="24" t="str">
        <f>HYPERLINK("https://www.dndbeyond.com/magic-items/ring-of-evasion", "Ring Of Evasion")</f>
        <v>Ring Of Evasion</v>
      </c>
      <c r="B592" s="16">
        <v>5000</v>
      </c>
      <c r="C592" s="21">
        <v>4900</v>
      </c>
      <c r="D592" s="18" t="str">
        <f>VLOOKUP(F592,'Price Ranges'!$A$2:$B$8,2, FALSE)</f>
        <v>501-5000</v>
      </c>
      <c r="E592" s="8" t="str">
        <f>VLOOKUP(F592,'Price Ranges'!$A$2:$C$8,3, FALSE)</f>
        <v>2000-20000</v>
      </c>
      <c r="F592" s="18" t="s">
        <v>16</v>
      </c>
      <c r="G592" s="18" t="s">
        <v>20</v>
      </c>
      <c r="H592" s="19">
        <v>191</v>
      </c>
      <c r="I592" s="18" t="s">
        <v>41</v>
      </c>
      <c r="J592" s="20" t="s">
        <v>15</v>
      </c>
    </row>
    <row r="593" spans="1:10" ht="12.75">
      <c r="A593" s="24" t="str">
        <f>HYPERLINK("https://www.dndbeyond.com/magic-items/ring-of-feather-falling", "Ring Of Feather Falling")</f>
        <v>Ring Of Feather Falling</v>
      </c>
      <c r="B593" s="16">
        <v>2000</v>
      </c>
      <c r="C593" s="21">
        <v>2200</v>
      </c>
      <c r="D593" s="18" t="str">
        <f>VLOOKUP(F593,'Price Ranges'!$A$2:$B$8,2, FALSE)</f>
        <v>501-5000</v>
      </c>
      <c r="E593" s="8" t="str">
        <f>VLOOKUP(F593,'Price Ranges'!$A$2:$C$8,3, FALSE)</f>
        <v>2000-20000</v>
      </c>
      <c r="F593" s="18" t="s">
        <v>16</v>
      </c>
      <c r="G593" s="18" t="s">
        <v>20</v>
      </c>
      <c r="H593" s="19">
        <v>192</v>
      </c>
      <c r="I593" s="18" t="s">
        <v>41</v>
      </c>
      <c r="J593" s="20" t="s">
        <v>15</v>
      </c>
    </row>
    <row r="594" spans="1:10" ht="12.75">
      <c r="A594" s="24" t="str">
        <f>HYPERLINK("https://www.dndbeyond.com/magic-items/ring-of-fire-elemental-command", "Ring Of Fire Elemental Command")</f>
        <v>Ring Of Fire Elemental Command</v>
      </c>
      <c r="B594" s="16">
        <v>17000</v>
      </c>
      <c r="C594" s="21">
        <v>200000</v>
      </c>
      <c r="D594" s="18" t="str">
        <f>VLOOKUP(F594,'Price Ranges'!$A$2:$B$8,2, FALSE)</f>
        <v>50001+</v>
      </c>
      <c r="E594" s="8" t="str">
        <f>VLOOKUP(F594,'Price Ranges'!$A$2:$C$8,3, FALSE)</f>
        <v>50000-300000</v>
      </c>
      <c r="F594" s="18" t="s">
        <v>31</v>
      </c>
      <c r="G594" s="18" t="s">
        <v>20</v>
      </c>
      <c r="H594" s="19">
        <v>190</v>
      </c>
      <c r="I594" s="18" t="s">
        <v>41</v>
      </c>
      <c r="J594" s="20" t="s">
        <v>15</v>
      </c>
    </row>
    <row r="595" spans="1:10" ht="12.75">
      <c r="A595" s="24" t="str">
        <f>HYPERLINK("https://www.dndbeyond.com/magic-items/ring-of-free-action", "Ring Of Free Action")</f>
        <v>Ring Of Free Action</v>
      </c>
      <c r="B595" s="16">
        <v>20000</v>
      </c>
      <c r="C595" s="21">
        <v>4500</v>
      </c>
      <c r="D595" s="18" t="str">
        <f>VLOOKUP(F595,'Price Ranges'!$A$2:$B$8,2, FALSE)</f>
        <v>501-5000</v>
      </c>
      <c r="E595" s="8" t="str">
        <f>VLOOKUP(F595,'Price Ranges'!$A$2:$C$8,3, FALSE)</f>
        <v>2000-20000</v>
      </c>
      <c r="F595" s="18" t="s">
        <v>16</v>
      </c>
      <c r="G595" s="18" t="s">
        <v>20</v>
      </c>
      <c r="H595" s="19">
        <v>191</v>
      </c>
      <c r="I595" s="18" t="s">
        <v>41</v>
      </c>
      <c r="J595" s="20" t="s">
        <v>15</v>
      </c>
    </row>
    <row r="596" spans="1:10" ht="12.75">
      <c r="A596" s="24" t="str">
        <f>HYPERLINK("https://www.dndbeyond.com/magic-items/ring-of-invisibility", "Ring Of Invisibility")</f>
        <v>Ring Of Invisibility</v>
      </c>
      <c r="B596" s="16">
        <v>10000</v>
      </c>
      <c r="C596" s="21">
        <v>75000</v>
      </c>
      <c r="D596" s="18" t="str">
        <f>VLOOKUP(F596,'Price Ranges'!$A$2:$B$8,2, FALSE)</f>
        <v>50001+</v>
      </c>
      <c r="E596" s="8" t="str">
        <f>VLOOKUP(F596,'Price Ranges'!$A$2:$C$8,3, FALSE)</f>
        <v>50000-300000</v>
      </c>
      <c r="F596" s="18" t="s">
        <v>31</v>
      </c>
      <c r="G596" s="18" t="s">
        <v>20</v>
      </c>
      <c r="H596" s="19">
        <v>191</v>
      </c>
      <c r="I596" s="18" t="s">
        <v>41</v>
      </c>
      <c r="J596" s="20" t="s">
        <v>15</v>
      </c>
    </row>
    <row r="597" spans="1:10" ht="12.75">
      <c r="A597" s="24" t="str">
        <f>HYPERLINK("https://www.dndbeyond.com/magic-items/ring-of-jumping", "Ring Of Jumping")</f>
        <v>Ring Of Jumping</v>
      </c>
      <c r="B597" s="16">
        <v>2500</v>
      </c>
      <c r="C597" s="21">
        <v>250</v>
      </c>
      <c r="D597" s="18" t="str">
        <f>VLOOKUP(F597,'Price Ranges'!$A$2:$B$8,2, FALSE)</f>
        <v>101-500</v>
      </c>
      <c r="E597" s="8" t="str">
        <f>VLOOKUP(F597,'Price Ranges'!$A$2:$C$8,3, FALSE)</f>
        <v>100-600</v>
      </c>
      <c r="F597" s="18" t="s">
        <v>19</v>
      </c>
      <c r="G597" s="18" t="s">
        <v>20</v>
      </c>
      <c r="H597" s="19">
        <v>191</v>
      </c>
      <c r="I597" s="18" t="s">
        <v>41</v>
      </c>
      <c r="J597" s="20" t="s">
        <v>15</v>
      </c>
    </row>
    <row r="598" spans="1:10" ht="12.75">
      <c r="A598" s="24" t="str">
        <f>HYPERLINK("https://www.dndbeyond.com/magic-items/ring-of-mind-shielding", "Ring Of Mind Shielding")</f>
        <v>Ring Of Mind Shielding</v>
      </c>
      <c r="B598" s="16">
        <v>16000</v>
      </c>
      <c r="C598" s="21">
        <v>250</v>
      </c>
      <c r="D598" s="18" t="str">
        <f>VLOOKUP(F598,'Price Ranges'!$A$2:$B$8,2, FALSE)</f>
        <v>101-500</v>
      </c>
      <c r="E598" s="8" t="str">
        <f>VLOOKUP(F598,'Price Ranges'!$A$2:$C$8,3, FALSE)</f>
        <v>100-600</v>
      </c>
      <c r="F598" s="18" t="s">
        <v>19</v>
      </c>
      <c r="G598" s="18" t="s">
        <v>20</v>
      </c>
      <c r="H598" s="19">
        <v>191</v>
      </c>
      <c r="I598" s="18" t="s">
        <v>41</v>
      </c>
      <c r="J598" s="20" t="s">
        <v>15</v>
      </c>
    </row>
    <row r="599" spans="1:10" ht="12.75">
      <c r="A599" s="5" t="str">
        <f>HYPERLINK("https://www.dndbeyond.com/magic-items/ring-of-obscuring", "Ring of Obscuring")</f>
        <v>Ring of Obscuring</v>
      </c>
      <c r="B599" s="6"/>
      <c r="C599" s="14">
        <v>150</v>
      </c>
      <c r="D599" s="8" t="str">
        <f>VLOOKUP(F599,'Price Ranges'!$A$2:$B$8,2, FALSE)</f>
        <v>101-500</v>
      </c>
      <c r="E599" s="8" t="str">
        <f>VLOOKUP(F599,'Price Ranges'!$A$2:$C$8,3, FALSE)</f>
        <v>100-600</v>
      </c>
      <c r="F599" s="9" t="s">
        <v>19</v>
      </c>
      <c r="G599" s="9" t="s">
        <v>17</v>
      </c>
      <c r="H599" s="12">
        <v>269</v>
      </c>
      <c r="I599" s="9" t="s">
        <v>41</v>
      </c>
      <c r="J599" s="13" t="s">
        <v>15</v>
      </c>
    </row>
    <row r="600" spans="1:10" ht="12.75">
      <c r="A600" s="24" t="str">
        <f>HYPERLINK("https://www.dndbeyond.com/magic-items/ring-of-protection", "Ring Of Protection")</f>
        <v>Ring Of Protection</v>
      </c>
      <c r="B600" s="16">
        <v>3500</v>
      </c>
      <c r="C600" s="21">
        <v>3000</v>
      </c>
      <c r="D600" s="18" t="str">
        <f>VLOOKUP(F600,'Price Ranges'!$A$2:$B$8,2, FALSE)</f>
        <v>501-5000</v>
      </c>
      <c r="E600" s="8" t="str">
        <f>VLOOKUP(F600,'Price Ranges'!$A$2:$C$8,3, FALSE)</f>
        <v>2000-20000</v>
      </c>
      <c r="F600" s="18" t="s">
        <v>16</v>
      </c>
      <c r="G600" s="18" t="s">
        <v>20</v>
      </c>
      <c r="H600" s="19">
        <v>191</v>
      </c>
      <c r="I600" s="18" t="s">
        <v>41</v>
      </c>
      <c r="J600" s="20" t="s">
        <v>15</v>
      </c>
    </row>
    <row r="601" spans="1:10" ht="12.75">
      <c r="A601" s="24" t="str">
        <f>HYPERLINK("https://www.dndbeyond.com/magic-items/ring-of-regeneration", "Ring Of Regeneration")</f>
        <v>Ring Of Regeneration</v>
      </c>
      <c r="B601" s="16">
        <v>12000</v>
      </c>
      <c r="C601" s="21">
        <v>40000</v>
      </c>
      <c r="D601" s="18" t="str">
        <f>VLOOKUP(F601,'Price Ranges'!$A$2:$B$8,2, FALSE)</f>
        <v>5001-50000</v>
      </c>
      <c r="E601" s="8" t="str">
        <f>VLOOKUP(F601,'Price Ranges'!$A$2:$C$8,3, FALSE)</f>
        <v>20000-50000</v>
      </c>
      <c r="F601" s="18" t="s">
        <v>10</v>
      </c>
      <c r="G601" s="18" t="s">
        <v>20</v>
      </c>
      <c r="H601" s="19">
        <v>191</v>
      </c>
      <c r="I601" s="18" t="s">
        <v>41</v>
      </c>
      <c r="J601" s="20" t="s">
        <v>15</v>
      </c>
    </row>
    <row r="602" spans="1:10" ht="12.75">
      <c r="A602" s="24" t="str">
        <f>HYPERLINK("https://www.dndbeyond.com/magic-items/ring-of-resistance", "Ring Of Resistance")</f>
        <v>Ring Of Resistance</v>
      </c>
      <c r="B602" s="16">
        <v>6000</v>
      </c>
      <c r="C602" s="21">
        <v>3500</v>
      </c>
      <c r="D602" s="18" t="str">
        <f>VLOOKUP(F602,'Price Ranges'!$A$2:$B$8,2, FALSE)</f>
        <v>501-5000</v>
      </c>
      <c r="E602" s="8" t="str">
        <f>VLOOKUP(F602,'Price Ranges'!$A$2:$C$8,3, FALSE)</f>
        <v>2000-20000</v>
      </c>
      <c r="F602" s="18" t="s">
        <v>16</v>
      </c>
      <c r="G602" s="18" t="s">
        <v>20</v>
      </c>
      <c r="H602" s="19">
        <v>192</v>
      </c>
      <c r="I602" s="18" t="s">
        <v>41</v>
      </c>
      <c r="J602" s="20" t="s">
        <v>15</v>
      </c>
    </row>
    <row r="603" spans="1:10" ht="12.75">
      <c r="A603" s="24" t="str">
        <f>HYPERLINK("https://www.dndbeyond.com/magic-items/ring-of-shooting-stars", "Ring Of Shooting Stars")</f>
        <v>Ring Of Shooting Stars</v>
      </c>
      <c r="B603" s="16">
        <v>14000</v>
      </c>
      <c r="C603" s="21">
        <v>20000</v>
      </c>
      <c r="D603" s="18" t="str">
        <f>VLOOKUP(F603,'Price Ranges'!$A$2:$B$8,2, FALSE)</f>
        <v>5001-50000</v>
      </c>
      <c r="E603" s="8" t="str">
        <f>VLOOKUP(F603,'Price Ranges'!$A$2:$C$8,3, FALSE)</f>
        <v>20000-50000</v>
      </c>
      <c r="F603" s="18" t="s">
        <v>10</v>
      </c>
      <c r="G603" s="18" t="s">
        <v>20</v>
      </c>
      <c r="H603" s="19">
        <v>192</v>
      </c>
      <c r="I603" s="18" t="s">
        <v>41</v>
      </c>
      <c r="J603" s="20" t="s">
        <v>15</v>
      </c>
    </row>
    <row r="604" spans="1:10" ht="12.75">
      <c r="A604" s="24" t="str">
        <f>HYPERLINK("https://www.dndbeyond.com/magic-items/ring-of-spell-storing", "Ring Of Spell Storing")</f>
        <v>Ring Of Spell Storing</v>
      </c>
      <c r="B604" s="16">
        <v>24000</v>
      </c>
      <c r="C604" s="21">
        <v>3600</v>
      </c>
      <c r="D604" s="18" t="str">
        <f>VLOOKUP(F604,'Price Ranges'!$A$2:$B$8,2, FALSE)</f>
        <v>501-5000</v>
      </c>
      <c r="E604" s="8" t="str">
        <f>VLOOKUP(F604,'Price Ranges'!$A$2:$C$8,3, FALSE)</f>
        <v>2000-20000</v>
      </c>
      <c r="F604" s="18" t="s">
        <v>16</v>
      </c>
      <c r="G604" s="18" t="s">
        <v>20</v>
      </c>
      <c r="H604" s="19">
        <v>192</v>
      </c>
      <c r="I604" s="18" t="s">
        <v>41</v>
      </c>
      <c r="J604" s="20" t="s">
        <v>15</v>
      </c>
    </row>
    <row r="605" spans="1:10" ht="12.75">
      <c r="A605" s="24" t="str">
        <f>HYPERLINK("https://www.dndbeyond.com/magic-items/ring-of-spell-turning", "Ring Of Spell Turning")</f>
        <v>Ring Of Spell Turning</v>
      </c>
      <c r="B605" s="16">
        <v>30000</v>
      </c>
      <c r="C605" s="21">
        <v>66000</v>
      </c>
      <c r="D605" s="18" t="str">
        <f>VLOOKUP(F605,'Price Ranges'!$A$2:$B$8,2, FALSE)</f>
        <v>50001+</v>
      </c>
      <c r="E605" s="8" t="str">
        <f>VLOOKUP(F605,'Price Ranges'!$A$2:$C$8,3, FALSE)</f>
        <v>50000-300000</v>
      </c>
      <c r="F605" s="18" t="s">
        <v>31</v>
      </c>
      <c r="G605" s="18" t="s">
        <v>20</v>
      </c>
      <c r="H605" s="19">
        <v>1193</v>
      </c>
      <c r="I605" s="18" t="s">
        <v>41</v>
      </c>
      <c r="J605" s="20" t="s">
        <v>15</v>
      </c>
    </row>
    <row r="606" spans="1:10" ht="12.75">
      <c r="A606" s="24" t="str">
        <f>HYPERLINK("https://www.dndbeyond.com/magic-items/ring-of-swimming", "Ring Of Swimming")</f>
        <v>Ring Of Swimming</v>
      </c>
      <c r="B606" s="16">
        <v>3000</v>
      </c>
      <c r="C606" s="21">
        <v>300</v>
      </c>
      <c r="D606" s="18" t="str">
        <f>VLOOKUP(F606,'Price Ranges'!$A$2:$B$8,2, FALSE)</f>
        <v>101-500</v>
      </c>
      <c r="E606" s="8" t="str">
        <f>VLOOKUP(F606,'Price Ranges'!$A$2:$C$8,3, FALSE)</f>
        <v>100-600</v>
      </c>
      <c r="F606" s="18" t="s">
        <v>19</v>
      </c>
      <c r="G606" s="18" t="s">
        <v>20</v>
      </c>
      <c r="H606" s="19">
        <v>193</v>
      </c>
      <c r="I606" s="18" t="s">
        <v>41</v>
      </c>
      <c r="J606" s="20" t="s">
        <v>13</v>
      </c>
    </row>
    <row r="607" spans="1:10" ht="12.75">
      <c r="A607" s="24" t="str">
        <f>HYPERLINK("https://www.dndbeyond.com/magic-items/ring-of-telekinesis", "Ring Of Telekinesis")</f>
        <v>Ring Of Telekinesis</v>
      </c>
      <c r="B607" s="16">
        <v>80000</v>
      </c>
      <c r="C607" s="21">
        <v>25000</v>
      </c>
      <c r="D607" s="18" t="str">
        <f>VLOOKUP(F607,'Price Ranges'!$A$2:$B$8,2, FALSE)</f>
        <v>5001-50000</v>
      </c>
      <c r="E607" s="8" t="str">
        <f>VLOOKUP(F607,'Price Ranges'!$A$2:$C$8,3, FALSE)</f>
        <v>20000-50000</v>
      </c>
      <c r="F607" s="18" t="s">
        <v>10</v>
      </c>
      <c r="G607" s="18" t="s">
        <v>20</v>
      </c>
      <c r="H607" s="19">
        <v>193</v>
      </c>
      <c r="I607" s="18" t="s">
        <v>41</v>
      </c>
      <c r="J607" s="20" t="s">
        <v>15</v>
      </c>
    </row>
    <row r="608" spans="1:10" ht="12.75">
      <c r="A608" s="5" t="str">
        <f>HYPERLINK("https://www.dndbeyond.com/magic-items/ring-of-temporal-salvation", "Ring of Temporal Salvation")</f>
        <v>Ring of Temporal Salvation</v>
      </c>
      <c r="B608" s="6"/>
      <c r="C608" s="14">
        <v>2250</v>
      </c>
      <c r="D608" s="8" t="str">
        <f>VLOOKUP(F608,'Price Ranges'!$A$2:$B$8,2, FALSE)</f>
        <v>501-5000</v>
      </c>
      <c r="E608" s="8" t="str">
        <f>VLOOKUP(F608,'Price Ranges'!$A$2:$C$8,3, FALSE)</f>
        <v>2000-20000</v>
      </c>
      <c r="F608" s="9" t="s">
        <v>16</v>
      </c>
      <c r="G608" s="9" t="s">
        <v>17</v>
      </c>
      <c r="H608" s="12">
        <v>269</v>
      </c>
      <c r="I608" s="9" t="s">
        <v>41</v>
      </c>
      <c r="J608" s="13" t="s">
        <v>15</v>
      </c>
    </row>
    <row r="609" spans="1:10" ht="12.75">
      <c r="A609" s="24" t="str">
        <f>HYPERLINK("https://www.dndbeyond.com/magic-items/ring-of-the-ram", "Ring Of The Ram")</f>
        <v>Ring Of The Ram</v>
      </c>
      <c r="B609" s="16">
        <v>5000</v>
      </c>
      <c r="C609" s="21">
        <v>4000</v>
      </c>
      <c r="D609" s="18" t="str">
        <f>VLOOKUP(F609,'Price Ranges'!$A$2:$B$8,2, FALSE)</f>
        <v>501-5000</v>
      </c>
      <c r="E609" s="8" t="str">
        <f>VLOOKUP(F609,'Price Ranges'!$A$2:$C$8,3, FALSE)</f>
        <v>2000-20000</v>
      </c>
      <c r="F609" s="18" t="s">
        <v>16</v>
      </c>
      <c r="G609" s="18" t="s">
        <v>20</v>
      </c>
      <c r="H609" s="19">
        <v>193</v>
      </c>
      <c r="I609" s="18" t="s">
        <v>41</v>
      </c>
      <c r="J609" s="20" t="s">
        <v>15</v>
      </c>
    </row>
    <row r="610" spans="1:10" ht="12.75">
      <c r="A610" s="24" t="str">
        <f>HYPERLINK("https://www.dndbeyond.com/magic-items/ring-of-three-wishes", "Ring Of Three Wishes")</f>
        <v>Ring Of Three Wishes</v>
      </c>
      <c r="B610" s="6"/>
      <c r="C610" s="22">
        <v>97950</v>
      </c>
      <c r="D610" s="18" t="str">
        <f>VLOOKUP(F610,'Price Ranges'!$A$2:$B$8,2, FALSE)</f>
        <v>50001+</v>
      </c>
      <c r="E610" s="8" t="str">
        <f>VLOOKUP(F610,'Price Ranges'!$A$2:$C$8,3, FALSE)</f>
        <v>50000-300000</v>
      </c>
      <c r="F610" s="18" t="s">
        <v>31</v>
      </c>
      <c r="G610" s="18" t="s">
        <v>20</v>
      </c>
      <c r="H610" s="23">
        <v>193</v>
      </c>
      <c r="I610" s="18" t="s">
        <v>41</v>
      </c>
      <c r="J610" s="20" t="s">
        <v>13</v>
      </c>
    </row>
    <row r="611" spans="1:10" ht="12.75">
      <c r="A611" s="24" t="str">
        <f>HYPERLINK("https://www.dndbeyond.com/magic-items/ring-of-truth-telling", "Ring Of Truth Telling")</f>
        <v>Ring Of Truth Telling</v>
      </c>
      <c r="B611" s="6"/>
      <c r="C611" s="22">
        <v>150</v>
      </c>
      <c r="D611" s="18" t="str">
        <f>VLOOKUP(F611,'Price Ranges'!$A$2:$B$8,2, FALSE)</f>
        <v>101-500</v>
      </c>
      <c r="E611" s="8" t="str">
        <f>VLOOKUP(F611,'Price Ranges'!$A$2:$C$8,3, FALSE)</f>
        <v>100-600</v>
      </c>
      <c r="F611" s="18" t="s">
        <v>19</v>
      </c>
      <c r="G611" s="18" t="s">
        <v>39</v>
      </c>
      <c r="H611" s="23">
        <v>192</v>
      </c>
      <c r="I611" s="18" t="s">
        <v>41</v>
      </c>
      <c r="J611" s="20" t="s">
        <v>15</v>
      </c>
    </row>
    <row r="612" spans="1:10" ht="12.75">
      <c r="A612" s="24" t="str">
        <f>HYPERLINK("https://www.dndbeyond.com/magic-items/ring-of-warmth", "Ring Of Warmth")</f>
        <v>Ring Of Warmth</v>
      </c>
      <c r="B612" s="16">
        <v>1000</v>
      </c>
      <c r="C612" s="21">
        <v>480</v>
      </c>
      <c r="D612" s="18" t="str">
        <f>VLOOKUP(F612,'Price Ranges'!$A$2:$B$8,2, FALSE)</f>
        <v>101-500</v>
      </c>
      <c r="E612" s="8" t="str">
        <f>VLOOKUP(F612,'Price Ranges'!$A$2:$C$8,3, FALSE)</f>
        <v>100-600</v>
      </c>
      <c r="F612" s="18" t="s">
        <v>19</v>
      </c>
      <c r="G612" s="18" t="s">
        <v>20</v>
      </c>
      <c r="H612" s="19">
        <v>193</v>
      </c>
      <c r="I612" s="18" t="s">
        <v>41</v>
      </c>
      <c r="J612" s="20" t="s">
        <v>15</v>
      </c>
    </row>
    <row r="613" spans="1:10" ht="12.75">
      <c r="A613" s="24" t="str">
        <f>HYPERLINK("https://www.dndbeyond.com/magic-items/ring-of-water-elemental-command", "Ring Of Water Elemental Command")</f>
        <v>Ring Of Water Elemental Command</v>
      </c>
      <c r="B613" s="16">
        <v>25000</v>
      </c>
      <c r="C613" s="21">
        <v>200000</v>
      </c>
      <c r="D613" s="18" t="str">
        <f>VLOOKUP(F613,'Price Ranges'!$A$2:$B$8,2, FALSE)</f>
        <v>50001+</v>
      </c>
      <c r="E613" s="8" t="str">
        <f>VLOOKUP(F613,'Price Ranges'!$A$2:$C$8,3, FALSE)</f>
        <v>50000-300000</v>
      </c>
      <c r="F613" s="18" t="s">
        <v>31</v>
      </c>
      <c r="G613" s="18" t="s">
        <v>20</v>
      </c>
      <c r="H613" s="19">
        <v>191</v>
      </c>
      <c r="I613" s="18" t="s">
        <v>41</v>
      </c>
      <c r="J613" s="20" t="s">
        <v>15</v>
      </c>
    </row>
    <row r="614" spans="1:10" ht="12.75">
      <c r="A614" s="24" t="str">
        <f>HYPERLINK("https://www.dndbeyond.com/magic-items/ring-of-water-walking", "Ring Of Water Walking")</f>
        <v>Ring Of Water Walking</v>
      </c>
      <c r="B614" s="16">
        <v>1500</v>
      </c>
      <c r="C614" s="21">
        <v>500</v>
      </c>
      <c r="D614" s="18" t="str">
        <f>VLOOKUP(F614,'Price Ranges'!$A$2:$B$8,2, FALSE)</f>
        <v>101-500</v>
      </c>
      <c r="E614" s="8" t="str">
        <f>VLOOKUP(F614,'Price Ranges'!$A$2:$C$8,3, FALSE)</f>
        <v>100-600</v>
      </c>
      <c r="F614" s="18" t="s">
        <v>19</v>
      </c>
      <c r="G614" s="18" t="s">
        <v>20</v>
      </c>
      <c r="H614" s="19">
        <v>193</v>
      </c>
      <c r="I614" s="18" t="s">
        <v>41</v>
      </c>
      <c r="J614" s="20" t="s">
        <v>13</v>
      </c>
    </row>
    <row r="615" spans="1:10" ht="12.75">
      <c r="A615" s="24" t="str">
        <f>HYPERLINK("https://www.dndbeyond.com/magic-items/ring-of-winter", "Ring Of Winter")</f>
        <v>Ring Of Winter</v>
      </c>
      <c r="B615" s="6"/>
      <c r="C615" s="7"/>
      <c r="D615" s="18" t="str">
        <f>VLOOKUP(F615,'Price Ranges'!$A$2:$B$8,2, FALSE)</f>
        <v>Priceless</v>
      </c>
      <c r="E615" s="8" t="str">
        <f>VLOOKUP(F615,'Price Ranges'!$A$2:$C$8,3, FALSE)</f>
        <v>Priceless</v>
      </c>
      <c r="F615" s="18" t="s">
        <v>22</v>
      </c>
      <c r="G615" s="18" t="s">
        <v>28</v>
      </c>
      <c r="H615" s="18"/>
      <c r="I615" s="18" t="s">
        <v>41</v>
      </c>
      <c r="J615" s="20" t="s">
        <v>15</v>
      </c>
    </row>
    <row r="616" spans="1:10" ht="12.75">
      <c r="A616" s="24" t="str">
        <f>HYPERLINK("https://www.dndbeyond.com/magic-items/ring-of-x-ray-vision", "Ring Of X-Ray Vision")</f>
        <v>Ring Of X-Ray Vision</v>
      </c>
      <c r="B616" s="16">
        <v>6000</v>
      </c>
      <c r="C616" s="21">
        <v>3500</v>
      </c>
      <c r="D616" s="18" t="str">
        <f>VLOOKUP(F616,'Price Ranges'!$A$2:$B$8,2, FALSE)</f>
        <v>501-5000</v>
      </c>
      <c r="E616" s="8" t="str">
        <f>VLOOKUP(F616,'Price Ranges'!$A$2:$C$8,3, FALSE)</f>
        <v>2000-20000</v>
      </c>
      <c r="F616" s="18" t="s">
        <v>16</v>
      </c>
      <c r="G616" s="18" t="s">
        <v>20</v>
      </c>
      <c r="H616" s="19">
        <v>193</v>
      </c>
      <c r="I616" s="18" t="s">
        <v>41</v>
      </c>
      <c r="J616" s="20" t="s">
        <v>15</v>
      </c>
    </row>
    <row r="617" spans="1:10" ht="12.75">
      <c r="A617" s="24" t="str">
        <f t="shared" ref="A617:A618" si="18">HYPERLINK("https://www.dndbeyond.com/magic-items/rings-of-shared-suffering", "Rings Of Shared Suffering")</f>
        <v>Rings Of Shared Suffering</v>
      </c>
      <c r="B617" s="6"/>
      <c r="C617" s="7"/>
      <c r="D617" s="18" t="str">
        <f>VLOOKUP(F617,'Price Ranges'!$A$2:$B$8,2, FALSE)</f>
        <v>101-500</v>
      </c>
      <c r="E617" s="8" t="str">
        <f>VLOOKUP(F617,'Price Ranges'!$A$2:$C$8,3, FALSE)</f>
        <v>100-600</v>
      </c>
      <c r="F617" s="18" t="s">
        <v>19</v>
      </c>
      <c r="G617" s="18" t="s">
        <v>36</v>
      </c>
      <c r="H617" s="18"/>
      <c r="I617" s="18" t="s">
        <v>41</v>
      </c>
      <c r="J617" s="20" t="s">
        <v>13</v>
      </c>
    </row>
    <row r="618" spans="1:10" ht="12.75">
      <c r="A618" s="5" t="str">
        <f t="shared" si="18"/>
        <v>Rings Of Shared Suffering</v>
      </c>
      <c r="B618" s="6"/>
      <c r="C618" s="7"/>
      <c r="D618" s="8" t="str">
        <f>VLOOKUP(F618,'Price Ranges'!$A$2:$B$8,2, FALSE)</f>
        <v>101-500</v>
      </c>
      <c r="E618" s="8" t="str">
        <f>VLOOKUP(F618,'Price Ranges'!$A$2:$C$8,3, FALSE)</f>
        <v>100-600</v>
      </c>
      <c r="F618" s="9" t="s">
        <v>19</v>
      </c>
      <c r="G618" s="9" t="s">
        <v>33</v>
      </c>
      <c r="H618" s="8"/>
      <c r="I618" s="9" t="s">
        <v>42</v>
      </c>
      <c r="J618" s="13" t="s">
        <v>13</v>
      </c>
    </row>
    <row r="619" spans="1:10" ht="12.75">
      <c r="A619" s="24" t="str">
        <f t="shared" ref="A619:A620" si="19">HYPERLINK("https://www.dndbeyond.com/magic-items/risian-pine-focus", "Risian Pine Focus")</f>
        <v>Risian Pine Focus</v>
      </c>
      <c r="B619" s="6"/>
      <c r="C619" s="7"/>
      <c r="D619" s="18" t="str">
        <f>VLOOKUP(F619,'Price Ranges'!$A$2:$B$8,2, FALSE)</f>
        <v>50-100</v>
      </c>
      <c r="E619" s="8" t="str">
        <f>VLOOKUP(F619,'Price Ranges'!$A$2:$C$8,3, FALSE)</f>
        <v>20-70</v>
      </c>
      <c r="F619" s="18" t="s">
        <v>35</v>
      </c>
      <c r="G619" s="18" t="s">
        <v>36</v>
      </c>
      <c r="H619" s="18"/>
      <c r="I619" s="18" t="s">
        <v>12</v>
      </c>
      <c r="J619" s="20" t="s">
        <v>15</v>
      </c>
    </row>
    <row r="620" spans="1:10" ht="12.75">
      <c r="A620" s="5" t="str">
        <f t="shared" si="19"/>
        <v>Risian Pine Focus</v>
      </c>
      <c r="B620" s="6"/>
      <c r="C620" s="7"/>
      <c r="D620" s="8" t="str">
        <f>VLOOKUP(F620,'Price Ranges'!$A$2:$B$8,2, FALSE)</f>
        <v>50-100</v>
      </c>
      <c r="E620" s="8" t="str">
        <f>VLOOKUP(F620,'Price Ranges'!$A$2:$C$8,3, FALSE)</f>
        <v>20-70</v>
      </c>
      <c r="F620" s="9" t="s">
        <v>35</v>
      </c>
      <c r="G620" s="9" t="s">
        <v>33</v>
      </c>
      <c r="H620" s="10"/>
      <c r="I620" s="9" t="s">
        <v>12</v>
      </c>
      <c r="J620" s="13" t="s">
        <v>15</v>
      </c>
    </row>
    <row r="621" spans="1:10" ht="12.75">
      <c r="A621" s="24" t="str">
        <f>HYPERLINK("https://www.dndbeyond.com/magic-items/robe-of-eyes", "Robe Of Eyes")</f>
        <v>Robe Of Eyes</v>
      </c>
      <c r="B621" s="16">
        <v>30000</v>
      </c>
      <c r="C621" s="21">
        <v>5000</v>
      </c>
      <c r="D621" s="18" t="str">
        <f>VLOOKUP(F621,'Price Ranges'!$A$2:$B$8,2, FALSE)</f>
        <v>501-5000</v>
      </c>
      <c r="E621" s="8" t="str">
        <f>VLOOKUP(F621,'Price Ranges'!$A$2:$C$8,3, FALSE)</f>
        <v>2000-20000</v>
      </c>
      <c r="F621" s="18" t="s">
        <v>16</v>
      </c>
      <c r="G621" s="18" t="s">
        <v>20</v>
      </c>
      <c r="H621" s="19">
        <v>193</v>
      </c>
      <c r="I621" s="18" t="s">
        <v>64</v>
      </c>
      <c r="J621" s="20" t="s">
        <v>15</v>
      </c>
    </row>
    <row r="622" spans="1:10" ht="12.75">
      <c r="A622" s="24" t="str">
        <f>HYPERLINK("https://www.dndbeyond.com/magic-items/robe-of-scintillating-colors", "Robe Of Scintillating Colors")</f>
        <v>Robe Of Scintillating Colors</v>
      </c>
      <c r="B622" s="16">
        <v>6000</v>
      </c>
      <c r="C622" s="21">
        <v>27000</v>
      </c>
      <c r="D622" s="18" t="str">
        <f>VLOOKUP(F622,'Price Ranges'!$A$2:$B$8,2, FALSE)</f>
        <v>5001-50000</v>
      </c>
      <c r="E622" s="8" t="str">
        <f>VLOOKUP(F622,'Price Ranges'!$A$2:$C$8,3, FALSE)</f>
        <v>20000-50000</v>
      </c>
      <c r="F622" s="18" t="s">
        <v>10</v>
      </c>
      <c r="G622" s="18" t="s">
        <v>20</v>
      </c>
      <c r="H622" s="19">
        <v>194</v>
      </c>
      <c r="I622" s="18" t="s">
        <v>64</v>
      </c>
      <c r="J622" s="20" t="s">
        <v>15</v>
      </c>
    </row>
    <row r="623" spans="1:10" ht="12.75">
      <c r="A623" s="24" t="str">
        <f>HYPERLINK("https://www.dndbeyond.com/magic-items/robe-of-serpents", "Robe Of Serpents")</f>
        <v>Robe Of Serpents</v>
      </c>
      <c r="B623" s="6"/>
      <c r="C623" s="22">
        <v>375</v>
      </c>
      <c r="D623" s="18" t="str">
        <f>VLOOKUP(F623,'Price Ranges'!$A$2:$B$8,2, FALSE)</f>
        <v>101-500</v>
      </c>
      <c r="E623" s="8" t="str">
        <f>VLOOKUP(F623,'Price Ranges'!$A$2:$C$8,3, FALSE)</f>
        <v>100-600</v>
      </c>
      <c r="F623" s="18" t="s">
        <v>19</v>
      </c>
      <c r="G623" s="18" t="s">
        <v>43</v>
      </c>
      <c r="H623" s="23">
        <v>236</v>
      </c>
      <c r="I623" s="18" t="s">
        <v>64</v>
      </c>
      <c r="J623" s="20" t="s">
        <v>15</v>
      </c>
    </row>
    <row r="624" spans="1:10" ht="12.75">
      <c r="A624" s="24" t="str">
        <f>HYPERLINK("https://www.dndbeyond.com/magic-items/robe-of-stars", "Robe Of Stars")</f>
        <v>Robe Of Stars</v>
      </c>
      <c r="B624" s="16">
        <v>60000</v>
      </c>
      <c r="C624" s="21">
        <v>45000</v>
      </c>
      <c r="D624" s="18" t="str">
        <f>VLOOKUP(F624,'Price Ranges'!$A$2:$B$8,2, FALSE)</f>
        <v>5001-50000</v>
      </c>
      <c r="E624" s="8" t="str">
        <f>VLOOKUP(F624,'Price Ranges'!$A$2:$C$8,3, FALSE)</f>
        <v>20000-50000</v>
      </c>
      <c r="F624" s="18" t="s">
        <v>10</v>
      </c>
      <c r="G624" s="18" t="s">
        <v>20</v>
      </c>
      <c r="H624" s="19">
        <v>194</v>
      </c>
      <c r="I624" s="18" t="s">
        <v>64</v>
      </c>
      <c r="J624" s="20" t="s">
        <v>15</v>
      </c>
    </row>
    <row r="625" spans="1:10" ht="12.75">
      <c r="A625" s="24" t="str">
        <f>HYPERLINK("https://www.dndbeyond.com/magic-items/robe-of-summer", "Robe Of Summer")</f>
        <v>Robe Of Summer</v>
      </c>
      <c r="B625" s="6"/>
      <c r="C625" s="22">
        <v>2900</v>
      </c>
      <c r="D625" s="18" t="str">
        <f>VLOOKUP(F625,'Price Ranges'!$A$2:$B$8,2, FALSE)</f>
        <v>501-5000</v>
      </c>
      <c r="E625" s="8" t="str">
        <f>VLOOKUP(F625,'Price Ranges'!$A$2:$C$8,3, FALSE)</f>
        <v>2000-20000</v>
      </c>
      <c r="F625" s="18" t="s">
        <v>16</v>
      </c>
      <c r="G625" s="18" t="s">
        <v>27</v>
      </c>
      <c r="H625" s="23">
        <v>229</v>
      </c>
      <c r="I625" s="18" t="s">
        <v>64</v>
      </c>
      <c r="J625" s="20" t="s">
        <v>15</v>
      </c>
    </row>
    <row r="626" spans="1:10" ht="12.75">
      <c r="A626" s="24" t="str">
        <f>HYPERLINK("https://www.dndbeyond.com/magic-items/robe-of-the-archmagi", "Robe Of The Archmagi")</f>
        <v>Robe Of The Archmagi</v>
      </c>
      <c r="B626" s="16">
        <v>34000</v>
      </c>
      <c r="C626" s="21">
        <v>75000</v>
      </c>
      <c r="D626" s="18" t="str">
        <f>VLOOKUP(F626,'Price Ranges'!$A$2:$B$8,2, FALSE)</f>
        <v>50001+</v>
      </c>
      <c r="E626" s="8" t="str">
        <f>VLOOKUP(F626,'Price Ranges'!$A$2:$C$8,3, FALSE)</f>
        <v>50000-300000</v>
      </c>
      <c r="F626" s="18" t="s">
        <v>31</v>
      </c>
      <c r="G626" s="18" t="s">
        <v>20</v>
      </c>
      <c r="H626" s="19">
        <v>194</v>
      </c>
      <c r="I626" s="18" t="s">
        <v>64</v>
      </c>
      <c r="J626" s="20" t="s">
        <v>15</v>
      </c>
    </row>
    <row r="627" spans="1:10" ht="12.75">
      <c r="A627" s="24" t="str">
        <f>HYPERLINK("https://www.dndbeyond.com/magic-items/robe-of-useful-items", "Robe Of Useful Items")</f>
        <v>Robe Of Useful Items</v>
      </c>
      <c r="B627" s="6" t="s">
        <v>73</v>
      </c>
      <c r="C627" s="21">
        <v>400</v>
      </c>
      <c r="D627" s="18" t="str">
        <f>VLOOKUP(F627,'Price Ranges'!$A$2:$B$8,2, FALSE)</f>
        <v>101-500</v>
      </c>
      <c r="E627" s="8" t="str">
        <f>VLOOKUP(F627,'Price Ranges'!$A$2:$C$8,3, FALSE)</f>
        <v>100-600</v>
      </c>
      <c r="F627" s="18" t="s">
        <v>19</v>
      </c>
      <c r="G627" s="18" t="s">
        <v>20</v>
      </c>
      <c r="H627" s="19">
        <v>195</v>
      </c>
      <c r="I627" s="18" t="s">
        <v>64</v>
      </c>
      <c r="J627" s="20" t="s">
        <v>13</v>
      </c>
    </row>
    <row r="628" spans="1:10" ht="12.75">
      <c r="A628" s="24" t="str">
        <f>HYPERLINK("https://www.dndbeyond.com/magic-items/rod-of-absorption", "Rod Of Absorption")</f>
        <v>Rod Of Absorption</v>
      </c>
      <c r="B628" s="16">
        <v>50000</v>
      </c>
      <c r="C628" s="21">
        <v>48000</v>
      </c>
      <c r="D628" s="18" t="str">
        <f>VLOOKUP(F628,'Price Ranges'!$A$2:$B$8,2, FALSE)</f>
        <v>5001-50000</v>
      </c>
      <c r="E628" s="8" t="str">
        <f>VLOOKUP(F628,'Price Ranges'!$A$2:$C$8,3, FALSE)</f>
        <v>20000-50000</v>
      </c>
      <c r="F628" s="18" t="s">
        <v>10</v>
      </c>
      <c r="G628" s="18" t="s">
        <v>20</v>
      </c>
      <c r="H628" s="19">
        <v>195</v>
      </c>
      <c r="I628" s="18" t="s">
        <v>51</v>
      </c>
      <c r="J628" s="20" t="s">
        <v>15</v>
      </c>
    </row>
    <row r="629" spans="1:10" ht="12.75">
      <c r="A629" s="24" t="str">
        <f>HYPERLINK("https://www.dndbeyond.com/magic-items/rod-of-alertness", "Rod Of Alertness")</f>
        <v>Rod Of Alertness</v>
      </c>
      <c r="B629" s="16">
        <v>25000</v>
      </c>
      <c r="C629" s="21">
        <v>11000</v>
      </c>
      <c r="D629" s="18" t="str">
        <f>VLOOKUP(F629,'Price Ranges'!$A$2:$B$8,2, FALSE)</f>
        <v>5001-50000</v>
      </c>
      <c r="E629" s="8" t="str">
        <f>VLOOKUP(F629,'Price Ranges'!$A$2:$C$8,3, FALSE)</f>
        <v>20000-50000</v>
      </c>
      <c r="F629" s="18" t="s">
        <v>10</v>
      </c>
      <c r="G629" s="18" t="s">
        <v>20</v>
      </c>
      <c r="H629" s="19">
        <v>195</v>
      </c>
      <c r="I629" s="18" t="s">
        <v>51</v>
      </c>
      <c r="J629" s="20" t="s">
        <v>15</v>
      </c>
    </row>
    <row r="630" spans="1:10" ht="12.75">
      <c r="A630" s="24" t="str">
        <f>HYPERLINK("https://www.dndbeyond.com/magic-items/rod-of-lordly-might", "Rod Of Lordly Might")</f>
        <v>Rod Of Lordly Might</v>
      </c>
      <c r="B630" s="16">
        <v>28000</v>
      </c>
      <c r="C630" s="21">
        <v>70000</v>
      </c>
      <c r="D630" s="18" t="str">
        <f>VLOOKUP(F630,'Price Ranges'!$A$2:$B$8,2, FALSE)</f>
        <v>50001+</v>
      </c>
      <c r="E630" s="8" t="str">
        <f>VLOOKUP(F630,'Price Ranges'!$A$2:$C$8,3, FALSE)</f>
        <v>50000-300000</v>
      </c>
      <c r="F630" s="18" t="s">
        <v>31</v>
      </c>
      <c r="G630" s="18" t="s">
        <v>20</v>
      </c>
      <c r="H630" s="19">
        <v>195</v>
      </c>
      <c r="I630" s="18" t="s">
        <v>51</v>
      </c>
      <c r="J630" s="20" t="s">
        <v>15</v>
      </c>
    </row>
    <row r="631" spans="1:10" ht="12.75">
      <c r="A631" s="24" t="str">
        <f>HYPERLINK("https://www.dndbeyond.com/magic-items/rod-of-resurrection", "Rod Of Resurrection")</f>
        <v>Rod Of Resurrection</v>
      </c>
      <c r="B631" s="6"/>
      <c r="C631" s="22">
        <v>125000</v>
      </c>
      <c r="D631" s="18" t="str">
        <f>VLOOKUP(F631,'Price Ranges'!$A$2:$B$8,2, FALSE)</f>
        <v>50001+</v>
      </c>
      <c r="E631" s="8" t="str">
        <f>VLOOKUP(F631,'Price Ranges'!$A$2:$C$8,3, FALSE)</f>
        <v>50000-300000</v>
      </c>
      <c r="F631" s="18" t="s">
        <v>31</v>
      </c>
      <c r="G631" s="18" t="s">
        <v>20</v>
      </c>
      <c r="H631" s="23">
        <v>197</v>
      </c>
      <c r="I631" s="18" t="s">
        <v>51</v>
      </c>
      <c r="J631" s="20" t="s">
        <v>15</v>
      </c>
    </row>
    <row r="632" spans="1:10" ht="12.75">
      <c r="A632" s="5" t="str">
        <f>HYPERLINK("https://www.dndbeyond.com/magic-items/rod-of-retribution", "Rod of Retribution")</f>
        <v>Rod of Retribution</v>
      </c>
      <c r="B632" s="6"/>
      <c r="C632" s="14">
        <v>250</v>
      </c>
      <c r="D632" s="8" t="str">
        <f>VLOOKUP(F632,'Price Ranges'!$A$2:$B$8,2, FALSE)</f>
        <v>101-500</v>
      </c>
      <c r="E632" s="8" t="str">
        <f>VLOOKUP(F632,'Price Ranges'!$A$2:$C$8,3, FALSE)</f>
        <v>100-600</v>
      </c>
      <c r="F632" s="9" t="s">
        <v>19</v>
      </c>
      <c r="G632" s="9" t="s">
        <v>17</v>
      </c>
      <c r="H632" s="12">
        <v>269</v>
      </c>
      <c r="I632" s="9" t="s">
        <v>51</v>
      </c>
      <c r="J632" s="13" t="s">
        <v>15</v>
      </c>
    </row>
    <row r="633" spans="1:10" ht="12.75">
      <c r="A633" s="24" t="str">
        <f>HYPERLINK("https://www.dndbeyond.com/magic-items/rod-of-rulership", "Rod Of Rulership")</f>
        <v>Rod Of Rulership</v>
      </c>
      <c r="B633" s="16">
        <v>16000</v>
      </c>
      <c r="C633" s="21">
        <v>3600</v>
      </c>
      <c r="D633" s="18" t="str">
        <f>VLOOKUP(F633,'Price Ranges'!$A$2:$B$8,2, FALSE)</f>
        <v>501-5000</v>
      </c>
      <c r="E633" s="8" t="str">
        <f>VLOOKUP(F633,'Price Ranges'!$A$2:$C$8,3, FALSE)</f>
        <v>2000-20000</v>
      </c>
      <c r="F633" s="18" t="s">
        <v>16</v>
      </c>
      <c r="G633" s="18" t="s">
        <v>20</v>
      </c>
      <c r="H633" s="19">
        <v>197</v>
      </c>
      <c r="I633" s="18" t="s">
        <v>51</v>
      </c>
      <c r="J633" s="20" t="s">
        <v>15</v>
      </c>
    </row>
    <row r="634" spans="1:10" ht="12.75">
      <c r="A634" s="24" t="str">
        <f>HYPERLINK("https://www.dndbeyond.com/magic-items/rod-of-security", "Rod Of Security")</f>
        <v>Rod Of Security</v>
      </c>
      <c r="B634" s="16">
        <v>90000</v>
      </c>
      <c r="C634" s="21">
        <v>45000</v>
      </c>
      <c r="D634" s="18" t="str">
        <f>VLOOKUP(F634,'Price Ranges'!$A$2:$B$8,2, FALSE)</f>
        <v>5001-50000</v>
      </c>
      <c r="E634" s="8" t="str">
        <f>VLOOKUP(F634,'Price Ranges'!$A$2:$C$8,3, FALSE)</f>
        <v>20000-50000</v>
      </c>
      <c r="F634" s="18" t="s">
        <v>10</v>
      </c>
      <c r="G634" s="18" t="s">
        <v>20</v>
      </c>
      <c r="H634" s="19">
        <v>197</v>
      </c>
      <c r="I634" s="18" t="s">
        <v>51</v>
      </c>
      <c r="J634" s="20" t="s">
        <v>13</v>
      </c>
    </row>
    <row r="635" spans="1:10" ht="12.75">
      <c r="A635" s="24" t="str">
        <f>HYPERLINK("https://www.dndbeyond.com/magic-items/rod-of-the-pact-keeper", "Rod Of The Pact Keeper +1")</f>
        <v>Rod Of The Pact Keeper +1</v>
      </c>
      <c r="B635" s="16">
        <v>12000</v>
      </c>
      <c r="C635" s="21">
        <v>400</v>
      </c>
      <c r="D635" s="18" t="str">
        <f>VLOOKUP(F635,'Price Ranges'!$A$2:$B$8,2, FALSE)</f>
        <v>101-500</v>
      </c>
      <c r="E635" s="8" t="str">
        <f>VLOOKUP(F635,'Price Ranges'!$A$2:$C$8,3, FALSE)</f>
        <v>100-600</v>
      </c>
      <c r="F635" s="18" t="s">
        <v>19</v>
      </c>
      <c r="G635" s="18" t="s">
        <v>20</v>
      </c>
      <c r="H635" s="19">
        <v>197</v>
      </c>
      <c r="I635" s="18" t="s">
        <v>51</v>
      </c>
      <c r="J635" s="20" t="s">
        <v>15</v>
      </c>
    </row>
    <row r="636" spans="1:10" ht="12.75">
      <c r="A636" s="24" t="str">
        <f>HYPERLINK("https://www.dndbeyond.com/magic-items/rod-of-the-pact-keeper", "Rod Of The Pact Keeper +2")</f>
        <v>Rod Of The Pact Keeper +2</v>
      </c>
      <c r="B636" s="16">
        <v>16000</v>
      </c>
      <c r="C636" s="21">
        <v>4000</v>
      </c>
      <c r="D636" s="18" t="str">
        <f>VLOOKUP(F636,'Price Ranges'!$A$2:$B$8,2, FALSE)</f>
        <v>501-5000</v>
      </c>
      <c r="E636" s="8" t="str">
        <f>VLOOKUP(F636,'Price Ranges'!$A$2:$C$8,3, FALSE)</f>
        <v>2000-20000</v>
      </c>
      <c r="F636" s="18" t="s">
        <v>16</v>
      </c>
      <c r="G636" s="18" t="s">
        <v>20</v>
      </c>
      <c r="H636" s="19">
        <v>197</v>
      </c>
      <c r="I636" s="18" t="s">
        <v>51</v>
      </c>
      <c r="J636" s="20" t="s">
        <v>15</v>
      </c>
    </row>
    <row r="637" spans="1:10" ht="12.75">
      <c r="A637" s="24" t="str">
        <f>HYPERLINK("https://www.dndbeyond.com/magic-items/rod-of-the-pact-keeper", "Rod Of The Pact Keeper +3")</f>
        <v>Rod Of The Pact Keeper +3</v>
      </c>
      <c r="B637" s="16">
        <v>28000</v>
      </c>
      <c r="C637" s="21">
        <v>14000</v>
      </c>
      <c r="D637" s="18" t="str">
        <f>VLOOKUP(F637,'Price Ranges'!$A$2:$B$8,2, FALSE)</f>
        <v>5001-50000</v>
      </c>
      <c r="E637" s="8" t="str">
        <f>VLOOKUP(F637,'Price Ranges'!$A$2:$C$8,3, FALSE)</f>
        <v>20000-50000</v>
      </c>
      <c r="F637" s="18" t="s">
        <v>10</v>
      </c>
      <c r="G637" s="18" t="s">
        <v>20</v>
      </c>
      <c r="H637" s="19">
        <v>197</v>
      </c>
      <c r="I637" s="18" t="s">
        <v>51</v>
      </c>
      <c r="J637" s="20" t="s">
        <v>15</v>
      </c>
    </row>
    <row r="638" spans="1:10" ht="12.75">
      <c r="A638" s="24" t="str">
        <f>HYPERLINK("https://www.dndbeyond.com/magic-items/rod-of-the-vonindod", "Rod Of The Vonindod")</f>
        <v>Rod Of The Vonindod</v>
      </c>
      <c r="B638" s="6"/>
      <c r="C638" s="22">
        <v>3400</v>
      </c>
      <c r="D638" s="18" t="str">
        <f>VLOOKUP(F638,'Price Ranges'!$A$2:$B$8,2, FALSE)</f>
        <v>501-5000</v>
      </c>
      <c r="E638" s="8" t="str">
        <f>VLOOKUP(F638,'Price Ranges'!$A$2:$C$8,3, FALSE)</f>
        <v>2000-20000</v>
      </c>
      <c r="F638" s="18" t="s">
        <v>16</v>
      </c>
      <c r="G638" s="18" t="s">
        <v>43</v>
      </c>
      <c r="H638" s="23">
        <v>236</v>
      </c>
      <c r="I638" s="18" t="s">
        <v>51</v>
      </c>
      <c r="J638" s="20" t="s">
        <v>15</v>
      </c>
    </row>
    <row r="639" spans="1:10" ht="12.75">
      <c r="A639" s="24" t="str">
        <f>HYPERLINK("https://www.dndbeyond.com/magic-items/rope-of-climbing", "Rope Of Climbing")</f>
        <v>Rope Of Climbing</v>
      </c>
      <c r="B639" s="16">
        <v>2000</v>
      </c>
      <c r="C639" s="21">
        <v>350</v>
      </c>
      <c r="D639" s="18" t="str">
        <f>VLOOKUP(F639,'Price Ranges'!$A$2:$B$8,2, FALSE)</f>
        <v>101-500</v>
      </c>
      <c r="E639" s="8" t="str">
        <f>VLOOKUP(F639,'Price Ranges'!$A$2:$C$8,3, FALSE)</f>
        <v>100-600</v>
      </c>
      <c r="F639" s="18" t="s">
        <v>19</v>
      </c>
      <c r="G639" s="18" t="s">
        <v>20</v>
      </c>
      <c r="H639" s="19">
        <v>197</v>
      </c>
      <c r="I639" s="18" t="s">
        <v>12</v>
      </c>
      <c r="J639" s="20" t="s">
        <v>13</v>
      </c>
    </row>
    <row r="640" spans="1:10" ht="12.75">
      <c r="A640" s="24" t="str">
        <f>HYPERLINK("https://www.dndbeyond.com/magic-items/rope-of-entanglement", "Rope Of Entanglement")</f>
        <v>Rope Of Entanglement</v>
      </c>
      <c r="B640" s="16">
        <v>4000</v>
      </c>
      <c r="C640" s="21">
        <v>1000</v>
      </c>
      <c r="D640" s="18" t="str">
        <f>VLOOKUP(F640,'Price Ranges'!$A$2:$B$8,2, FALSE)</f>
        <v>501-5000</v>
      </c>
      <c r="E640" s="8" t="str">
        <f>VLOOKUP(F640,'Price Ranges'!$A$2:$C$8,3, FALSE)</f>
        <v>2000-20000</v>
      </c>
      <c r="F640" s="18" t="s">
        <v>16</v>
      </c>
      <c r="G640" s="18" t="s">
        <v>20</v>
      </c>
      <c r="H640" s="19">
        <v>197</v>
      </c>
      <c r="I640" s="18" t="s">
        <v>12</v>
      </c>
      <c r="J640" s="20" t="s">
        <v>13</v>
      </c>
    </row>
    <row r="641" spans="1:10" ht="12.75">
      <c r="A641" s="24" t="str">
        <f>HYPERLINK("https://www.dndbeyond.com/magic-items/rope-of-mending", "Rope Of Mending")</f>
        <v>Rope Of Mending</v>
      </c>
      <c r="B641" s="6"/>
      <c r="C641" s="22">
        <v>50</v>
      </c>
      <c r="D641" s="18" t="str">
        <f>VLOOKUP(F641,'Price Ranges'!$A$2:$B$8,2, FALSE)</f>
        <v>50-100</v>
      </c>
      <c r="E641" s="8" t="str">
        <f>VLOOKUP(F641,'Price Ranges'!$A$2:$C$8,3, FALSE)</f>
        <v>20-70</v>
      </c>
      <c r="F641" s="18" t="s">
        <v>35</v>
      </c>
      <c r="G641" s="18" t="s">
        <v>37</v>
      </c>
      <c r="H641" s="19">
        <v>138</v>
      </c>
      <c r="I641" s="18" t="s">
        <v>12</v>
      </c>
      <c r="J641" s="20" t="s">
        <v>13</v>
      </c>
    </row>
    <row r="642" spans="1:10" ht="12.75">
      <c r="A642" s="24" t="str">
        <f>HYPERLINK("https://www.dndbeyond.com/magic-items/rotor-of-return", "Rotor Of Return")</f>
        <v>Rotor Of Return</v>
      </c>
      <c r="B642" s="6"/>
      <c r="C642" s="14">
        <v>2500</v>
      </c>
      <c r="D642" s="18" t="str">
        <f>VLOOKUP(F642,'Price Ranges'!$A$2:$B$8,2, FALSE)</f>
        <v>5001-50000</v>
      </c>
      <c r="E642" s="8" t="str">
        <f>VLOOKUP(F642,'Price Ranges'!$A$2:$C$8,3, FALSE)</f>
        <v>20000-50000</v>
      </c>
      <c r="F642" s="18" t="s">
        <v>10</v>
      </c>
      <c r="G642" s="18" t="s">
        <v>60</v>
      </c>
      <c r="H642" s="18"/>
      <c r="I642" s="18" t="s">
        <v>12</v>
      </c>
      <c r="J642" s="20" t="s">
        <v>15</v>
      </c>
    </row>
    <row r="643" spans="1:10" ht="12.75">
      <c r="A643" s="24" t="str">
        <f>HYPERLINK("https://www.dndbeyond.com/magic-items/ruby-of-the-war-mage", "Ruby Of The War Mage")</f>
        <v>Ruby Of The War Mage</v>
      </c>
      <c r="B643" s="6"/>
      <c r="C643" s="22">
        <v>100</v>
      </c>
      <c r="D643" s="18" t="str">
        <f>VLOOKUP(F643,'Price Ranges'!$A$2:$B$8,2, FALSE)</f>
        <v>50-100</v>
      </c>
      <c r="E643" s="8" t="str">
        <f>VLOOKUP(F643,'Price Ranges'!$A$2:$C$8,3, FALSE)</f>
        <v>20-70</v>
      </c>
      <c r="F643" s="18" t="s">
        <v>35</v>
      </c>
      <c r="G643" s="18" t="s">
        <v>37</v>
      </c>
      <c r="H643" s="19">
        <v>138</v>
      </c>
      <c r="I643" s="18" t="s">
        <v>12</v>
      </c>
      <c r="J643" s="20" t="s">
        <v>15</v>
      </c>
    </row>
    <row r="644" spans="1:10" ht="12.75">
      <c r="A644" s="5" t="str">
        <f>HYPERLINK("https://www.dndbeyond.com/magic-items/ruins-wake", "Ruin's Wake")</f>
        <v>Ruin's Wake</v>
      </c>
      <c r="B644" s="6"/>
      <c r="C644" s="7"/>
      <c r="D644" s="8" t="str">
        <f>VLOOKUP(F644,'Price Ranges'!$A$2:$B$8,2, FALSE)</f>
        <v>Priceless</v>
      </c>
      <c r="E644" s="8" t="str">
        <f>VLOOKUP(F644,'Price Ranges'!$A$2:$C$8,3, FALSE)</f>
        <v>Priceless</v>
      </c>
      <c r="F644" s="9" t="s">
        <v>22</v>
      </c>
      <c r="G644" s="9" t="s">
        <v>17</v>
      </c>
      <c r="H644" s="12">
        <v>277</v>
      </c>
      <c r="I644" s="9" t="s">
        <v>18</v>
      </c>
      <c r="J644" s="13" t="s">
        <v>15</v>
      </c>
    </row>
    <row r="645" spans="1:10" ht="12.75">
      <c r="A645" s="24" t="str">
        <f>HYPERLINK("https://www.dndbeyond.com/magic-items/ruinstone", "Ruinstone")</f>
        <v>Ruinstone</v>
      </c>
      <c r="B645" s="6"/>
      <c r="C645" s="7"/>
      <c r="D645" s="18" t="str">
        <f>VLOOKUP(F645,'Price Ranges'!$A$2:$B$8,2, FALSE)</f>
        <v>Priceless</v>
      </c>
      <c r="E645" s="8" t="str">
        <f>VLOOKUP(F645,'Price Ranges'!$A$2:$C$8,3, FALSE)</f>
        <v>Priceless</v>
      </c>
      <c r="F645" s="18" t="s">
        <v>22</v>
      </c>
      <c r="G645" s="18" t="s">
        <v>67</v>
      </c>
      <c r="H645" s="18"/>
      <c r="I645" s="18"/>
      <c r="J645" s="20" t="s">
        <v>13</v>
      </c>
    </row>
    <row r="646" spans="1:10" ht="12.75">
      <c r="A646" s="24" t="str">
        <f>HYPERLINK("https://www.dndbeyond.com/magic-items/saddle-of-the-cavalier", "Saddle Of The Cavalier")</f>
        <v>Saddle Of The Cavalier</v>
      </c>
      <c r="B646" s="16">
        <v>2000</v>
      </c>
      <c r="C646" s="21">
        <v>250</v>
      </c>
      <c r="D646" s="18" t="str">
        <f>VLOOKUP(F646,'Price Ranges'!$A$2:$B$8,2, FALSE)</f>
        <v>101-500</v>
      </c>
      <c r="E646" s="8" t="str">
        <f>VLOOKUP(F646,'Price Ranges'!$A$2:$C$8,3, FALSE)</f>
        <v>100-600</v>
      </c>
      <c r="F646" s="18" t="s">
        <v>19</v>
      </c>
      <c r="G646" s="18" t="s">
        <v>20</v>
      </c>
      <c r="H646" s="19">
        <v>199</v>
      </c>
      <c r="I646" s="18" t="s">
        <v>12</v>
      </c>
      <c r="J646" s="20" t="s">
        <v>13</v>
      </c>
    </row>
    <row r="647" spans="1:10" ht="12.75">
      <c r="A647" s="24" t="str">
        <f>HYPERLINK("https://www.dndbeyond.com/magic-items/saint-markovias-thighbone", "Saint Markovia's Thighbone")</f>
        <v>Saint Markovia's Thighbone</v>
      </c>
      <c r="B647" s="6"/>
      <c r="C647" s="7"/>
      <c r="D647" s="18" t="str">
        <f>VLOOKUP(F647,'Price Ranges'!$A$2:$B$8,2, FALSE)</f>
        <v>501-5000</v>
      </c>
      <c r="E647" s="8" t="str">
        <f>VLOOKUP(F647,'Price Ranges'!$A$2:$C$8,3, FALSE)</f>
        <v>2000-20000</v>
      </c>
      <c r="F647" s="18" t="s">
        <v>16</v>
      </c>
      <c r="G647" s="18" t="s">
        <v>52</v>
      </c>
      <c r="H647" s="18"/>
      <c r="I647" s="18" t="s">
        <v>18</v>
      </c>
      <c r="J647" s="20" t="s">
        <v>15</v>
      </c>
    </row>
    <row r="648" spans="1:10" ht="12.75">
      <c r="A648" s="24" t="str">
        <f>HYPERLINK("https://www.dndbeyond.com/magic-items/scarab-of-protection", "Scarab Of Protection")</f>
        <v>Scarab Of Protection</v>
      </c>
      <c r="B648" s="16">
        <v>36000</v>
      </c>
      <c r="C648" s="21">
        <v>58000</v>
      </c>
      <c r="D648" s="18" t="str">
        <f>VLOOKUP(F648,'Price Ranges'!$A$2:$B$8,2, FALSE)</f>
        <v>50001+</v>
      </c>
      <c r="E648" s="8" t="str">
        <f>VLOOKUP(F648,'Price Ranges'!$A$2:$C$8,3, FALSE)</f>
        <v>50000-300000</v>
      </c>
      <c r="F648" s="18" t="s">
        <v>31</v>
      </c>
      <c r="G648" s="18" t="s">
        <v>20</v>
      </c>
      <c r="H648" s="19">
        <v>199</v>
      </c>
      <c r="I648" s="18" t="s">
        <v>26</v>
      </c>
      <c r="J648" s="20" t="s">
        <v>15</v>
      </c>
    </row>
    <row r="649" spans="1:10" ht="12.75">
      <c r="A649" s="24" t="str">
        <f>HYPERLINK("https://www.dndbeyond.com/magic-items/scimitar-of-speed", "Scimitar Of Speed")</f>
        <v>Scimitar Of Speed</v>
      </c>
      <c r="B649" s="16">
        <v>6000</v>
      </c>
      <c r="C649" s="21">
        <v>7500</v>
      </c>
      <c r="D649" s="18" t="str">
        <f>VLOOKUP(F649,'Price Ranges'!$A$2:$B$8,2, FALSE)</f>
        <v>5001-50000</v>
      </c>
      <c r="E649" s="8" t="str">
        <f>VLOOKUP(F649,'Price Ranges'!$A$2:$C$8,3, FALSE)</f>
        <v>20000-50000</v>
      </c>
      <c r="F649" s="18" t="s">
        <v>10</v>
      </c>
      <c r="G649" s="18" t="s">
        <v>20</v>
      </c>
      <c r="H649" s="19">
        <v>199</v>
      </c>
      <c r="I649" s="18" t="s">
        <v>18</v>
      </c>
      <c r="J649" s="20" t="s">
        <v>15</v>
      </c>
    </row>
    <row r="650" spans="1:10" ht="12.75">
      <c r="A650" s="24" t="str">
        <f>HYPERLINK("https://www.dndbeyond.com/magic-items/scorpion-armor", "Scorpion Armor (plate)")</f>
        <v>Scorpion Armor (plate)</v>
      </c>
      <c r="B650" s="6"/>
      <c r="C650" s="22">
        <v>2100</v>
      </c>
      <c r="D650" s="18" t="str">
        <f>VLOOKUP(F650,'Price Ranges'!$A$2:$B$8,2, FALSE)</f>
        <v>501-5000</v>
      </c>
      <c r="E650" s="8" t="str">
        <f>VLOOKUP(F650,'Price Ranges'!$A$2:$C$8,3, FALSE)</f>
        <v>2000-20000</v>
      </c>
      <c r="F650" s="18" t="s">
        <v>16</v>
      </c>
      <c r="G650" s="18" t="s">
        <v>28</v>
      </c>
      <c r="H650" s="23">
        <v>208</v>
      </c>
      <c r="I650" s="18" t="s">
        <v>21</v>
      </c>
      <c r="J650" s="20" t="s">
        <v>15</v>
      </c>
    </row>
    <row r="651" spans="1:10" ht="12.75">
      <c r="A651" s="24" t="str">
        <f>HYPERLINK("https://www.dndbeyond.com/magic-items/scribes-pen", "Scribe's Pen")</f>
        <v>Scribe's Pen</v>
      </c>
      <c r="B651" s="6"/>
      <c r="C651" s="14">
        <v>60</v>
      </c>
      <c r="D651" s="18" t="str">
        <f>VLOOKUP(F651,'Price Ranges'!$A$2:$B$8,2, FALSE)</f>
        <v>50-100</v>
      </c>
      <c r="E651" s="8" t="str">
        <f>VLOOKUP(F651,'Price Ranges'!$A$2:$C$8,3, FALSE)</f>
        <v>20-70</v>
      </c>
      <c r="F651" s="18" t="s">
        <v>35</v>
      </c>
      <c r="G651" s="18" t="s">
        <v>36</v>
      </c>
      <c r="H651" s="18"/>
      <c r="I651" s="18" t="s">
        <v>12</v>
      </c>
      <c r="J651" s="20" t="s">
        <v>13</v>
      </c>
    </row>
    <row r="652" spans="1:10" ht="12.75">
      <c r="A652" s="5" t="str">
        <f>HYPERLINK("https://www.dndbeyond.com/magic-items/scribes-pen", "Scribes Pen")</f>
        <v>Scribes Pen</v>
      </c>
      <c r="B652" s="6"/>
      <c r="C652" s="14">
        <v>60</v>
      </c>
      <c r="D652" s="8" t="str">
        <f>VLOOKUP(F652,'Price Ranges'!$A$2:$B$8,2, FALSE)</f>
        <v>50-100</v>
      </c>
      <c r="E652" s="8" t="str">
        <f>VLOOKUP(F652,'Price Ranges'!$A$2:$C$8,3, FALSE)</f>
        <v>20-70</v>
      </c>
      <c r="F652" s="9" t="s">
        <v>35</v>
      </c>
      <c r="G652" s="9" t="s">
        <v>33</v>
      </c>
      <c r="H652" s="10"/>
      <c r="I652" s="9" t="s">
        <v>12</v>
      </c>
      <c r="J652" s="13" t="s">
        <v>15</v>
      </c>
    </row>
    <row r="653" spans="1:10" ht="12.75">
      <c r="A653" s="24" t="str">
        <f>HYPERLINK("https://www.dndbeyond.com/magic-items/scroll-of-protection", "Scroll Of Protection")</f>
        <v>Scroll Of Protection</v>
      </c>
      <c r="B653" s="16">
        <v>180</v>
      </c>
      <c r="C653" s="21">
        <v>3500</v>
      </c>
      <c r="D653" s="18" t="str">
        <f>VLOOKUP(F653,'Price Ranges'!$A$2:$B$8,2, FALSE)</f>
        <v>501-5000</v>
      </c>
      <c r="E653" s="8" t="str">
        <f>VLOOKUP(F653,'Price Ranges'!$A$2:$C$8,3, FALSE)</f>
        <v>2000-20000</v>
      </c>
      <c r="F653" s="18" t="s">
        <v>16</v>
      </c>
      <c r="G653" s="18" t="s">
        <v>20</v>
      </c>
      <c r="H653" s="19">
        <v>199</v>
      </c>
      <c r="I653" s="18" t="s">
        <v>74</v>
      </c>
      <c r="J653" s="20" t="s">
        <v>13</v>
      </c>
    </row>
    <row r="654" spans="1:10" ht="12.75">
      <c r="A654" s="5" t="str">
        <f>HYPERLINK("https://www.dndbeyond.com/magic-items/scroll-of-tarrasque-summoning", "Scroll of Tarrasque Summoning")</f>
        <v>Scroll of Tarrasque Summoning</v>
      </c>
      <c r="B654" s="6"/>
      <c r="C654" s="7"/>
      <c r="D654" s="8" t="str">
        <f>VLOOKUP(F654,'Price Ranges'!$A$2:$B$8,2, FALSE)</f>
        <v>50001+</v>
      </c>
      <c r="E654" s="8" t="str">
        <f>VLOOKUP(F654,'Price Ranges'!$A$2:$C$8,3, FALSE)</f>
        <v>50000-300000</v>
      </c>
      <c r="F654" s="12" t="s">
        <v>31</v>
      </c>
      <c r="G654" s="9" t="s">
        <v>11</v>
      </c>
      <c r="H654" s="10"/>
      <c r="I654" s="12" t="s">
        <v>74</v>
      </c>
      <c r="J654" s="11" t="s">
        <v>13</v>
      </c>
    </row>
    <row r="655" spans="1:10" ht="12.75">
      <c r="A655" s="5" t="str">
        <f>HYPERLINK("https://www.dndbeyond.com/magic-items/scroll-of-the-comet", "Scroll of the Comet")</f>
        <v>Scroll of the Comet</v>
      </c>
      <c r="B655" s="6"/>
      <c r="C655" s="7"/>
      <c r="D655" s="8" t="str">
        <f>VLOOKUP(F655,'Price Ranges'!$A$2:$B$8,2, FALSE)</f>
        <v>50001+</v>
      </c>
      <c r="E655" s="8" t="str">
        <f>VLOOKUP(F655,'Price Ranges'!$A$2:$C$8,3, FALSE)</f>
        <v>50000-300000</v>
      </c>
      <c r="F655" s="12" t="s">
        <v>31</v>
      </c>
      <c r="G655" s="9" t="s">
        <v>11</v>
      </c>
      <c r="H655" s="10"/>
      <c r="I655" s="12" t="s">
        <v>74</v>
      </c>
      <c r="J655" s="11" t="s">
        <v>13</v>
      </c>
    </row>
    <row r="656" spans="1:10" ht="12.75">
      <c r="A656" s="24" t="str">
        <f>HYPERLINK("https://www.dndbeyond.com/magic-items/seeker-dart", "Seeker Dart")</f>
        <v>Seeker Dart</v>
      </c>
      <c r="B656" s="6"/>
      <c r="C656" s="22">
        <v>100</v>
      </c>
      <c r="D656" s="18" t="str">
        <f>VLOOKUP(F656,'Price Ranges'!$A$2:$B$8,2, FALSE)</f>
        <v>101-500</v>
      </c>
      <c r="E656" s="8" t="str">
        <f>VLOOKUP(F656,'Price Ranges'!$A$2:$C$8,3, FALSE)</f>
        <v>100-600</v>
      </c>
      <c r="F656" s="18" t="s">
        <v>19</v>
      </c>
      <c r="G656" s="18" t="s">
        <v>40</v>
      </c>
      <c r="H656" s="23">
        <v>223</v>
      </c>
      <c r="I656" s="18" t="s">
        <v>18</v>
      </c>
      <c r="J656" s="20" t="s">
        <v>13</v>
      </c>
    </row>
    <row r="657" spans="1:10" ht="12.75">
      <c r="A657" s="24" t="str">
        <f>HYPERLINK("https://www.dndbeyond.com/magic-items/sekolahian-worshiping-statuette", "Sekolahian Worshiping Statuette")</f>
        <v>Sekolahian Worshiping Statuette</v>
      </c>
      <c r="B657" s="6"/>
      <c r="C657" s="14">
        <v>50</v>
      </c>
      <c r="D657" s="18" t="str">
        <f>VLOOKUP(F657,'Price Ranges'!$A$2:$B$8,2, FALSE)</f>
        <v>50-100</v>
      </c>
      <c r="E657" s="8" t="str">
        <f>VLOOKUP(F657,'Price Ranges'!$A$2:$C$8,3, FALSE)</f>
        <v>20-70</v>
      </c>
      <c r="F657" s="18" t="s">
        <v>35</v>
      </c>
      <c r="G657" s="18" t="s">
        <v>62</v>
      </c>
      <c r="H657" s="26"/>
      <c r="I657" s="18" t="s">
        <v>12</v>
      </c>
      <c r="J657" s="20" t="s">
        <v>13</v>
      </c>
    </row>
    <row r="658" spans="1:10" ht="12.75">
      <c r="A658" s="24" t="str">
        <f>HYPERLINK("https://www.dndbeyond.com/magic-items/sending-stone", "Sending Stone")</f>
        <v>Sending Stone</v>
      </c>
      <c r="B658" s="6"/>
      <c r="C658" s="14">
        <v>500</v>
      </c>
      <c r="D658" s="18" t="str">
        <f>VLOOKUP(F658,'Price Ranges'!$A$2:$B$8,2, FALSE)</f>
        <v>101-500</v>
      </c>
      <c r="E658" s="8" t="str">
        <f>VLOOKUP(F658,'Price Ranges'!$A$2:$C$8,3, FALSE)</f>
        <v>100-600</v>
      </c>
      <c r="F658" s="18" t="s">
        <v>19</v>
      </c>
      <c r="G658" s="18" t="s">
        <v>60</v>
      </c>
      <c r="H658" s="18"/>
      <c r="I658" s="18" t="s">
        <v>12</v>
      </c>
      <c r="J658" s="20" t="s">
        <v>13</v>
      </c>
    </row>
    <row r="659" spans="1:10" ht="12.75">
      <c r="A659" s="24" t="str">
        <f>HYPERLINK("https://www.dndbeyond.com/magic-items/sending-stones", "Sending Stones")</f>
        <v>Sending Stones</v>
      </c>
      <c r="B659" s="16">
        <v>2000</v>
      </c>
      <c r="C659" s="21">
        <v>500</v>
      </c>
      <c r="D659" s="18" t="str">
        <f>VLOOKUP(F659,'Price Ranges'!$A$2:$B$8,2, FALSE)</f>
        <v>101-500</v>
      </c>
      <c r="E659" s="8" t="str">
        <f>VLOOKUP(F659,'Price Ranges'!$A$2:$C$8,3, FALSE)</f>
        <v>100-600</v>
      </c>
      <c r="F659" s="18" t="s">
        <v>19</v>
      </c>
      <c r="G659" s="18" t="s">
        <v>20</v>
      </c>
      <c r="H659" s="19">
        <v>199</v>
      </c>
      <c r="I659" s="18" t="s">
        <v>12</v>
      </c>
      <c r="J659" s="20" t="s">
        <v>13</v>
      </c>
    </row>
    <row r="660" spans="1:10" ht="12.75">
      <c r="A660" s="24" t="str">
        <f>HYPERLINK("https://www.dndbeyond.com/magic-items/sentinel-shield", "Sentinel Shield")</f>
        <v>Sentinel Shield</v>
      </c>
      <c r="B660" s="16">
        <v>20000</v>
      </c>
      <c r="C660" s="21">
        <v>300</v>
      </c>
      <c r="D660" s="18" t="str">
        <f>VLOOKUP(F660,'Price Ranges'!$A$2:$B$8,2, FALSE)</f>
        <v>101-500</v>
      </c>
      <c r="E660" s="8" t="str">
        <f>VLOOKUP(F660,'Price Ranges'!$A$2:$C$8,3, FALSE)</f>
        <v>100-600</v>
      </c>
      <c r="F660" s="18" t="s">
        <v>19</v>
      </c>
      <c r="G660" s="18" t="s">
        <v>20</v>
      </c>
      <c r="H660" s="19">
        <v>199</v>
      </c>
      <c r="I660" s="18" t="s">
        <v>30</v>
      </c>
      <c r="J660" s="20" t="s">
        <v>13</v>
      </c>
    </row>
    <row r="661" spans="1:10" ht="12.75">
      <c r="A661" s="5" t="str">
        <f>HYPERLINK("https://www.dndbeyond.com/magic-items/shadowfell-brand-tattoo", "Shadowfell Brand Tattoo")</f>
        <v>Shadowfell Brand Tattoo</v>
      </c>
      <c r="B661" s="6"/>
      <c r="C661" s="7"/>
      <c r="D661" s="8" t="str">
        <f>VLOOKUP(F661,'Price Ranges'!$A$2:$B$8,2, FALSE)</f>
        <v>501-5000</v>
      </c>
      <c r="E661" s="8" t="str">
        <f>VLOOKUP(F661,'Price Ranges'!$A$2:$C$8,3, FALSE)</f>
        <v>2000-20000</v>
      </c>
      <c r="F661" s="12" t="s">
        <v>16</v>
      </c>
      <c r="G661" s="12" t="s">
        <v>14</v>
      </c>
      <c r="H661" s="10"/>
      <c r="I661" s="8" t="s">
        <v>12</v>
      </c>
      <c r="J661" s="13" t="s">
        <v>15</v>
      </c>
    </row>
    <row r="662" spans="1:10" ht="12.75">
      <c r="A662" s="5" t="str">
        <f>HYPERLINK("https://www.dndbeyond.com/magic-items/shadowfell-shard", "Shadowfell Shard")</f>
        <v>Shadowfell Shard</v>
      </c>
      <c r="B662" s="6"/>
      <c r="C662" s="7"/>
      <c r="D662" s="8" t="str">
        <f>VLOOKUP(F662,'Price Ranges'!$A$2:$B$8,2, FALSE)</f>
        <v>501-5000</v>
      </c>
      <c r="E662" s="8" t="str">
        <f>VLOOKUP(F662,'Price Ranges'!$A$2:$C$8,3, FALSE)</f>
        <v>2000-20000</v>
      </c>
      <c r="F662" s="12" t="s">
        <v>16</v>
      </c>
      <c r="G662" s="12" t="s">
        <v>14</v>
      </c>
      <c r="H662" s="10"/>
      <c r="I662" s="8" t="s">
        <v>12</v>
      </c>
      <c r="J662" s="13" t="s">
        <v>15</v>
      </c>
    </row>
    <row r="663" spans="1:10" ht="12.75">
      <c r="A663" s="24" t="str">
        <f>HYPERLINK("https://www.dndbeyond.com/magic-items/shard-of-the-ise-rune", "Shard Of The Ise Rune")</f>
        <v>Shard Of The Ise Rune</v>
      </c>
      <c r="B663" s="6"/>
      <c r="C663" s="22">
        <v>9000</v>
      </c>
      <c r="D663" s="18" t="str">
        <f>VLOOKUP(F663,'Price Ranges'!$A$2:$B$8,2, FALSE)</f>
        <v>5001-50000</v>
      </c>
      <c r="E663" s="8" t="str">
        <f>VLOOKUP(F663,'Price Ranges'!$A$2:$C$8,3, FALSE)</f>
        <v>20000-50000</v>
      </c>
      <c r="F663" s="18" t="s">
        <v>10</v>
      </c>
      <c r="G663" s="18" t="s">
        <v>43</v>
      </c>
      <c r="H663" s="23">
        <v>236</v>
      </c>
      <c r="I663" s="18" t="s">
        <v>12</v>
      </c>
      <c r="J663" s="20" t="s">
        <v>15</v>
      </c>
    </row>
    <row r="664" spans="1:10" ht="12.75">
      <c r="A664" s="24" t="str">
        <f>HYPERLINK("https://www.dndbeyond.com/magic-items/shatterspike", "Shatterspike (longsword)")</f>
        <v>Shatterspike (longsword)</v>
      </c>
      <c r="B664" s="6"/>
      <c r="C664" s="22">
        <v>550</v>
      </c>
      <c r="D664" s="18" t="str">
        <f>VLOOKUP(F664,'Price Ranges'!$A$2:$B$8,2, FALSE)</f>
        <v>101-500</v>
      </c>
      <c r="E664" s="8" t="str">
        <f>VLOOKUP(F664,'Price Ranges'!$A$2:$C$8,3, FALSE)</f>
        <v>100-600</v>
      </c>
      <c r="F664" s="18" t="s">
        <v>19</v>
      </c>
      <c r="G664" s="18" t="s">
        <v>27</v>
      </c>
      <c r="H664" s="23">
        <v>229</v>
      </c>
      <c r="I664" s="18" t="s">
        <v>18</v>
      </c>
      <c r="J664" s="20" t="s">
        <v>15</v>
      </c>
    </row>
    <row r="665" spans="1:10" ht="12.75">
      <c r="A665" s="24" t="str">
        <f>HYPERLINK("https://www.dndbeyond.com/magic-items/shavaran-birch-focus", "Shavaran Birch Focus")</f>
        <v>Shavaran Birch Focus</v>
      </c>
      <c r="B665" s="6"/>
      <c r="C665" s="7"/>
      <c r="D665" s="18" t="str">
        <f>VLOOKUP(F665,'Price Ranges'!$A$2:$B$8,2, FALSE)</f>
        <v>50-100</v>
      </c>
      <c r="E665" s="8" t="str">
        <f>VLOOKUP(F665,'Price Ranges'!$A$2:$C$8,3, FALSE)</f>
        <v>20-70</v>
      </c>
      <c r="F665" s="18" t="s">
        <v>35</v>
      </c>
      <c r="G665" s="18" t="s">
        <v>36</v>
      </c>
      <c r="H665" s="18"/>
      <c r="I665" s="18" t="s">
        <v>12</v>
      </c>
      <c r="J665" s="20" t="s">
        <v>15</v>
      </c>
    </row>
    <row r="666" spans="1:10" ht="12.75">
      <c r="A666" s="5" t="str">
        <f>HYPERLINK("https://www.dndbeyond.com/magic-items/shavarran-birch-focus", "Shavarran Birch Focus")</f>
        <v>Shavarran Birch Focus</v>
      </c>
      <c r="B666" s="6"/>
      <c r="C666" s="7"/>
      <c r="D666" s="8" t="str">
        <f>VLOOKUP(F666,'Price Ranges'!$A$2:$B$8,2, FALSE)</f>
        <v>50-100</v>
      </c>
      <c r="E666" s="8" t="str">
        <f>VLOOKUP(F666,'Price Ranges'!$A$2:$C$8,3, FALSE)</f>
        <v>20-70</v>
      </c>
      <c r="F666" s="9" t="s">
        <v>35</v>
      </c>
      <c r="G666" s="9" t="s">
        <v>33</v>
      </c>
      <c r="H666" s="10"/>
      <c r="I666" s="9" t="s">
        <v>12</v>
      </c>
      <c r="J666" s="13" t="s">
        <v>15</v>
      </c>
    </row>
    <row r="667" spans="1:10" ht="12.75">
      <c r="A667" s="24" t="str">
        <f>HYPERLINK("https://www.dndbeyond.com/magic-items/shield-of-expression", "Shield Of Expression")</f>
        <v>Shield Of Expression</v>
      </c>
      <c r="B667" s="6"/>
      <c r="C667" s="22">
        <v>50</v>
      </c>
      <c r="D667" s="18" t="str">
        <f>VLOOKUP(F667,'Price Ranges'!$A$2:$B$8,2, FALSE)</f>
        <v>50-100</v>
      </c>
      <c r="E667" s="8" t="str">
        <f>VLOOKUP(F667,'Price Ranges'!$A$2:$C$8,3, FALSE)</f>
        <v>20-70</v>
      </c>
      <c r="F667" s="18" t="s">
        <v>35</v>
      </c>
      <c r="G667" s="18" t="s">
        <v>37</v>
      </c>
      <c r="H667" s="19">
        <v>139</v>
      </c>
      <c r="I667" s="18" t="s">
        <v>30</v>
      </c>
      <c r="J667" s="20" t="s">
        <v>13</v>
      </c>
    </row>
    <row r="668" spans="1:10" ht="12.75">
      <c r="A668" s="24" t="str">
        <f>HYPERLINK("https://www.dndbeyond.com/magic-items/shield-of-far-sight", "Shield Of Far Sight")</f>
        <v>Shield Of Far Sight</v>
      </c>
      <c r="B668" s="6"/>
      <c r="C668" s="7"/>
      <c r="D668" s="18" t="str">
        <f>VLOOKUP(F668,'Price Ranges'!$A$2:$B$8,2, FALSE)</f>
        <v>501-5000</v>
      </c>
      <c r="E668" s="8" t="str">
        <f>VLOOKUP(F668,'Price Ranges'!$A$2:$C$8,3, FALSE)</f>
        <v>2000-20000</v>
      </c>
      <c r="F668" s="18" t="s">
        <v>16</v>
      </c>
      <c r="G668" s="18" t="s">
        <v>71</v>
      </c>
      <c r="H668" s="18"/>
      <c r="I668" s="18" t="s">
        <v>30</v>
      </c>
      <c r="J668" s="20" t="s">
        <v>13</v>
      </c>
    </row>
    <row r="669" spans="1:10" ht="12.75">
      <c r="A669" s="24" t="str">
        <f>HYPERLINK("https://www.dndbeyond.com/magic-items/shield-of-missile-attraction", "Shield Of Missile Attraction")</f>
        <v>Shield Of Missile Attraction</v>
      </c>
      <c r="B669" s="16">
        <v>6000</v>
      </c>
      <c r="C669" s="21">
        <v>1000</v>
      </c>
      <c r="D669" s="18" t="str">
        <f>VLOOKUP(F669,'Price Ranges'!$A$2:$B$8,2, FALSE)</f>
        <v>501-5000</v>
      </c>
      <c r="E669" s="8" t="str">
        <f>VLOOKUP(F669,'Price Ranges'!$A$2:$C$8,3, FALSE)</f>
        <v>2000-20000</v>
      </c>
      <c r="F669" s="18" t="s">
        <v>16</v>
      </c>
      <c r="G669" s="18" t="s">
        <v>20</v>
      </c>
      <c r="H669" s="19">
        <v>200</v>
      </c>
      <c r="I669" s="18" t="s">
        <v>30</v>
      </c>
      <c r="J669" s="20" t="s">
        <v>15</v>
      </c>
    </row>
    <row r="670" spans="1:10" ht="12.75">
      <c r="A670" s="24" t="str">
        <f>HYPERLINK("https://www.dndbeyond.com/magic-items/shield-of-the-hidden-lord", "Shield Of The Hidden Lord")</f>
        <v>Shield Of The Hidden Lord</v>
      </c>
      <c r="B670" s="6"/>
      <c r="C670" s="14">
        <v>86000</v>
      </c>
      <c r="D670" s="18" t="str">
        <f>VLOOKUP(F670,'Price Ranges'!$A$2:$B$8,2, FALSE)</f>
        <v>50001+</v>
      </c>
      <c r="E670" s="8" t="str">
        <f>VLOOKUP(F670,'Price Ranges'!$A$2:$C$8,3, FALSE)</f>
        <v>50000-300000</v>
      </c>
      <c r="F670" s="18" t="s">
        <v>31</v>
      </c>
      <c r="G670" s="18" t="s">
        <v>44</v>
      </c>
      <c r="H670" s="26"/>
      <c r="I670" s="18" t="s">
        <v>21</v>
      </c>
      <c r="J670" s="20" t="s">
        <v>15</v>
      </c>
    </row>
    <row r="671" spans="1:10" ht="12.75">
      <c r="A671" s="24" t="str">
        <f>HYPERLINK("https://www.dndbeyond.com/magic-items/shield-of-the-uven-rune", "Shield Of The Uven Rune")</f>
        <v>Shield Of The Uven Rune</v>
      </c>
      <c r="B671" s="6"/>
      <c r="C671" s="29"/>
      <c r="D671" s="18" t="str">
        <f>VLOOKUP(F671,'Price Ranges'!$A$2:$B$8,2, FALSE)</f>
        <v>5001-50000</v>
      </c>
      <c r="E671" s="8" t="str">
        <f>VLOOKUP(F671,'Price Ranges'!$A$2:$C$8,3, FALSE)</f>
        <v>20000-50000</v>
      </c>
      <c r="F671" s="18" t="s">
        <v>10</v>
      </c>
      <c r="G671" s="18" t="s">
        <v>46</v>
      </c>
      <c r="H671" s="26"/>
      <c r="I671" s="18" t="s">
        <v>30</v>
      </c>
      <c r="J671" s="20" t="s">
        <v>15</v>
      </c>
    </row>
    <row r="672" spans="1:10" ht="12.75">
      <c r="A672" s="24" t="str">
        <f>HYPERLINK("https://www.dndbeyond.com/magic-items/shield-1", "Shield, +1")</f>
        <v>Shield, +1</v>
      </c>
      <c r="B672" s="16">
        <v>1500</v>
      </c>
      <c r="C672" s="21">
        <v>450</v>
      </c>
      <c r="D672" s="18" t="str">
        <f>VLOOKUP(F672,'Price Ranges'!$A$2:$B$8,2, FALSE)</f>
        <v>101-500</v>
      </c>
      <c r="E672" s="8" t="str">
        <f>VLOOKUP(F672,'Price Ranges'!$A$2:$C$8,3, FALSE)</f>
        <v>100-600</v>
      </c>
      <c r="F672" s="18" t="s">
        <v>19</v>
      </c>
      <c r="G672" s="18" t="s">
        <v>20</v>
      </c>
      <c r="H672" s="19">
        <v>200</v>
      </c>
      <c r="I672" s="18" t="s">
        <v>30</v>
      </c>
      <c r="J672" s="20" t="s">
        <v>13</v>
      </c>
    </row>
    <row r="673" spans="1:10" ht="12.75">
      <c r="A673" s="24" t="str">
        <f>HYPERLINK("https://www.dndbeyond.com/magic-items/shield-2", "Shield, +2")</f>
        <v>Shield, +2</v>
      </c>
      <c r="B673" s="16">
        <v>6000</v>
      </c>
      <c r="C673" s="21">
        <v>4000</v>
      </c>
      <c r="D673" s="18" t="str">
        <f>VLOOKUP(F673,'Price Ranges'!$A$2:$B$8,2, FALSE)</f>
        <v>501-5000</v>
      </c>
      <c r="E673" s="8" t="str">
        <f>VLOOKUP(F673,'Price Ranges'!$A$2:$C$8,3, FALSE)</f>
        <v>2000-20000</v>
      </c>
      <c r="F673" s="18" t="s">
        <v>16</v>
      </c>
      <c r="G673" s="18" t="s">
        <v>20</v>
      </c>
      <c r="H673" s="19">
        <v>200</v>
      </c>
      <c r="I673" s="18" t="s">
        <v>30</v>
      </c>
      <c r="J673" s="20" t="s">
        <v>13</v>
      </c>
    </row>
    <row r="674" spans="1:10" ht="12.75">
      <c r="A674" s="24" t="str">
        <f>HYPERLINK("https://www.dndbeyond.com/magic-items/shield-3", "Shield, +3")</f>
        <v>Shield, +3</v>
      </c>
      <c r="B674" s="16">
        <v>24000</v>
      </c>
      <c r="C674" s="21">
        <v>22000</v>
      </c>
      <c r="D674" s="18" t="str">
        <f>VLOOKUP(F674,'Price Ranges'!$A$2:$B$8,2, FALSE)</f>
        <v>5001-50000</v>
      </c>
      <c r="E674" s="8" t="str">
        <f>VLOOKUP(F674,'Price Ranges'!$A$2:$C$8,3, FALSE)</f>
        <v>20000-50000</v>
      </c>
      <c r="F674" s="18" t="s">
        <v>10</v>
      </c>
      <c r="G674" s="18" t="s">
        <v>20</v>
      </c>
      <c r="H674" s="19">
        <v>200</v>
      </c>
      <c r="I674" s="18" t="s">
        <v>30</v>
      </c>
      <c r="J674" s="20" t="s">
        <v>13</v>
      </c>
    </row>
    <row r="675" spans="1:10" ht="12.75">
      <c r="A675" s="24" t="str">
        <f t="shared" ref="A675:A676" si="20">HYPERLINK("https://www.dndbeyond.com/magic-items/shiftweave", "Shiftweave")</f>
        <v>Shiftweave</v>
      </c>
      <c r="B675" s="6"/>
      <c r="C675" s="14">
        <v>100</v>
      </c>
      <c r="D675" s="18" t="str">
        <f>VLOOKUP(F675,'Price Ranges'!$A$2:$B$8,2, FALSE)</f>
        <v>50-100</v>
      </c>
      <c r="E675" s="8" t="str">
        <f>VLOOKUP(F675,'Price Ranges'!$A$2:$C$8,3, FALSE)</f>
        <v>20-70</v>
      </c>
      <c r="F675" s="18" t="s">
        <v>35</v>
      </c>
      <c r="G675" s="18" t="s">
        <v>36</v>
      </c>
      <c r="H675" s="18"/>
      <c r="I675" s="18" t="s">
        <v>12</v>
      </c>
      <c r="J675" s="20" t="s">
        <v>13</v>
      </c>
    </row>
    <row r="676" spans="1:10" ht="12.75">
      <c r="A676" s="5" t="str">
        <f t="shared" si="20"/>
        <v>Shiftweave</v>
      </c>
      <c r="B676" s="6"/>
      <c r="C676" s="14">
        <v>100</v>
      </c>
      <c r="D676" s="8" t="str">
        <f>VLOOKUP(F676,'Price Ranges'!$A$2:$B$8,2, FALSE)</f>
        <v>50-100</v>
      </c>
      <c r="E676" s="8" t="str">
        <f>VLOOKUP(F676,'Price Ranges'!$A$2:$C$8,3, FALSE)</f>
        <v>20-70</v>
      </c>
      <c r="F676" s="9" t="s">
        <v>35</v>
      </c>
      <c r="G676" s="9" t="s">
        <v>33</v>
      </c>
      <c r="H676" s="10"/>
      <c r="I676" s="9" t="s">
        <v>12</v>
      </c>
      <c r="J676" s="13" t="s">
        <v>13</v>
      </c>
    </row>
    <row r="677" spans="1:10" ht="12.75">
      <c r="A677" s="5" t="str">
        <f>HYPERLINK("https://www.dndbeyond.com/magic-items/silken-spite", "Silken Spite")</f>
        <v>Silken Spite</v>
      </c>
      <c r="B677" s="6"/>
      <c r="C677" s="7"/>
      <c r="D677" s="8" t="str">
        <f>VLOOKUP(F677,'Price Ranges'!$A$2:$B$8,2, FALSE)</f>
        <v>Priceless</v>
      </c>
      <c r="E677" s="8" t="str">
        <f>VLOOKUP(F677,'Price Ranges'!$A$2:$C$8,3, FALSE)</f>
        <v>Priceless</v>
      </c>
      <c r="F677" s="9" t="s">
        <v>22</v>
      </c>
      <c r="G677" s="9" t="s">
        <v>17</v>
      </c>
      <c r="H677" s="12">
        <v>277</v>
      </c>
      <c r="I677" s="9" t="s">
        <v>18</v>
      </c>
      <c r="J677" s="13" t="s">
        <v>15</v>
      </c>
    </row>
    <row r="678" spans="1:10" ht="12.75">
      <c r="A678" s="15" t="str">
        <f>HYPERLINK("https://www.dndbeyond.com/magic-items/siren-song-lyre", "Siren Song Lyre")</f>
        <v>Siren Song Lyre</v>
      </c>
      <c r="B678" s="6"/>
      <c r="C678" s="14">
        <v>650</v>
      </c>
      <c r="D678" s="8" t="str">
        <f>VLOOKUP(F678,'Price Ranges'!$A$2:$B$8,2, FALSE)</f>
        <v>501-5000</v>
      </c>
      <c r="E678" s="8" t="str">
        <f>VLOOKUP(F678,'Price Ranges'!$A$2:$C$8,3, FALSE)</f>
        <v>2000-20000</v>
      </c>
      <c r="F678" s="9" t="s">
        <v>16</v>
      </c>
      <c r="G678" s="9" t="s">
        <v>23</v>
      </c>
      <c r="H678" s="10"/>
      <c r="I678" s="9" t="s">
        <v>12</v>
      </c>
      <c r="J678" s="13" t="s">
        <v>15</v>
      </c>
    </row>
    <row r="679" spans="1:10" ht="12.75">
      <c r="A679" s="24" t="str">
        <f>HYPERLINK("https://www.dndbeyond.com/magic-items/skyblinder-staff", "Skyblinder Staff")</f>
        <v>Skyblinder Staff</v>
      </c>
      <c r="B679" s="6"/>
      <c r="C679" s="22">
        <v>375</v>
      </c>
      <c r="D679" s="18" t="str">
        <f>VLOOKUP(F679,'Price Ranges'!$A$2:$B$8,2, FALSE)</f>
        <v>101-500</v>
      </c>
      <c r="E679" s="8" t="str">
        <f>VLOOKUP(F679,'Price Ranges'!$A$2:$C$8,3, FALSE)</f>
        <v>100-600</v>
      </c>
      <c r="F679" s="18" t="s">
        <v>19</v>
      </c>
      <c r="G679" s="18" t="s">
        <v>69</v>
      </c>
      <c r="H679" s="23">
        <v>181</v>
      </c>
      <c r="I679" s="18" t="s">
        <v>49</v>
      </c>
      <c r="J679" s="20" t="s">
        <v>15</v>
      </c>
    </row>
    <row r="680" spans="1:10" ht="12.75">
      <c r="A680" s="15" t="str">
        <f>HYPERLINK("https://www.dndbeyond.com/magic-items/sling-bullets-of-althemone", "Sling Bullets of Althemone")</f>
        <v>Sling Bullets of Althemone</v>
      </c>
      <c r="B680" s="6"/>
      <c r="C680" s="14">
        <v>5500</v>
      </c>
      <c r="D680" s="8" t="str">
        <f>VLOOKUP(F680,'Price Ranges'!$A$2:$B$8,2, FALSE)</f>
        <v>5001-50000</v>
      </c>
      <c r="E680" s="8" t="str">
        <f>VLOOKUP(F680,'Price Ranges'!$A$2:$C$8,3, FALSE)</f>
        <v>20000-50000</v>
      </c>
      <c r="F680" s="9" t="s">
        <v>10</v>
      </c>
      <c r="G680" s="9" t="s">
        <v>23</v>
      </c>
      <c r="H680" s="10"/>
      <c r="I680" s="9" t="s">
        <v>18</v>
      </c>
      <c r="J680" s="13" t="s">
        <v>13</v>
      </c>
    </row>
    <row r="681" spans="1:10" ht="12.75">
      <c r="A681" s="24" t="str">
        <f>HYPERLINK("https://www.dndbeyond.com/magic-items/slippers-of-spider-climbing", "Slippers Of Spider Climbing")</f>
        <v>Slippers Of Spider Climbing</v>
      </c>
      <c r="B681" s="16">
        <v>5000</v>
      </c>
      <c r="C681" s="21">
        <v>500</v>
      </c>
      <c r="D681" s="18" t="str">
        <f>VLOOKUP(F681,'Price Ranges'!$A$2:$B$8,2, FALSE)</f>
        <v>101-500</v>
      </c>
      <c r="E681" s="8" t="str">
        <f>VLOOKUP(F681,'Price Ranges'!$A$2:$C$8,3, FALSE)</f>
        <v>100-600</v>
      </c>
      <c r="F681" s="18" t="s">
        <v>19</v>
      </c>
      <c r="G681" s="18" t="s">
        <v>20</v>
      </c>
      <c r="H681" s="19">
        <v>200</v>
      </c>
      <c r="I681" s="18" t="s">
        <v>55</v>
      </c>
      <c r="J681" s="20" t="s">
        <v>15</v>
      </c>
    </row>
    <row r="682" spans="1:10" ht="12.75">
      <c r="A682" s="24" t="str">
        <f>HYPERLINK("https://www.dndbeyond.com/magic-items/smokepowder", "Smokepowder")</f>
        <v>Smokepowder</v>
      </c>
      <c r="B682" s="6"/>
      <c r="C682" s="22">
        <v>325</v>
      </c>
      <c r="D682" s="18" t="str">
        <f>VLOOKUP(F682,'Price Ranges'!$A$2:$B$8,2, FALSE)</f>
        <v>101-500</v>
      </c>
      <c r="E682" s="8" t="str">
        <f>VLOOKUP(F682,'Price Ranges'!$A$2:$C$8,3, FALSE)</f>
        <v>100-600</v>
      </c>
      <c r="F682" s="18" t="s">
        <v>19</v>
      </c>
      <c r="G682" s="18" t="s">
        <v>39</v>
      </c>
      <c r="H682" s="23">
        <v>192</v>
      </c>
      <c r="I682" s="18" t="s">
        <v>12</v>
      </c>
      <c r="J682" s="20" t="s">
        <v>13</v>
      </c>
    </row>
    <row r="683" spans="1:10" ht="12.75">
      <c r="A683" s="24" t="str">
        <f>HYPERLINK("https://www.dndbeyond.com/magic-items/smoldering-armor", "Smoldering Armor")</f>
        <v>Smoldering Armor</v>
      </c>
      <c r="B683" s="6"/>
      <c r="C683" s="28">
        <v>75</v>
      </c>
      <c r="D683" s="18" t="str">
        <f>VLOOKUP(F683,'Price Ranges'!$A$2:$B$8,2, FALSE)</f>
        <v>50-100</v>
      </c>
      <c r="E683" s="8" t="str">
        <f>VLOOKUP(F683,'Price Ranges'!$A$2:$C$8,3, FALSE)</f>
        <v>20-70</v>
      </c>
      <c r="F683" s="18" t="s">
        <v>35</v>
      </c>
      <c r="G683" s="18" t="s">
        <v>37</v>
      </c>
      <c r="H683" s="19">
        <v>139</v>
      </c>
      <c r="I683" s="18" t="s">
        <v>21</v>
      </c>
      <c r="J683" s="20" t="s">
        <v>13</v>
      </c>
    </row>
    <row r="684" spans="1:10" ht="12.75">
      <c r="A684" s="24" t="str">
        <f>HYPERLINK("https://www.dndbeyond.com/magic-items/soul-coin", "Soul Coin")</f>
        <v>Soul Coin</v>
      </c>
      <c r="B684" s="6"/>
      <c r="C684" s="14">
        <v>250</v>
      </c>
      <c r="D684" s="18" t="str">
        <f>VLOOKUP(F684,'Price Ranges'!$A$2:$B$8,2, FALSE)</f>
        <v>101-500</v>
      </c>
      <c r="E684" s="8" t="str">
        <f>VLOOKUP(F684,'Price Ranges'!$A$2:$C$8,3, FALSE)</f>
        <v>100-600</v>
      </c>
      <c r="F684" s="18" t="s">
        <v>19</v>
      </c>
      <c r="G684" s="18" t="s">
        <v>44</v>
      </c>
      <c r="H684" s="26"/>
      <c r="I684" s="18" t="s">
        <v>12</v>
      </c>
      <c r="J684" s="20" t="s">
        <v>13</v>
      </c>
    </row>
    <row r="685" spans="1:10" ht="12.75">
      <c r="A685" s="24" t="str">
        <f>HYPERLINK("https://www.dndbeyond.com/magic-items/sovereign-glue", "Sovereign Glue")</f>
        <v>Sovereign Glue</v>
      </c>
      <c r="B685" s="16">
        <v>400</v>
      </c>
      <c r="C685" s="21">
        <v>5000</v>
      </c>
      <c r="D685" s="18" t="str">
        <f>VLOOKUP(F685,'Price Ranges'!$A$2:$B$8,2, FALSE)</f>
        <v>50001+</v>
      </c>
      <c r="E685" s="8" t="str">
        <f>VLOOKUP(F685,'Price Ranges'!$A$2:$C$8,3, FALSE)</f>
        <v>50000-300000</v>
      </c>
      <c r="F685" s="18" t="s">
        <v>31</v>
      </c>
      <c r="G685" s="18" t="s">
        <v>20</v>
      </c>
      <c r="H685" s="19">
        <v>200</v>
      </c>
      <c r="I685" s="18" t="s">
        <v>12</v>
      </c>
      <c r="J685" s="20" t="s">
        <v>13</v>
      </c>
    </row>
    <row r="686" spans="1:10" ht="12.75">
      <c r="A686" s="24" t="str">
        <f t="shared" ref="A686:A687" si="21">HYPERLINK("https://www.dndbeyond.com/magic-items/speaking-stone", "Speaking Stone")</f>
        <v>Speaking Stone</v>
      </c>
      <c r="B686" s="6"/>
      <c r="C686" s="14">
        <v>5000</v>
      </c>
      <c r="D686" s="18" t="str">
        <f>VLOOKUP(F686,'Price Ranges'!$A$2:$B$8,2, FALSE)</f>
        <v>101-500</v>
      </c>
      <c r="E686" s="8" t="str">
        <f>VLOOKUP(F686,'Price Ranges'!$A$2:$C$8,3, FALSE)</f>
        <v>100-600</v>
      </c>
      <c r="F686" s="18" t="s">
        <v>19</v>
      </c>
      <c r="G686" s="18" t="s">
        <v>36</v>
      </c>
      <c r="H686" s="18"/>
      <c r="I686" s="18" t="s">
        <v>12</v>
      </c>
      <c r="J686" s="20" t="s">
        <v>13</v>
      </c>
    </row>
    <row r="687" spans="1:10" ht="12.75">
      <c r="A687" s="5" t="str">
        <f t="shared" si="21"/>
        <v>Speaking Stone</v>
      </c>
      <c r="B687" s="6"/>
      <c r="C687" s="14">
        <v>5000</v>
      </c>
      <c r="D687" s="8" t="str">
        <f>VLOOKUP(F687,'Price Ranges'!$A$2:$B$8,2, FALSE)</f>
        <v>501-5000</v>
      </c>
      <c r="E687" s="8" t="str">
        <f>VLOOKUP(F687,'Price Ranges'!$A$2:$C$8,3, FALSE)</f>
        <v>2000-20000</v>
      </c>
      <c r="F687" s="9" t="s">
        <v>16</v>
      </c>
      <c r="G687" s="9" t="s">
        <v>33</v>
      </c>
      <c r="H687" s="8"/>
      <c r="I687" s="9" t="s">
        <v>12</v>
      </c>
      <c r="J687" s="13" t="s">
        <v>13</v>
      </c>
    </row>
    <row r="688" spans="1:10" ht="12.75">
      <c r="A688" s="24" t="str">
        <f>HYPERLINK("https://www.dndbeyond.com/magic-items/spear-of-backbiting", "Spear Of Backbiting (javelin or spear)")</f>
        <v>Spear Of Backbiting (javelin or spear)</v>
      </c>
      <c r="B688" s="6"/>
      <c r="C688" s="22">
        <v>6500</v>
      </c>
      <c r="D688" s="18" t="str">
        <f>VLOOKUP(F688,'Price Ranges'!$A$2:$B$8,2, FALSE)</f>
        <v>5001-50000</v>
      </c>
      <c r="E688" s="8" t="str">
        <f>VLOOKUP(F688,'Price Ranges'!$A$2:$C$8,3, FALSE)</f>
        <v>20000-50000</v>
      </c>
      <c r="F688" s="18" t="s">
        <v>10</v>
      </c>
      <c r="G688" s="18" t="s">
        <v>27</v>
      </c>
      <c r="H688" s="23">
        <v>229</v>
      </c>
      <c r="I688" s="18" t="s">
        <v>18</v>
      </c>
      <c r="J688" s="20" t="s">
        <v>15</v>
      </c>
    </row>
    <row r="689" spans="1:10" ht="12.75">
      <c r="A689" s="5" t="str">
        <f>HYPERLINK("https://www.dndbeyond.com/magic-items/spell-bottle", "Spell Bottle")</f>
        <v>Spell Bottle</v>
      </c>
      <c r="B689" s="6"/>
      <c r="C689" s="14">
        <v>75000</v>
      </c>
      <c r="D689" s="8" t="str">
        <f>VLOOKUP(F689,'Price Ranges'!$A$2:$B$8,2, FALSE)</f>
        <v>50001+</v>
      </c>
      <c r="E689" s="8" t="str">
        <f>VLOOKUP(F689,'Price Ranges'!$A$2:$C$8,3, FALSE)</f>
        <v>50000-300000</v>
      </c>
      <c r="F689" s="9" t="s">
        <v>31</v>
      </c>
      <c r="G689" s="9" t="s">
        <v>17</v>
      </c>
      <c r="H689" s="12">
        <v>269</v>
      </c>
      <c r="I689" s="9" t="s">
        <v>29</v>
      </c>
      <c r="J689" s="13" t="s">
        <v>15</v>
      </c>
    </row>
    <row r="690" spans="1:10" ht="12.75">
      <c r="A690" s="24" t="str">
        <f>HYPERLINK("https://www.dndbeyond.com/magic-items/spell-gem-amber", "Spell Gem (Amber, Level 4)")</f>
        <v>Spell Gem (Amber, Level 4)</v>
      </c>
      <c r="B690" s="6"/>
      <c r="C690" s="21">
        <v>8000</v>
      </c>
      <c r="D690" s="18" t="str">
        <f>VLOOKUP(F690,'Price Ranges'!$A$2:$B$8,2, FALSE)</f>
        <v>5001-50000</v>
      </c>
      <c r="E690" s="8" t="str">
        <f>VLOOKUP(F690,'Price Ranges'!$A$2:$C$8,3, FALSE)</f>
        <v>20000-50000</v>
      </c>
      <c r="F690" s="18" t="s">
        <v>10</v>
      </c>
      <c r="G690" s="18" t="s">
        <v>65</v>
      </c>
      <c r="H690" s="19">
        <v>223</v>
      </c>
      <c r="I690" s="18" t="s">
        <v>75</v>
      </c>
      <c r="J690" s="20" t="s">
        <v>15</v>
      </c>
    </row>
    <row r="691" spans="1:10" ht="12.75">
      <c r="A691" s="24" t="str">
        <f>HYPERLINK("https://www.dndbeyond.com/magic-items/spell-gem-bloodstone", "Spell Gem (Bloodstone, Level 3)")</f>
        <v>Spell Gem (Bloodstone, Level 3)</v>
      </c>
      <c r="B691" s="6"/>
      <c r="C691" s="21">
        <v>4000</v>
      </c>
      <c r="D691" s="18" t="str">
        <f>VLOOKUP(F691,'Price Ranges'!$A$2:$B$8,2, FALSE)</f>
        <v>501-5000</v>
      </c>
      <c r="E691" s="8" t="str">
        <f>VLOOKUP(F691,'Price Ranges'!$A$2:$C$8,3, FALSE)</f>
        <v>2000-20000</v>
      </c>
      <c r="F691" s="18" t="s">
        <v>16</v>
      </c>
      <c r="G691" s="18" t="s">
        <v>65</v>
      </c>
      <c r="H691" s="19">
        <v>223</v>
      </c>
      <c r="I691" s="18" t="s">
        <v>75</v>
      </c>
      <c r="J691" s="20" t="s">
        <v>15</v>
      </c>
    </row>
    <row r="692" spans="1:10" ht="12.75">
      <c r="A692" s="24" t="str">
        <f>HYPERLINK("https://www.dndbeyond.com/magic-items/spell-gem-diamond", "Spell Gem (Diamond, Level 9)")</f>
        <v>Spell Gem (Diamond, Level 9)</v>
      </c>
      <c r="B692" s="6"/>
      <c r="C692" s="21">
        <v>78000</v>
      </c>
      <c r="D692" s="18" t="str">
        <f>VLOOKUP(F692,'Price Ranges'!$A$2:$B$8,2, FALSE)</f>
        <v>50001+</v>
      </c>
      <c r="E692" s="8" t="str">
        <f>VLOOKUP(F692,'Price Ranges'!$A$2:$C$8,3, FALSE)</f>
        <v>50000-300000</v>
      </c>
      <c r="F692" s="18" t="s">
        <v>31</v>
      </c>
      <c r="G692" s="18" t="s">
        <v>65</v>
      </c>
      <c r="H692" s="19">
        <v>223</v>
      </c>
      <c r="I692" s="18" t="s">
        <v>75</v>
      </c>
      <c r="J692" s="20" t="s">
        <v>15</v>
      </c>
    </row>
    <row r="693" spans="1:10" ht="12.75">
      <c r="A693" s="24" t="str">
        <f>HYPERLINK("https://www.dndbeyond.com/magic-items/spell-gem-jade", "Spell Gem (Jade, Level 5)")</f>
        <v>Spell Gem (Jade, Level 5)</v>
      </c>
      <c r="B693" s="6"/>
      <c r="C693" s="21">
        <v>15000</v>
      </c>
      <c r="D693" s="18" t="str">
        <f>VLOOKUP(F693,'Price Ranges'!$A$2:$B$8,2, FALSE)</f>
        <v>5001-50000</v>
      </c>
      <c r="E693" s="8" t="str">
        <f>VLOOKUP(F693,'Price Ranges'!$A$2:$C$8,3, FALSE)</f>
        <v>20000-50000</v>
      </c>
      <c r="F693" s="18" t="s">
        <v>10</v>
      </c>
      <c r="G693" s="18" t="s">
        <v>65</v>
      </c>
      <c r="H693" s="19">
        <v>223</v>
      </c>
      <c r="I693" s="18" t="s">
        <v>75</v>
      </c>
      <c r="J693" s="20" t="s">
        <v>15</v>
      </c>
    </row>
    <row r="694" spans="1:10" ht="12.75">
      <c r="A694" s="24" t="str">
        <f>HYPERLINK("https://www.dndbeyond.com/magic-items/spell-gem-lapis-lazuli", "Spell Gem (Lapis Lazuli, Level 1)")</f>
        <v>Spell Gem (Lapis Lazuli, Level 1)</v>
      </c>
      <c r="B694" s="6"/>
      <c r="C694" s="21">
        <v>350</v>
      </c>
      <c r="D694" s="18" t="str">
        <f>VLOOKUP(F694,'Price Ranges'!$A$2:$B$8,2, FALSE)</f>
        <v>101-500</v>
      </c>
      <c r="E694" s="8" t="str">
        <f>VLOOKUP(F694,'Price Ranges'!$A$2:$C$8,3, FALSE)</f>
        <v>100-600</v>
      </c>
      <c r="F694" s="18" t="s">
        <v>19</v>
      </c>
      <c r="G694" s="18" t="s">
        <v>65</v>
      </c>
      <c r="H694" s="19">
        <v>223</v>
      </c>
      <c r="I694" s="18" t="s">
        <v>75</v>
      </c>
      <c r="J694" s="20" t="s">
        <v>15</v>
      </c>
    </row>
    <row r="695" spans="1:10" ht="12.75">
      <c r="A695" s="24" t="str">
        <f>HYPERLINK("https://www.dndbeyond.com/magic-items/spell-gem-obsidian", "Spell Gem (Obsidian, Level 0)")</f>
        <v>Spell Gem (Obsidian, Level 0)</v>
      </c>
      <c r="B695" s="6"/>
      <c r="C695" s="21">
        <v>150</v>
      </c>
      <c r="D695" s="18" t="str">
        <f>VLOOKUP(F695,'Price Ranges'!$A$2:$B$8,2, FALSE)</f>
        <v>101-500</v>
      </c>
      <c r="E695" s="8" t="str">
        <f>VLOOKUP(F695,'Price Ranges'!$A$2:$C$8,3, FALSE)</f>
        <v>100-600</v>
      </c>
      <c r="F695" s="18" t="s">
        <v>19</v>
      </c>
      <c r="G695" s="18" t="s">
        <v>65</v>
      </c>
      <c r="H695" s="19">
        <v>223</v>
      </c>
      <c r="I695" s="18" t="s">
        <v>75</v>
      </c>
      <c r="J695" s="20" t="s">
        <v>15</v>
      </c>
    </row>
    <row r="696" spans="1:10" ht="12.75">
      <c r="A696" s="24" t="str">
        <f>HYPERLINK("https://www.dndbeyond.com/magic-items/spell-gem-quartz", "Spell Gem (Quartz ,Level 2)")</f>
        <v>Spell Gem (Quartz ,Level 2)</v>
      </c>
      <c r="B696" s="6"/>
      <c r="C696" s="21">
        <v>1500</v>
      </c>
      <c r="D696" s="18" t="str">
        <f>VLOOKUP(F696,'Price Ranges'!$A$2:$B$8,2, FALSE)</f>
        <v>501-5000</v>
      </c>
      <c r="E696" s="8" t="str">
        <f>VLOOKUP(F696,'Price Ranges'!$A$2:$C$8,3, FALSE)</f>
        <v>2000-20000</v>
      </c>
      <c r="F696" s="18" t="s">
        <v>16</v>
      </c>
      <c r="G696" s="18" t="s">
        <v>65</v>
      </c>
      <c r="H696" s="19">
        <v>223</v>
      </c>
      <c r="I696" s="18" t="s">
        <v>75</v>
      </c>
      <c r="J696" s="20" t="s">
        <v>15</v>
      </c>
    </row>
    <row r="697" spans="1:10" ht="12.75">
      <c r="A697" s="24" t="str">
        <f>HYPERLINK("https://www.dndbeyond.com/magic-items/spell-gem-ruby", "Spell Gem (Ruby, Level 8)")</f>
        <v>Spell Gem (Ruby, Level 8)</v>
      </c>
      <c r="B697" s="6"/>
      <c r="C697" s="21">
        <v>51000</v>
      </c>
      <c r="D697" s="18" t="str">
        <f>VLOOKUP(F697,'Price Ranges'!$A$2:$B$8,2, FALSE)</f>
        <v>50001+</v>
      </c>
      <c r="E697" s="8" t="str">
        <f>VLOOKUP(F697,'Price Ranges'!$A$2:$C$8,3, FALSE)</f>
        <v>50000-300000</v>
      </c>
      <c r="F697" s="18" t="s">
        <v>31</v>
      </c>
      <c r="G697" s="18" t="s">
        <v>65</v>
      </c>
      <c r="H697" s="19">
        <v>223</v>
      </c>
      <c r="I697" s="18" t="s">
        <v>75</v>
      </c>
      <c r="J697" s="20" t="s">
        <v>15</v>
      </c>
    </row>
    <row r="698" spans="1:10" ht="12.75">
      <c r="A698" s="24" t="str">
        <f>HYPERLINK("https://www.dndbeyond.com/magic-items/spell-gem-star-ruby", "Spell Gem (Star Ruby, Level 7)")</f>
        <v>Spell Gem (Star Ruby, Level 7)</v>
      </c>
      <c r="B698" s="6"/>
      <c r="C698" s="21">
        <v>35000</v>
      </c>
      <c r="D698" s="18" t="str">
        <f>VLOOKUP(F698,'Price Ranges'!$A$2:$B$8,2, FALSE)</f>
        <v>50001+</v>
      </c>
      <c r="E698" s="8" t="str">
        <f>VLOOKUP(F698,'Price Ranges'!$A$2:$C$8,3, FALSE)</f>
        <v>50000-300000</v>
      </c>
      <c r="F698" s="18" t="s">
        <v>31</v>
      </c>
      <c r="G698" s="18" t="s">
        <v>65</v>
      </c>
      <c r="H698" s="19">
        <v>223</v>
      </c>
      <c r="I698" s="18" t="s">
        <v>75</v>
      </c>
      <c r="J698" s="20" t="s">
        <v>15</v>
      </c>
    </row>
    <row r="699" spans="1:10" ht="12.75">
      <c r="A699" s="24" t="str">
        <f>HYPERLINK("https://www.dndbeyond.com/magic-items/spell-gem-topaz", "Spell Gem (Topaz, Level 6)")</f>
        <v>Spell Gem (Topaz, Level 6)</v>
      </c>
      <c r="B699" s="6"/>
      <c r="C699" s="21">
        <v>20000</v>
      </c>
      <c r="D699" s="18" t="str">
        <f>VLOOKUP(F699,'Price Ranges'!$A$2:$B$8,2, FALSE)</f>
        <v>5001-50000</v>
      </c>
      <c r="E699" s="8" t="str">
        <f>VLOOKUP(F699,'Price Ranges'!$A$2:$C$8,3, FALSE)</f>
        <v>20000-50000</v>
      </c>
      <c r="F699" s="18" t="s">
        <v>10</v>
      </c>
      <c r="G699" s="18" t="s">
        <v>65</v>
      </c>
      <c r="H699" s="19">
        <v>223</v>
      </c>
      <c r="I699" s="18" t="s">
        <v>75</v>
      </c>
      <c r="J699" s="20" t="s">
        <v>15</v>
      </c>
    </row>
    <row r="700" spans="1:10" ht="12.75">
      <c r="A700" s="24" t="str">
        <f>HYPERLINK("https://www.dndbeyond.com/magic-items/spell-scroll", "Spell Scroll (Level 0)")</f>
        <v>Spell Scroll (Level 0)</v>
      </c>
      <c r="B700" s="16">
        <v>10</v>
      </c>
      <c r="C700" s="21">
        <v>15</v>
      </c>
      <c r="D700" s="18" t="str">
        <f>VLOOKUP(F700,'Price Ranges'!$A$2:$B$8,2, FALSE)</f>
        <v>50-100</v>
      </c>
      <c r="E700" s="8" t="str">
        <f>VLOOKUP(F700,'Price Ranges'!$A$2:$C$8,3, FALSE)</f>
        <v>20-70</v>
      </c>
      <c r="F700" s="18" t="s">
        <v>35</v>
      </c>
      <c r="G700" s="18" t="s">
        <v>20</v>
      </c>
      <c r="H700" s="19">
        <v>200</v>
      </c>
      <c r="I700" s="18" t="s">
        <v>74</v>
      </c>
      <c r="J700" s="20" t="s">
        <v>13</v>
      </c>
    </row>
    <row r="701" spans="1:10" ht="12.75">
      <c r="A701" s="24" t="str">
        <f>HYPERLINK("https://www.dndbeyond.com/magic-items/spell-scroll", "Spell Scroll (Level 1)")</f>
        <v>Spell Scroll (Level 1)</v>
      </c>
      <c r="B701" s="16">
        <v>60</v>
      </c>
      <c r="C701" s="21">
        <v>25</v>
      </c>
      <c r="D701" s="18" t="str">
        <f>VLOOKUP(F701,'Price Ranges'!$A$2:$B$8,2, FALSE)</f>
        <v>50-100</v>
      </c>
      <c r="E701" s="8" t="str">
        <f>VLOOKUP(F701,'Price Ranges'!$A$2:$C$8,3, FALSE)</f>
        <v>20-70</v>
      </c>
      <c r="F701" s="18" t="s">
        <v>35</v>
      </c>
      <c r="G701" s="18" t="s">
        <v>20</v>
      </c>
      <c r="H701" s="19">
        <v>200</v>
      </c>
      <c r="I701" s="18" t="s">
        <v>74</v>
      </c>
      <c r="J701" s="20" t="s">
        <v>13</v>
      </c>
    </row>
    <row r="702" spans="1:10" ht="12.75">
      <c r="A702" s="24" t="str">
        <f>HYPERLINK("https://www.dndbeyond.com/magic-items/spell-scroll", "Spell Scroll (Level 2)")</f>
        <v>Spell Scroll (Level 2)</v>
      </c>
      <c r="B702" s="16">
        <v>120</v>
      </c>
      <c r="C702" s="21">
        <v>150</v>
      </c>
      <c r="D702" s="18" t="str">
        <f>VLOOKUP(F702,'Price Ranges'!$A$2:$B$8,2, FALSE)</f>
        <v>101-500</v>
      </c>
      <c r="E702" s="8" t="str">
        <f>VLOOKUP(F702,'Price Ranges'!$A$2:$C$8,3, FALSE)</f>
        <v>100-600</v>
      </c>
      <c r="F702" s="18" t="s">
        <v>19</v>
      </c>
      <c r="G702" s="18" t="s">
        <v>20</v>
      </c>
      <c r="H702" s="19">
        <v>200</v>
      </c>
      <c r="I702" s="18" t="s">
        <v>74</v>
      </c>
      <c r="J702" s="20" t="s">
        <v>13</v>
      </c>
    </row>
    <row r="703" spans="1:10" ht="12.75">
      <c r="A703" s="24" t="str">
        <f>HYPERLINK("https://www.dndbeyond.com/magic-items/spell-scroll", "Spell Scroll (Level 3)")</f>
        <v>Spell Scroll (Level 3)</v>
      </c>
      <c r="B703" s="16">
        <v>200</v>
      </c>
      <c r="C703" s="21">
        <v>400</v>
      </c>
      <c r="D703" s="18" t="str">
        <f>VLOOKUP(F703,'Price Ranges'!$A$2:$B$8,2, FALSE)</f>
        <v>101-500</v>
      </c>
      <c r="E703" s="8" t="str">
        <f>VLOOKUP(F703,'Price Ranges'!$A$2:$C$8,3, FALSE)</f>
        <v>100-600</v>
      </c>
      <c r="F703" s="18" t="s">
        <v>19</v>
      </c>
      <c r="G703" s="18" t="s">
        <v>20</v>
      </c>
      <c r="H703" s="19">
        <v>200</v>
      </c>
      <c r="I703" s="18" t="s">
        <v>74</v>
      </c>
      <c r="J703" s="20" t="s">
        <v>13</v>
      </c>
    </row>
    <row r="704" spans="1:10" ht="12.75">
      <c r="A704" s="24" t="str">
        <f>HYPERLINK("https://www.dndbeyond.com/magic-items/spell-scroll", "Spell Scroll (Level 4)")</f>
        <v>Spell Scroll (Level 4)</v>
      </c>
      <c r="B704" s="16">
        <v>320</v>
      </c>
      <c r="C704" s="21">
        <v>800</v>
      </c>
      <c r="D704" s="18" t="str">
        <f>VLOOKUP(F704,'Price Ranges'!$A$2:$B$8,2, FALSE)</f>
        <v>501-5000</v>
      </c>
      <c r="E704" s="8" t="str">
        <f>VLOOKUP(F704,'Price Ranges'!$A$2:$C$8,3, FALSE)</f>
        <v>2000-20000</v>
      </c>
      <c r="F704" s="18" t="s">
        <v>16</v>
      </c>
      <c r="G704" s="18" t="s">
        <v>20</v>
      </c>
      <c r="H704" s="19">
        <v>200</v>
      </c>
      <c r="I704" s="18" t="s">
        <v>74</v>
      </c>
      <c r="J704" s="20" t="s">
        <v>13</v>
      </c>
    </row>
    <row r="705" spans="1:10" ht="12.75">
      <c r="A705" s="24" t="str">
        <f>HYPERLINK("https://www.dndbeyond.com/magic-items/spell-scroll", "Spell Scroll (Level 5)")</f>
        <v>Spell Scroll (Level 5)</v>
      </c>
      <c r="B705" s="16">
        <v>640</v>
      </c>
      <c r="C705" s="21">
        <v>1500</v>
      </c>
      <c r="D705" s="18" t="str">
        <f>VLOOKUP(F705,'Price Ranges'!$A$2:$B$8,2, FALSE)</f>
        <v>501-5000</v>
      </c>
      <c r="E705" s="8" t="str">
        <f>VLOOKUP(F705,'Price Ranges'!$A$2:$C$8,3, FALSE)</f>
        <v>2000-20000</v>
      </c>
      <c r="F705" s="18" t="s">
        <v>16</v>
      </c>
      <c r="G705" s="18" t="s">
        <v>20</v>
      </c>
      <c r="H705" s="19">
        <v>200</v>
      </c>
      <c r="I705" s="18" t="s">
        <v>74</v>
      </c>
      <c r="J705" s="20" t="s">
        <v>13</v>
      </c>
    </row>
    <row r="706" spans="1:10" ht="12.75">
      <c r="A706" s="24" t="str">
        <f>HYPERLINK("https://www.dndbeyond.com/magic-items/spell-scroll", "Spell Scroll (Level 6)")</f>
        <v>Spell Scroll (Level 6)</v>
      </c>
      <c r="B706" s="16">
        <v>1280</v>
      </c>
      <c r="C706" s="21">
        <v>2000</v>
      </c>
      <c r="D706" s="18" t="str">
        <f>VLOOKUP(F706,'Price Ranges'!$A$2:$B$8,2, FALSE)</f>
        <v>5001-50000</v>
      </c>
      <c r="E706" s="8" t="str">
        <f>VLOOKUP(F706,'Price Ranges'!$A$2:$C$8,3, FALSE)</f>
        <v>20000-50000</v>
      </c>
      <c r="F706" s="18" t="s">
        <v>10</v>
      </c>
      <c r="G706" s="18" t="s">
        <v>20</v>
      </c>
      <c r="H706" s="19">
        <v>200</v>
      </c>
      <c r="I706" s="18" t="s">
        <v>74</v>
      </c>
      <c r="J706" s="20" t="s">
        <v>13</v>
      </c>
    </row>
    <row r="707" spans="1:10" ht="12.75">
      <c r="A707" s="24" t="str">
        <f>HYPERLINK("https://www.dndbeyond.com/magic-items/spell-scroll", "Spell Scroll (Level 7)")</f>
        <v>Spell Scroll (Level 7)</v>
      </c>
      <c r="B707" s="16">
        <v>2560</v>
      </c>
      <c r="C707" s="21">
        <v>3500</v>
      </c>
      <c r="D707" s="18" t="str">
        <f>VLOOKUP(F707,'Price Ranges'!$A$2:$B$8,2, FALSE)</f>
        <v>5001-50000</v>
      </c>
      <c r="E707" s="8" t="str">
        <f>VLOOKUP(F707,'Price Ranges'!$A$2:$C$8,3, FALSE)</f>
        <v>20000-50000</v>
      </c>
      <c r="F707" s="18" t="s">
        <v>10</v>
      </c>
      <c r="G707" s="18" t="s">
        <v>20</v>
      </c>
      <c r="H707" s="19">
        <v>200</v>
      </c>
      <c r="I707" s="18" t="s">
        <v>74</v>
      </c>
      <c r="J707" s="20" t="s">
        <v>13</v>
      </c>
    </row>
    <row r="708" spans="1:10" ht="12.75">
      <c r="A708" s="24" t="str">
        <f>HYPERLINK("https://www.dndbeyond.com/magic-items/spell-scroll", "Spell Scroll (Level 8)")</f>
        <v>Spell Scroll (Level 8)</v>
      </c>
      <c r="B708" s="16">
        <v>5120</v>
      </c>
      <c r="C708" s="21">
        <v>5000</v>
      </c>
      <c r="D708" s="18" t="str">
        <f>VLOOKUP(F708,'Price Ranges'!$A$2:$B$8,2, FALSE)</f>
        <v>5001-50000</v>
      </c>
      <c r="E708" s="8" t="str">
        <f>VLOOKUP(F708,'Price Ranges'!$A$2:$C$8,3, FALSE)</f>
        <v>20000-50000</v>
      </c>
      <c r="F708" s="18" t="s">
        <v>10</v>
      </c>
      <c r="G708" s="18" t="s">
        <v>20</v>
      </c>
      <c r="H708" s="19">
        <v>200</v>
      </c>
      <c r="I708" s="18" t="s">
        <v>74</v>
      </c>
      <c r="J708" s="20" t="s">
        <v>13</v>
      </c>
    </row>
    <row r="709" spans="1:10" ht="12.75">
      <c r="A709" s="24" t="str">
        <f>HYPERLINK("https://www.dndbeyond.com/magic-items/spell-scroll", "Spell Scroll (Level 9)")</f>
        <v>Spell Scroll (Level 9)</v>
      </c>
      <c r="B709" s="16">
        <v>10240</v>
      </c>
      <c r="C709" s="21">
        <v>20000</v>
      </c>
      <c r="D709" s="18" t="str">
        <f>VLOOKUP(F709,'Price Ranges'!$A$2:$B$8,2, FALSE)</f>
        <v>50001+</v>
      </c>
      <c r="E709" s="8" t="str">
        <f>VLOOKUP(F709,'Price Ranges'!$A$2:$C$8,3, FALSE)</f>
        <v>50000-300000</v>
      </c>
      <c r="F709" s="18" t="s">
        <v>31</v>
      </c>
      <c r="G709" s="18" t="s">
        <v>20</v>
      </c>
      <c r="H709" s="19">
        <v>200</v>
      </c>
      <c r="I709" s="18" t="s">
        <v>74</v>
      </c>
      <c r="J709" s="20" t="s">
        <v>13</v>
      </c>
    </row>
    <row r="710" spans="1:10" ht="12.75">
      <c r="A710" s="24" t="str">
        <f t="shared" ref="A710:A711" si="22">HYPERLINK("https://www.dndbeyond.com/magic-items/spell-sink", "Spell Sink")</f>
        <v>Spell Sink</v>
      </c>
      <c r="B710" s="6"/>
      <c r="C710" s="7"/>
      <c r="D710" s="18" t="str">
        <f>VLOOKUP(F710,'Price Ranges'!$A$2:$B$8,2, FALSE)</f>
        <v>50001+</v>
      </c>
      <c r="E710" s="8" t="str">
        <f>VLOOKUP(F710,'Price Ranges'!$A$2:$C$8,3, FALSE)</f>
        <v>50000-300000</v>
      </c>
      <c r="F710" s="18" t="s">
        <v>31</v>
      </c>
      <c r="G710" s="18" t="s">
        <v>36</v>
      </c>
      <c r="H710" s="18"/>
      <c r="I710" s="18" t="s">
        <v>12</v>
      </c>
      <c r="J710" s="20" t="s">
        <v>13</v>
      </c>
    </row>
    <row r="711" spans="1:10" ht="12.75">
      <c r="A711" s="5" t="str">
        <f t="shared" si="22"/>
        <v>Spell Sink</v>
      </c>
      <c r="B711" s="6"/>
      <c r="C711" s="7"/>
      <c r="D711" s="8" t="str">
        <f>VLOOKUP(F711,'Price Ranges'!$A$2:$B$8,2, FALSE)</f>
        <v>50001+</v>
      </c>
      <c r="E711" s="8" t="str">
        <f>VLOOKUP(F711,'Price Ranges'!$A$2:$C$8,3, FALSE)</f>
        <v>50000-300000</v>
      </c>
      <c r="F711" s="9" t="s">
        <v>31</v>
      </c>
      <c r="G711" s="9" t="s">
        <v>33</v>
      </c>
      <c r="H711" s="10"/>
      <c r="I711" s="9" t="s">
        <v>12</v>
      </c>
      <c r="J711" s="13" t="s">
        <v>13</v>
      </c>
    </row>
    <row r="712" spans="1:10" ht="12.75">
      <c r="A712" s="24" t="str">
        <f>HYPERLINK("https://www.dndbeyond.com/magic-items/spellguard-shield", "Spellguard Shield")</f>
        <v>Spellguard Shield</v>
      </c>
      <c r="B712" s="16">
        <v>50000</v>
      </c>
      <c r="C712" s="21">
        <v>36000</v>
      </c>
      <c r="D712" s="18" t="str">
        <f>VLOOKUP(F712,'Price Ranges'!$A$2:$B$8,2, FALSE)</f>
        <v>5001-50000</v>
      </c>
      <c r="E712" s="8" t="str">
        <f>VLOOKUP(F712,'Price Ranges'!$A$2:$C$8,3, FALSE)</f>
        <v>20000-50000</v>
      </c>
      <c r="F712" s="18" t="s">
        <v>10</v>
      </c>
      <c r="G712" s="18" t="s">
        <v>20</v>
      </c>
      <c r="H712" s="19">
        <v>201</v>
      </c>
      <c r="I712" s="18" t="s">
        <v>30</v>
      </c>
      <c r="J712" s="20" t="s">
        <v>15</v>
      </c>
    </row>
    <row r="713" spans="1:10" ht="12.75">
      <c r="A713" s="24" t="str">
        <f t="shared" ref="A713:A714" si="23">HYPERLINK("https://www.dndbeyond.com/magic-items/spellshard", "Spellshard")</f>
        <v>Spellshard</v>
      </c>
      <c r="B713" s="6"/>
      <c r="C713" s="14">
        <v>100</v>
      </c>
      <c r="D713" s="18" t="str">
        <f>VLOOKUP(F713,'Price Ranges'!$A$2:$B$8,2, FALSE)</f>
        <v>50-100</v>
      </c>
      <c r="E713" s="8" t="str">
        <f>VLOOKUP(F713,'Price Ranges'!$A$2:$C$8,3, FALSE)</f>
        <v>20-70</v>
      </c>
      <c r="F713" s="18" t="s">
        <v>35</v>
      </c>
      <c r="G713" s="18" t="s">
        <v>36</v>
      </c>
      <c r="H713" s="18"/>
      <c r="I713" s="18" t="s">
        <v>12</v>
      </c>
      <c r="J713" s="20" t="s">
        <v>13</v>
      </c>
    </row>
    <row r="714" spans="1:10" ht="12.75">
      <c r="A714" s="5" t="str">
        <f t="shared" si="23"/>
        <v>Spellshard</v>
      </c>
      <c r="B714" s="6"/>
      <c r="C714" s="14">
        <v>100</v>
      </c>
      <c r="D714" s="8" t="str">
        <f>VLOOKUP(F714,'Price Ranges'!$A$2:$B$8,2, FALSE)</f>
        <v>50-100</v>
      </c>
      <c r="E714" s="8" t="str">
        <f>VLOOKUP(F714,'Price Ranges'!$A$2:$C$8,3, FALSE)</f>
        <v>20-70</v>
      </c>
      <c r="F714" s="9" t="s">
        <v>35</v>
      </c>
      <c r="G714" s="9" t="s">
        <v>33</v>
      </c>
      <c r="H714" s="10"/>
      <c r="I714" s="9" t="s">
        <v>12</v>
      </c>
      <c r="J714" s="13" t="s">
        <v>13</v>
      </c>
    </row>
    <row r="715" spans="1:10" ht="12.75">
      <c r="A715" s="5" t="str">
        <f>HYPERLINK("https://www.dndbeyond.com/magic-items/spellwrought-tattoo", "Spellwrought Tattoo")</f>
        <v>Spellwrought Tattoo</v>
      </c>
      <c r="B715" s="6"/>
      <c r="C715" s="7"/>
      <c r="D715" s="8" t="str">
        <f>VLOOKUP(F715,'Price Ranges'!$A$2:$B$8,2, FALSE)</f>
        <v>Varies</v>
      </c>
      <c r="E715" s="8" t="str">
        <f>VLOOKUP(F715,'Price Ranges'!$A$2:$C$8,3, FALSE)</f>
        <v>Varies</v>
      </c>
      <c r="F715" s="12" t="s">
        <v>24</v>
      </c>
      <c r="G715" s="12" t="s">
        <v>14</v>
      </c>
      <c r="H715" s="10"/>
      <c r="I715" s="8" t="s">
        <v>12</v>
      </c>
      <c r="J715" s="13" t="s">
        <v>13</v>
      </c>
    </row>
    <row r="716" spans="1:10" ht="12.75">
      <c r="A716" s="24" t="str">
        <f>HYPERLINK("https://www.dndbeyond.com/magic-items/sphere-of-annihilation", "Sphere Of Annihilation")</f>
        <v>Sphere Of Annihilation</v>
      </c>
      <c r="B716" s="16">
        <v>15000</v>
      </c>
      <c r="C716" s="21">
        <v>200000</v>
      </c>
      <c r="D716" s="18" t="str">
        <f>VLOOKUP(F716,'Price Ranges'!$A$2:$B$8,2, FALSE)</f>
        <v>50001+</v>
      </c>
      <c r="E716" s="8" t="str">
        <f>VLOOKUP(F716,'Price Ranges'!$A$2:$C$8,3, FALSE)</f>
        <v>50000-300000</v>
      </c>
      <c r="F716" s="18" t="s">
        <v>31</v>
      </c>
      <c r="G716" s="18" t="s">
        <v>20</v>
      </c>
      <c r="H716" s="19">
        <v>201</v>
      </c>
      <c r="I716" s="18" t="s">
        <v>12</v>
      </c>
      <c r="J716" s="20" t="s">
        <v>13</v>
      </c>
    </row>
    <row r="717" spans="1:10" ht="12.75">
      <c r="A717" s="24" t="str">
        <f>HYPERLINK("https://www.dndbeyond.com/magic-items/spider-staff", "Spider Staff")</f>
        <v>Spider Staff</v>
      </c>
      <c r="B717" s="6"/>
      <c r="C717" s="22">
        <v>1750</v>
      </c>
      <c r="D717" s="18" t="str">
        <f>VLOOKUP(F717,'Price Ranges'!$A$2:$B$8,2, FALSE)</f>
        <v>501-5000</v>
      </c>
      <c r="E717" s="8" t="str">
        <f>VLOOKUP(F717,'Price Ranges'!$A$2:$C$8,3, FALSE)</f>
        <v>2000-20000</v>
      </c>
      <c r="F717" s="18" t="s">
        <v>16</v>
      </c>
      <c r="G717" s="18" t="s">
        <v>66</v>
      </c>
      <c r="H717" s="23">
        <v>53</v>
      </c>
      <c r="I717" s="18" t="s">
        <v>49</v>
      </c>
      <c r="J717" s="20" t="s">
        <v>15</v>
      </c>
    </row>
    <row r="718" spans="1:10" ht="12.75">
      <c r="A718" s="24" t="str">
        <f>HYPERLINK("https://www.dndbeyond.com/magic-items/spies-murmur", "Spies' Murmur")</f>
        <v>Spies' Murmur</v>
      </c>
      <c r="B718" s="6"/>
      <c r="C718" s="22">
        <v>475</v>
      </c>
      <c r="D718" s="18" t="str">
        <f>VLOOKUP(F718,'Price Ranges'!$A$2:$B$8,2, FALSE)</f>
        <v>101-500</v>
      </c>
      <c r="E718" s="8" t="str">
        <f>VLOOKUP(F718,'Price Ranges'!$A$2:$C$8,3, FALSE)</f>
        <v>100-600</v>
      </c>
      <c r="F718" s="18" t="s">
        <v>19</v>
      </c>
      <c r="G718" s="18" t="s">
        <v>69</v>
      </c>
      <c r="H718" s="23">
        <v>181</v>
      </c>
      <c r="I718" s="18" t="s">
        <v>58</v>
      </c>
      <c r="J718" s="20" t="s">
        <v>15</v>
      </c>
    </row>
    <row r="719" spans="1:10" ht="12.75">
      <c r="A719" s="24" t="str">
        <f>HYPERLINK("https://www.dndbeyond.com/magic-items/spyglass-of-clairvoyance", "Spyglass Of Clairvoyance")</f>
        <v>Spyglass Of Clairvoyance</v>
      </c>
      <c r="B719" s="6"/>
      <c r="C719" s="7"/>
      <c r="D719" s="18" t="str">
        <f>VLOOKUP(F719,'Price Ranges'!$A$2:$B$8,2, FALSE)</f>
        <v>50-100</v>
      </c>
      <c r="E719" s="8" t="str">
        <f>VLOOKUP(F719,'Price Ranges'!$A$2:$C$8,3, FALSE)</f>
        <v>20-70</v>
      </c>
      <c r="F719" s="18" t="s">
        <v>35</v>
      </c>
      <c r="G719" s="18" t="s">
        <v>60</v>
      </c>
      <c r="H719" s="18"/>
      <c r="I719" s="18" t="s">
        <v>12</v>
      </c>
      <c r="J719" s="20" t="s">
        <v>13</v>
      </c>
    </row>
    <row r="720" spans="1:10" ht="12.75">
      <c r="A720" s="24" t="str">
        <f>HYPERLINK("https://www.dndbeyond.com/magic-items/staff-of-adornment", "Staff Of Adornment")</f>
        <v>Staff Of Adornment</v>
      </c>
      <c r="B720" s="6"/>
      <c r="C720" s="22">
        <v>50</v>
      </c>
      <c r="D720" s="18" t="str">
        <f>VLOOKUP(F720,'Price Ranges'!$A$2:$B$8,2, FALSE)</f>
        <v>50-100</v>
      </c>
      <c r="E720" s="8" t="str">
        <f>VLOOKUP(F720,'Price Ranges'!$A$2:$C$8,3, FALSE)</f>
        <v>20-70</v>
      </c>
      <c r="F720" s="18" t="s">
        <v>35</v>
      </c>
      <c r="G720" s="18" t="s">
        <v>37</v>
      </c>
      <c r="H720" s="19">
        <v>139</v>
      </c>
      <c r="I720" s="18" t="s">
        <v>49</v>
      </c>
      <c r="J720" s="20" t="s">
        <v>13</v>
      </c>
    </row>
    <row r="721" spans="1:10" ht="12.75">
      <c r="A721" s="24" t="str">
        <f>HYPERLINK("https://www.dndbeyond.com/magic-items/staff-of-birdcalls", "Staff Of Birdcalls")</f>
        <v>Staff Of Birdcalls</v>
      </c>
      <c r="B721" s="6"/>
      <c r="C721" s="22">
        <v>70</v>
      </c>
      <c r="D721" s="18" t="str">
        <f>VLOOKUP(F721,'Price Ranges'!$A$2:$B$8,2, FALSE)</f>
        <v>50-100</v>
      </c>
      <c r="E721" s="8" t="str">
        <f>VLOOKUP(F721,'Price Ranges'!$A$2:$C$8,3, FALSE)</f>
        <v>20-70</v>
      </c>
      <c r="F721" s="18" t="s">
        <v>35</v>
      </c>
      <c r="G721" s="18" t="s">
        <v>37</v>
      </c>
      <c r="H721" s="19">
        <v>139</v>
      </c>
      <c r="I721" s="18" t="s">
        <v>49</v>
      </c>
      <c r="J721" s="20" t="s">
        <v>13</v>
      </c>
    </row>
    <row r="722" spans="1:10" ht="12.75">
      <c r="A722" s="24" t="str">
        <f>HYPERLINK("https://www.dndbeyond.com/magic-items/staff-of-charming", "Staff Of Charming")</f>
        <v>Staff Of Charming</v>
      </c>
      <c r="B722" s="16">
        <v>12000</v>
      </c>
      <c r="C722" s="21">
        <v>1750</v>
      </c>
      <c r="D722" s="18" t="str">
        <f>VLOOKUP(F722,'Price Ranges'!$A$2:$B$8,2, FALSE)</f>
        <v>501-5000</v>
      </c>
      <c r="E722" s="8" t="str">
        <f>VLOOKUP(F722,'Price Ranges'!$A$2:$C$8,3, FALSE)</f>
        <v>2000-20000</v>
      </c>
      <c r="F722" s="18" t="s">
        <v>16</v>
      </c>
      <c r="G722" s="18" t="s">
        <v>20</v>
      </c>
      <c r="H722" s="19">
        <v>201</v>
      </c>
      <c r="I722" s="18" t="s">
        <v>49</v>
      </c>
      <c r="J722" s="20" t="s">
        <v>15</v>
      </c>
    </row>
    <row r="723" spans="1:10" ht="12.75">
      <c r="A723" s="24" t="str">
        <f>HYPERLINK("https://www.dndbeyond.com/magic-items/staff-of-defense", "Staff Of Defense")</f>
        <v>Staff Of Defense</v>
      </c>
      <c r="B723" s="6"/>
      <c r="C723" s="22">
        <v>3400</v>
      </c>
      <c r="D723" s="18" t="str">
        <f>VLOOKUP(F723,'Price Ranges'!$A$2:$B$8,2, FALSE)</f>
        <v>501-5000</v>
      </c>
      <c r="E723" s="8" t="str">
        <f>VLOOKUP(F723,'Price Ranges'!$A$2:$C$8,3, FALSE)</f>
        <v>2000-20000</v>
      </c>
      <c r="F723" s="18" t="s">
        <v>16</v>
      </c>
      <c r="G723" s="18" t="s">
        <v>66</v>
      </c>
      <c r="H723" s="23">
        <v>53</v>
      </c>
      <c r="I723" s="18" t="s">
        <v>49</v>
      </c>
      <c r="J723" s="20" t="s">
        <v>15</v>
      </c>
    </row>
    <row r="724" spans="1:10" ht="12.75">
      <c r="A724" s="5" t="str">
        <f>HYPERLINK("https://www.dndbeyond.com/magic-items/staff-of-dunamancy", "Staff of Dunamancy")</f>
        <v>Staff of Dunamancy</v>
      </c>
      <c r="B724" s="6"/>
      <c r="C724" s="14">
        <v>27000</v>
      </c>
      <c r="D724" s="8" t="str">
        <f>VLOOKUP(F724,'Price Ranges'!$A$2:$B$8,2, FALSE)</f>
        <v>5001-50000</v>
      </c>
      <c r="E724" s="8" t="str">
        <f>VLOOKUP(F724,'Price Ranges'!$A$2:$C$8,3, FALSE)</f>
        <v>20000-50000</v>
      </c>
      <c r="F724" s="9" t="s">
        <v>10</v>
      </c>
      <c r="G724" s="9" t="s">
        <v>17</v>
      </c>
      <c r="H724" s="12">
        <v>270</v>
      </c>
      <c r="I724" s="9" t="s">
        <v>49</v>
      </c>
      <c r="J724" s="13" t="s">
        <v>15</v>
      </c>
    </row>
    <row r="725" spans="1:10" ht="12.75">
      <c r="A725" s="24" t="str">
        <f>HYPERLINK("https://www.dndbeyond.com/magic-items/staff-of-fire", "Staff Of Fire")</f>
        <v>Staff Of Fire</v>
      </c>
      <c r="B725" s="16">
        <v>16000</v>
      </c>
      <c r="C725" s="21">
        <v>18000</v>
      </c>
      <c r="D725" s="18" t="str">
        <f>VLOOKUP(F725,'Price Ranges'!$A$2:$B$8,2, FALSE)</f>
        <v>5001-50000</v>
      </c>
      <c r="E725" s="8" t="str">
        <f>VLOOKUP(F725,'Price Ranges'!$A$2:$C$8,3, FALSE)</f>
        <v>20000-50000</v>
      </c>
      <c r="F725" s="18" t="s">
        <v>10</v>
      </c>
      <c r="G725" s="18" t="s">
        <v>20</v>
      </c>
      <c r="H725" s="19">
        <v>201</v>
      </c>
      <c r="I725" s="18" t="s">
        <v>49</v>
      </c>
      <c r="J725" s="20" t="s">
        <v>15</v>
      </c>
    </row>
    <row r="726" spans="1:10" ht="12.75">
      <c r="A726" s="24" t="str">
        <f>HYPERLINK("https://www.dndbeyond.com/magic-items/staff-of-flowers", "Staff Of Flowers")</f>
        <v>Staff Of Flowers</v>
      </c>
      <c r="B726" s="6"/>
      <c r="C726" s="22">
        <v>50</v>
      </c>
      <c r="D726" s="18" t="str">
        <f>VLOOKUP(F726,'Price Ranges'!$A$2:$B$8,2, FALSE)</f>
        <v>50-100</v>
      </c>
      <c r="E726" s="8" t="str">
        <f>VLOOKUP(F726,'Price Ranges'!$A$2:$C$8,3, FALSE)</f>
        <v>20-70</v>
      </c>
      <c r="F726" s="18" t="s">
        <v>35</v>
      </c>
      <c r="G726" s="18" t="s">
        <v>37</v>
      </c>
      <c r="H726" s="19">
        <v>139</v>
      </c>
      <c r="I726" s="18" t="s">
        <v>49</v>
      </c>
      <c r="J726" s="20" t="s">
        <v>13</v>
      </c>
    </row>
    <row r="727" spans="1:10" ht="12.75">
      <c r="A727" s="24" t="str">
        <f>HYPERLINK("https://www.dndbeyond.com/magic-items/staff-of-frost", "Staff Of Frost")</f>
        <v>Staff Of Frost</v>
      </c>
      <c r="B727" s="16">
        <v>26000</v>
      </c>
      <c r="C727" s="21">
        <v>18000</v>
      </c>
      <c r="D727" s="18" t="str">
        <f>VLOOKUP(F727,'Price Ranges'!$A$2:$B$8,2, FALSE)</f>
        <v>5001-50000</v>
      </c>
      <c r="E727" s="8" t="str">
        <f>VLOOKUP(F727,'Price Ranges'!$A$2:$C$8,3, FALSE)</f>
        <v>20000-50000</v>
      </c>
      <c r="F727" s="18" t="s">
        <v>10</v>
      </c>
      <c r="G727" s="18" t="s">
        <v>20</v>
      </c>
      <c r="H727" s="19">
        <v>201</v>
      </c>
      <c r="I727" s="18" t="s">
        <v>49</v>
      </c>
      <c r="J727" s="20" t="s">
        <v>15</v>
      </c>
    </row>
    <row r="728" spans="1:10" ht="12.75">
      <c r="A728" s="24" t="str">
        <f>HYPERLINK("https://www.dndbeyond.com/magic-items/staff-of-healing", "Staff Of Healing")</f>
        <v>Staff Of Healing</v>
      </c>
      <c r="B728" s="16">
        <v>13000</v>
      </c>
      <c r="C728" s="21">
        <v>4800</v>
      </c>
      <c r="D728" s="18" t="str">
        <f>VLOOKUP(F728,'Price Ranges'!$A$2:$B$8,2, FALSE)</f>
        <v>501-5000</v>
      </c>
      <c r="E728" s="8" t="str">
        <f>VLOOKUP(F728,'Price Ranges'!$A$2:$C$8,3, FALSE)</f>
        <v>2000-20000</v>
      </c>
      <c r="F728" s="18" t="s">
        <v>16</v>
      </c>
      <c r="G728" s="18" t="s">
        <v>20</v>
      </c>
      <c r="H728" s="19">
        <v>202</v>
      </c>
      <c r="I728" s="18" t="s">
        <v>49</v>
      </c>
      <c r="J728" s="20" t="s">
        <v>15</v>
      </c>
    </row>
    <row r="729" spans="1:10" ht="12.75">
      <c r="A729" s="24" t="str">
        <f>HYPERLINK("https://www.dndbeyond.com/magic-items/staff-of-power", "Staff Of Power")</f>
        <v>Staff Of Power</v>
      </c>
      <c r="B729" s="16">
        <v>95500</v>
      </c>
      <c r="C729" s="21">
        <v>46000</v>
      </c>
      <c r="D729" s="18" t="str">
        <f>VLOOKUP(F729,'Price Ranges'!$A$2:$B$8,2, FALSE)</f>
        <v>5001-50000</v>
      </c>
      <c r="E729" s="8" t="str">
        <f>VLOOKUP(F729,'Price Ranges'!$A$2:$C$8,3, FALSE)</f>
        <v>20000-50000</v>
      </c>
      <c r="F729" s="18" t="s">
        <v>10</v>
      </c>
      <c r="G729" s="18" t="s">
        <v>20</v>
      </c>
      <c r="H729" s="19">
        <v>202</v>
      </c>
      <c r="I729" s="18" t="s">
        <v>49</v>
      </c>
      <c r="J729" s="20" t="s">
        <v>15</v>
      </c>
    </row>
    <row r="730" spans="1:10" ht="12.75">
      <c r="A730" s="24" t="str">
        <f>HYPERLINK("https://www.dndbeyond.com/magic-items/staff-of-striking", "Staff Of Striking")</f>
        <v>Staff Of Striking</v>
      </c>
      <c r="B730" s="16">
        <v>21000</v>
      </c>
      <c r="C730" s="21">
        <v>36000</v>
      </c>
      <c r="D730" s="18" t="str">
        <f>VLOOKUP(F730,'Price Ranges'!$A$2:$B$8,2, FALSE)</f>
        <v>5001-50000</v>
      </c>
      <c r="E730" s="8" t="str">
        <f>VLOOKUP(F730,'Price Ranges'!$A$2:$C$8,3, FALSE)</f>
        <v>20000-50000</v>
      </c>
      <c r="F730" s="18" t="s">
        <v>10</v>
      </c>
      <c r="G730" s="18" t="s">
        <v>20</v>
      </c>
      <c r="H730" s="19">
        <v>203</v>
      </c>
      <c r="I730" s="18" t="s">
        <v>49</v>
      </c>
      <c r="J730" s="20" t="s">
        <v>15</v>
      </c>
    </row>
    <row r="731" spans="1:10" ht="12.75">
      <c r="A731" s="24" t="str">
        <f>HYPERLINK("https://www.dndbeyond.com/magic-items/staff-of-swarming-insects", "Staff Of Swarming Insects")</f>
        <v>Staff Of Swarming Insects</v>
      </c>
      <c r="B731" s="16">
        <v>16000</v>
      </c>
      <c r="C731" s="21">
        <v>4500</v>
      </c>
      <c r="D731" s="18" t="str">
        <f>VLOOKUP(F731,'Price Ranges'!$A$2:$B$8,2, FALSE)</f>
        <v>501-5000</v>
      </c>
      <c r="E731" s="8" t="str">
        <f>VLOOKUP(F731,'Price Ranges'!$A$2:$C$8,3, FALSE)</f>
        <v>2000-20000</v>
      </c>
      <c r="F731" s="18" t="s">
        <v>16</v>
      </c>
      <c r="G731" s="18" t="s">
        <v>20</v>
      </c>
      <c r="H731" s="19">
        <v>203</v>
      </c>
      <c r="I731" s="18" t="s">
        <v>49</v>
      </c>
      <c r="J731" s="20" t="s">
        <v>15</v>
      </c>
    </row>
    <row r="732" spans="1:10" ht="12.75">
      <c r="A732" s="24" t="str">
        <f>HYPERLINK("https://www.dndbeyond.com/magic-items/staff-of-the-adder", "Staff Of The Adder")</f>
        <v>Staff Of The Adder</v>
      </c>
      <c r="B732" s="16">
        <v>1800</v>
      </c>
      <c r="C732" s="21">
        <v>350</v>
      </c>
      <c r="D732" s="18" t="str">
        <f>VLOOKUP(F732,'Price Ranges'!$A$2:$B$8,2, FALSE)</f>
        <v>101-500</v>
      </c>
      <c r="E732" s="8" t="str">
        <f>VLOOKUP(F732,'Price Ranges'!$A$2:$C$8,3, FALSE)</f>
        <v>100-600</v>
      </c>
      <c r="F732" s="18" t="s">
        <v>19</v>
      </c>
      <c r="G732" s="18" t="s">
        <v>20</v>
      </c>
      <c r="H732" s="19">
        <v>203</v>
      </c>
      <c r="I732" s="18" t="s">
        <v>49</v>
      </c>
      <c r="J732" s="20" t="s">
        <v>15</v>
      </c>
    </row>
    <row r="733" spans="1:10" ht="12.75">
      <c r="A733" s="24" t="str">
        <f>HYPERLINK("https://www.dndbeyond.com/magic-items/staff-of-the-forgotten-one", "Staff Of The Forgotten One")</f>
        <v>Staff Of The Forgotten One</v>
      </c>
      <c r="B733" s="6"/>
      <c r="C733" s="7"/>
      <c r="D733" s="18" t="str">
        <f>VLOOKUP(F733,'Price Ranges'!$A$2:$B$8,2, FALSE)</f>
        <v>Priceless</v>
      </c>
      <c r="E733" s="8" t="str">
        <f>VLOOKUP(F733,'Price Ranges'!$A$2:$C$8,3, FALSE)</f>
        <v>Priceless</v>
      </c>
      <c r="F733" s="18" t="s">
        <v>22</v>
      </c>
      <c r="G733" s="18" t="s">
        <v>28</v>
      </c>
      <c r="H733" s="26"/>
      <c r="I733" s="18" t="s">
        <v>49</v>
      </c>
      <c r="J733" s="20" t="s">
        <v>15</v>
      </c>
    </row>
    <row r="734" spans="1:10" ht="12.75">
      <c r="A734" s="5" t="str">
        <f>HYPERLINK("https://www.dndbeyond.com/magic-items/staff-of-the-ivory-claw", "Staff of the Ivory Claw")</f>
        <v>Staff of the Ivory Claw</v>
      </c>
      <c r="B734" s="6"/>
      <c r="C734" s="14">
        <v>1000</v>
      </c>
      <c r="D734" s="8" t="str">
        <f>VLOOKUP(F734,'Price Ranges'!$A$2:$B$8,2, FALSE)</f>
        <v>501-5000</v>
      </c>
      <c r="E734" s="8" t="str">
        <f>VLOOKUP(F734,'Price Ranges'!$A$2:$C$8,3, FALSE)</f>
        <v>2000-20000</v>
      </c>
      <c r="F734" s="9" t="s">
        <v>16</v>
      </c>
      <c r="G734" s="9" t="s">
        <v>17</v>
      </c>
      <c r="H734" s="12">
        <v>270</v>
      </c>
      <c r="I734" s="9" t="s">
        <v>49</v>
      </c>
      <c r="J734" s="13" t="s">
        <v>15</v>
      </c>
    </row>
    <row r="735" spans="1:10" ht="12.75">
      <c r="A735" s="24" t="str">
        <f>HYPERLINK("https://www.dndbeyond.com/magic-items/staff-of-the-magi", "Staff Of The Magi")</f>
        <v>Staff Of The Magi</v>
      </c>
      <c r="B735" s="6"/>
      <c r="C735" s="22">
        <v>98000</v>
      </c>
      <c r="D735" s="18" t="str">
        <f>VLOOKUP(F735,'Price Ranges'!$A$2:$B$8,2, FALSE)</f>
        <v>50001+</v>
      </c>
      <c r="E735" s="8" t="str">
        <f>VLOOKUP(F735,'Price Ranges'!$A$2:$C$8,3, FALSE)</f>
        <v>50000-300000</v>
      </c>
      <c r="F735" s="18" t="s">
        <v>31</v>
      </c>
      <c r="G735" s="18" t="s">
        <v>20</v>
      </c>
      <c r="H735" s="23">
        <v>203</v>
      </c>
      <c r="I735" s="18" t="s">
        <v>49</v>
      </c>
      <c r="J735" s="20" t="s">
        <v>15</v>
      </c>
    </row>
    <row r="736" spans="1:10" ht="12.75">
      <c r="A736" s="24" t="str">
        <f>HYPERLINK("https://www.dndbeyond.com/magic-items/staff-of-the-python", "Staff Of The Python")</f>
        <v>Staff Of The Python</v>
      </c>
      <c r="B736" s="16">
        <v>2000</v>
      </c>
      <c r="C736" s="21">
        <v>250</v>
      </c>
      <c r="D736" s="18" t="str">
        <f>VLOOKUP(F736,'Price Ranges'!$A$2:$B$8,2, FALSE)</f>
        <v>101-500</v>
      </c>
      <c r="E736" s="8" t="str">
        <f>VLOOKUP(F736,'Price Ranges'!$A$2:$C$8,3, FALSE)</f>
        <v>100-600</v>
      </c>
      <c r="F736" s="18" t="s">
        <v>19</v>
      </c>
      <c r="G736" s="18" t="s">
        <v>20</v>
      </c>
      <c r="H736" s="19">
        <v>204</v>
      </c>
      <c r="I736" s="18" t="s">
        <v>49</v>
      </c>
      <c r="J736" s="20" t="s">
        <v>15</v>
      </c>
    </row>
    <row r="737" spans="1:10" ht="12.75">
      <c r="A737" s="24" t="str">
        <f>HYPERLINK("https://www.dndbeyond.com/magic-items/staff-of-the-woodlands", "Staff Of The Woodlands")</f>
        <v>Staff Of The Woodlands</v>
      </c>
      <c r="B737" s="16">
        <v>44000</v>
      </c>
      <c r="C737" s="21">
        <v>4500</v>
      </c>
      <c r="D737" s="18" t="str">
        <f>VLOOKUP(F737,'Price Ranges'!$A$2:$B$8,2, FALSE)</f>
        <v>501-5000</v>
      </c>
      <c r="E737" s="8" t="str">
        <f>VLOOKUP(F737,'Price Ranges'!$A$2:$C$8,3, FALSE)</f>
        <v>2000-20000</v>
      </c>
      <c r="F737" s="18" t="s">
        <v>16</v>
      </c>
      <c r="G737" s="18" t="s">
        <v>20</v>
      </c>
      <c r="H737" s="19">
        <v>204</v>
      </c>
      <c r="I737" s="18" t="s">
        <v>49</v>
      </c>
      <c r="J737" s="20" t="s">
        <v>15</v>
      </c>
    </row>
    <row r="738" spans="1:10" ht="12.75">
      <c r="A738" s="24" t="str">
        <f>HYPERLINK("https://www.dndbeyond.com/magic-items/staff-of-thunder-and-lightning", "Staff Of Thunder And Lightning")</f>
        <v>Staff Of Thunder And Lightning</v>
      </c>
      <c r="B738" s="16">
        <v>10000</v>
      </c>
      <c r="C738" s="21">
        <v>30000</v>
      </c>
      <c r="D738" s="18" t="str">
        <f>VLOOKUP(F738,'Price Ranges'!$A$2:$B$8,2, FALSE)</f>
        <v>5001-50000</v>
      </c>
      <c r="E738" s="8" t="str">
        <f>VLOOKUP(F738,'Price Ranges'!$A$2:$C$8,3, FALSE)</f>
        <v>20000-50000</v>
      </c>
      <c r="F738" s="18" t="s">
        <v>10</v>
      </c>
      <c r="G738" s="18" t="s">
        <v>20</v>
      </c>
      <c r="H738" s="19">
        <v>204</v>
      </c>
      <c r="I738" s="18" t="s">
        <v>49</v>
      </c>
      <c r="J738" s="20" t="s">
        <v>15</v>
      </c>
    </row>
    <row r="739" spans="1:10" ht="12.75">
      <c r="A739" s="24" t="str">
        <f>HYPERLINK("https://www.dndbeyond.com/magic-items/staff-of-withering", "Staff Of Withering")</f>
        <v>Staff Of Withering</v>
      </c>
      <c r="B739" s="16">
        <v>3000</v>
      </c>
      <c r="C739" s="21">
        <v>2100</v>
      </c>
      <c r="D739" s="18" t="str">
        <f>VLOOKUP(F739,'Price Ranges'!$A$2:$B$8,2, FALSE)</f>
        <v>501-5000</v>
      </c>
      <c r="E739" s="8" t="str">
        <f>VLOOKUP(F739,'Price Ranges'!$A$2:$C$8,3, FALSE)</f>
        <v>2000-20000</v>
      </c>
      <c r="F739" s="18" t="s">
        <v>16</v>
      </c>
      <c r="G739" s="18" t="s">
        <v>20</v>
      </c>
      <c r="H739" s="19">
        <v>205</v>
      </c>
      <c r="I739" s="18" t="s">
        <v>49</v>
      </c>
      <c r="J739" s="20" t="s">
        <v>15</v>
      </c>
    </row>
    <row r="740" spans="1:10" ht="12.75">
      <c r="A740" s="24" t="str">
        <f>HYPERLINK("https://www.dndbeyond.com/magic-items/stone-of-controlling-earth-elementals", "Stone Of Controlling Earth Elementals")</f>
        <v>Stone Of Controlling Earth Elementals</v>
      </c>
      <c r="B740" s="16">
        <v>8000</v>
      </c>
      <c r="C740" s="21">
        <v>4700</v>
      </c>
      <c r="D740" s="18" t="str">
        <f>VLOOKUP(F740,'Price Ranges'!$A$2:$B$8,2, FALSE)</f>
        <v>501-5000</v>
      </c>
      <c r="E740" s="8" t="str">
        <f>VLOOKUP(F740,'Price Ranges'!$A$2:$C$8,3, FALSE)</f>
        <v>2000-20000</v>
      </c>
      <c r="F740" s="18" t="s">
        <v>16</v>
      </c>
      <c r="G740" s="18" t="s">
        <v>20</v>
      </c>
      <c r="H740" s="19">
        <v>205</v>
      </c>
      <c r="I740" s="18" t="s">
        <v>12</v>
      </c>
      <c r="J740" s="20" t="s">
        <v>13</v>
      </c>
    </row>
    <row r="741" spans="1:10" ht="12.75">
      <c r="A741" s="24" t="str">
        <f>HYPERLINK("https://www.dndbeyond.com/magic-items/stone-of-golorr", "Stone Of Golorr")</f>
        <v>Stone Of Golorr</v>
      </c>
      <c r="B741" s="6"/>
      <c r="C741" s="7"/>
      <c r="D741" s="18" t="str">
        <f>VLOOKUP(F741,'Price Ranges'!$A$2:$B$8,2, FALSE)</f>
        <v>Priceless</v>
      </c>
      <c r="E741" s="8" t="str">
        <f>VLOOKUP(F741,'Price Ranges'!$A$2:$C$8,3, FALSE)</f>
        <v>Priceless</v>
      </c>
      <c r="F741" s="18" t="s">
        <v>22</v>
      </c>
      <c r="G741" s="18" t="s">
        <v>39</v>
      </c>
      <c r="H741" s="26"/>
      <c r="I741" s="18" t="s">
        <v>12</v>
      </c>
      <c r="J741" s="20" t="s">
        <v>15</v>
      </c>
    </row>
    <row r="742" spans="1:10" ht="12.75">
      <c r="A742" s="24" t="str">
        <f>HYPERLINK("https://www.dndbeyond.com/magic-items/stone-of-good-luck-luckstone", "Stone Of Good Luck (Luckstone)")</f>
        <v>Stone Of Good Luck (Luckstone)</v>
      </c>
      <c r="B742" s="16">
        <v>4200</v>
      </c>
      <c r="C742" s="22">
        <v>400</v>
      </c>
      <c r="D742" s="18" t="str">
        <f>VLOOKUP(F742,'Price Ranges'!$A$2:$B$8,2, FALSE)</f>
        <v>101-500</v>
      </c>
      <c r="E742" s="8" t="str">
        <f>VLOOKUP(F742,'Price Ranges'!$A$2:$C$8,3, FALSE)</f>
        <v>100-600</v>
      </c>
      <c r="F742" s="18" t="s">
        <v>19</v>
      </c>
      <c r="G742" s="18" t="s">
        <v>20</v>
      </c>
      <c r="H742" s="23">
        <v>205</v>
      </c>
      <c r="I742" s="18" t="s">
        <v>12</v>
      </c>
      <c r="J742" s="20" t="s">
        <v>15</v>
      </c>
    </row>
    <row r="743" spans="1:10" ht="12.75">
      <c r="A743" s="24" t="str">
        <f>HYPERLINK("https://www.dndbeyond.com/magic-items/stone-of-ill-luck", "Stone Of Ill Luck")</f>
        <v>Stone Of Ill Luck</v>
      </c>
      <c r="B743" s="6"/>
      <c r="C743" s="22">
        <v>400</v>
      </c>
      <c r="D743" s="18" t="str">
        <f>VLOOKUP(F743,'Price Ranges'!$A$2:$B$8,2, FALSE)</f>
        <v>101-500</v>
      </c>
      <c r="E743" s="8" t="str">
        <f>VLOOKUP(F743,'Price Ranges'!$A$2:$C$8,3, FALSE)</f>
        <v>100-600</v>
      </c>
      <c r="F743" s="18" t="s">
        <v>19</v>
      </c>
      <c r="G743" s="18" t="s">
        <v>27</v>
      </c>
      <c r="H743" s="23">
        <v>229</v>
      </c>
      <c r="I743" s="18" t="s">
        <v>12</v>
      </c>
      <c r="J743" s="20" t="s">
        <v>15</v>
      </c>
    </row>
    <row r="744" spans="1:10" ht="12.75">
      <c r="A744" s="24" t="str">
        <f>HYPERLINK("https://www.dndbeyond.com/magic-items/stonespeaker-crystal", "Stonespeaker Crystal")</f>
        <v>Stonespeaker Crystal</v>
      </c>
      <c r="B744" s="6"/>
      <c r="C744" s="22">
        <v>4600</v>
      </c>
      <c r="D744" s="18" t="str">
        <f>VLOOKUP(F744,'Price Ranges'!$A$2:$B$8,2, FALSE)</f>
        <v>501-5000</v>
      </c>
      <c r="E744" s="8" t="str">
        <f>VLOOKUP(F744,'Price Ranges'!$A$2:$C$8,3, FALSE)</f>
        <v>2000-20000</v>
      </c>
      <c r="F744" s="18" t="s">
        <v>16</v>
      </c>
      <c r="G744" s="18" t="s">
        <v>65</v>
      </c>
      <c r="H744" s="23">
        <v>223</v>
      </c>
      <c r="I744" s="18" t="s">
        <v>12</v>
      </c>
      <c r="J744" s="20" t="s">
        <v>15</v>
      </c>
    </row>
    <row r="745" spans="1:10" ht="12.75">
      <c r="A745" s="24" t="str">
        <f>HYPERLINK("https://www.dndbeyond.com/magic-items/storm-boomerang", "Storm Boomerang")</f>
        <v>Storm Boomerang</v>
      </c>
      <c r="B745" s="6"/>
      <c r="C745" s="22">
        <v>150</v>
      </c>
      <c r="D745" s="18" t="str">
        <f>VLOOKUP(F745,'Price Ranges'!$A$2:$B$8,2, FALSE)</f>
        <v>101-500</v>
      </c>
      <c r="E745" s="8" t="str">
        <f>VLOOKUP(F745,'Price Ranges'!$A$2:$C$8,3, FALSE)</f>
        <v>100-600</v>
      </c>
      <c r="F745" s="18" t="s">
        <v>19</v>
      </c>
      <c r="G745" s="18" t="s">
        <v>40</v>
      </c>
      <c r="H745" s="23">
        <v>223</v>
      </c>
      <c r="I745" s="18" t="s">
        <v>18</v>
      </c>
      <c r="J745" s="20" t="s">
        <v>13</v>
      </c>
    </row>
    <row r="746" spans="1:10" ht="12.75">
      <c r="A746" s="24" t="str">
        <f t="shared" ref="A746:A747" si="24">HYPERLINK("https://www.dndbeyond.com/magic-items/storm-spire", "Storm Spire")</f>
        <v>Storm Spire</v>
      </c>
      <c r="B746" s="6"/>
      <c r="C746" s="7"/>
      <c r="D746" s="18" t="str">
        <f>VLOOKUP(F746,'Price Ranges'!$A$2:$B$8,2, FALSE)</f>
        <v>50001+</v>
      </c>
      <c r="E746" s="8" t="str">
        <f>VLOOKUP(F746,'Price Ranges'!$A$2:$C$8,3, FALSE)</f>
        <v>50000-300000</v>
      </c>
      <c r="F746" s="18" t="s">
        <v>31</v>
      </c>
      <c r="G746" s="18" t="s">
        <v>36</v>
      </c>
      <c r="H746" s="18"/>
      <c r="I746" s="18" t="s">
        <v>12</v>
      </c>
      <c r="J746" s="20" t="s">
        <v>15</v>
      </c>
    </row>
    <row r="747" spans="1:10" ht="12.75">
      <c r="A747" s="5" t="str">
        <f t="shared" si="24"/>
        <v>Storm Spire</v>
      </c>
      <c r="B747" s="6"/>
      <c r="C747" s="7"/>
      <c r="D747" s="8" t="str">
        <f>VLOOKUP(F747,'Price Ranges'!$A$2:$B$8,2, FALSE)</f>
        <v>50001+</v>
      </c>
      <c r="E747" s="8" t="str">
        <f>VLOOKUP(F747,'Price Ranges'!$A$2:$C$8,3, FALSE)</f>
        <v>50000-300000</v>
      </c>
      <c r="F747" s="9" t="s">
        <v>31</v>
      </c>
      <c r="G747" s="9" t="s">
        <v>33</v>
      </c>
      <c r="H747" s="10"/>
      <c r="I747" s="9" t="s">
        <v>12</v>
      </c>
      <c r="J747" s="13" t="s">
        <v>15</v>
      </c>
    </row>
    <row r="748" spans="1:10" ht="12.75">
      <c r="A748" s="5" t="str">
        <f>HYPERLINK("https://www.dndbeyond.com/magic-items/stormgirdle", "Stormgirdle")</f>
        <v>Stormgirdle</v>
      </c>
      <c r="B748" s="6"/>
      <c r="C748" s="7"/>
      <c r="D748" s="8" t="str">
        <f>VLOOKUP(F748,'Price Ranges'!$A$2:$B$8,2, FALSE)</f>
        <v>50001+</v>
      </c>
      <c r="E748" s="8" t="str">
        <f>VLOOKUP(F748,'Price Ranges'!$A$2:$C$8,3, FALSE)</f>
        <v>50000-300000</v>
      </c>
      <c r="F748" s="9" t="s">
        <v>31</v>
      </c>
      <c r="G748" s="9" t="s">
        <v>17</v>
      </c>
      <c r="H748" s="12">
        <v>273</v>
      </c>
      <c r="I748" s="9" t="s">
        <v>29</v>
      </c>
      <c r="J748" s="13" t="s">
        <v>15</v>
      </c>
    </row>
    <row r="749" spans="1:10" ht="12.75">
      <c r="A749" s="24" t="str">
        <f>HYPERLINK("https://www.dndbeyond.com/magic-items/sun-blade", "Sun Blade (longsword)")</f>
        <v>Sun Blade (longsword)</v>
      </c>
      <c r="B749" s="16">
        <v>12000</v>
      </c>
      <c r="C749" s="21">
        <v>2000</v>
      </c>
      <c r="D749" s="18" t="str">
        <f>VLOOKUP(F749,'Price Ranges'!$A$2:$B$8,2, FALSE)</f>
        <v>501-5000</v>
      </c>
      <c r="E749" s="8" t="str">
        <f>VLOOKUP(F749,'Price Ranges'!$A$2:$C$8,3, FALSE)</f>
        <v>2000-20000</v>
      </c>
      <c r="F749" s="18" t="s">
        <v>16</v>
      </c>
      <c r="G749" s="18" t="s">
        <v>20</v>
      </c>
      <c r="H749" s="19">
        <v>205</v>
      </c>
      <c r="I749" s="18" t="s">
        <v>18</v>
      </c>
      <c r="J749" s="20" t="s">
        <v>15</v>
      </c>
    </row>
    <row r="750" spans="1:10" ht="12.75">
      <c r="A750" s="24" t="str">
        <f>HYPERLINK("https://www.dndbeyond.com/magic-items/sunforger", "Sunforger (warhammer)")</f>
        <v>Sunforger (warhammer)</v>
      </c>
      <c r="B750" s="6"/>
      <c r="C750" s="22">
        <v>4600</v>
      </c>
      <c r="D750" s="18" t="str">
        <f>VLOOKUP(F750,'Price Ranges'!$A$2:$B$8,2, FALSE)</f>
        <v>501-5000</v>
      </c>
      <c r="E750" s="8" t="str">
        <f>VLOOKUP(F750,'Price Ranges'!$A$2:$C$8,3, FALSE)</f>
        <v>2000-20000</v>
      </c>
      <c r="F750" s="18" t="s">
        <v>16</v>
      </c>
      <c r="G750" s="18" t="s">
        <v>69</v>
      </c>
      <c r="H750" s="23">
        <v>181</v>
      </c>
      <c r="I750" s="18" t="s">
        <v>18</v>
      </c>
      <c r="J750" s="20" t="s">
        <v>15</v>
      </c>
    </row>
    <row r="751" spans="1:10" ht="12.75">
      <c r="A751" s="24" t="str">
        <f>HYPERLINK("https://www.dndbeyond.com/magic-items/sunsword", "Sunsword (longsword)")</f>
        <v>Sunsword (longsword)</v>
      </c>
      <c r="B751" s="6"/>
      <c r="C751" s="22">
        <v>55000</v>
      </c>
      <c r="D751" s="18" t="str">
        <f>VLOOKUP(F751,'Price Ranges'!$A$2:$B$8,2, FALSE)</f>
        <v>50001+</v>
      </c>
      <c r="E751" s="8" t="str">
        <f>VLOOKUP(F751,'Price Ranges'!$A$2:$C$8,3, FALSE)</f>
        <v>50000-300000</v>
      </c>
      <c r="F751" s="18" t="s">
        <v>31</v>
      </c>
      <c r="G751" s="18" t="s">
        <v>52</v>
      </c>
      <c r="H751" s="23">
        <v>223</v>
      </c>
      <c r="I751" s="18" t="s">
        <v>18</v>
      </c>
      <c r="J751" s="20" t="s">
        <v>15</v>
      </c>
    </row>
    <row r="752" spans="1:10" ht="12.75">
      <c r="A752" s="24" t="str">
        <f>HYPERLINK("https://www.dndbeyond.com/magic-items/sword-of-answering", "Sword Of Answering")</f>
        <v>Sword Of Answering</v>
      </c>
      <c r="B752" s="16">
        <v>36000</v>
      </c>
      <c r="C752" s="21">
        <v>51000</v>
      </c>
      <c r="D752" s="18" t="str">
        <f>VLOOKUP(F752,'Price Ranges'!$A$2:$B$8,2, FALSE)</f>
        <v>50001+</v>
      </c>
      <c r="E752" s="8" t="str">
        <f>VLOOKUP(F752,'Price Ranges'!$A$2:$C$8,3, FALSE)</f>
        <v>50000-300000</v>
      </c>
      <c r="F752" s="18" t="s">
        <v>31</v>
      </c>
      <c r="G752" s="18" t="s">
        <v>20</v>
      </c>
      <c r="H752" s="19">
        <v>206</v>
      </c>
      <c r="I752" s="18" t="s">
        <v>18</v>
      </c>
      <c r="J752" s="20" t="s">
        <v>15</v>
      </c>
    </row>
    <row r="753" spans="1:10" ht="12.75">
      <c r="A753" s="24" t="str">
        <f>HYPERLINK("https://www.dndbeyond.com/magic-items/sword-of-kas", "Sword Of Kas")</f>
        <v>Sword Of Kas</v>
      </c>
      <c r="B753" s="6"/>
      <c r="C753" s="7"/>
      <c r="D753" s="18" t="str">
        <f>VLOOKUP(F753,'Price Ranges'!$A$2:$B$8,2, FALSE)</f>
        <v>Priceless</v>
      </c>
      <c r="E753" s="8" t="str">
        <f>VLOOKUP(F753,'Price Ranges'!$A$2:$C$8,3, FALSE)</f>
        <v>Priceless</v>
      </c>
      <c r="F753" s="18" t="s">
        <v>22</v>
      </c>
      <c r="G753" s="18" t="s">
        <v>20</v>
      </c>
      <c r="H753" s="26"/>
      <c r="I753" s="18" t="s">
        <v>12</v>
      </c>
      <c r="J753" s="20" t="s">
        <v>15</v>
      </c>
    </row>
    <row r="754" spans="1:10" ht="12.75">
      <c r="A754" s="24" t="str">
        <f>HYPERLINK("https://www.dndbeyond.com/magic-items/sword-of-life-stealing", "Sword Of Life Stealing (any sword)")</f>
        <v>Sword Of Life Stealing (any sword)</v>
      </c>
      <c r="B754" s="16">
        <v>1000</v>
      </c>
      <c r="C754" s="21">
        <v>2200</v>
      </c>
      <c r="D754" s="18" t="str">
        <f>VLOOKUP(F754,'Price Ranges'!$A$2:$B$8,2, FALSE)</f>
        <v>501-5000</v>
      </c>
      <c r="E754" s="8" t="str">
        <f>VLOOKUP(F754,'Price Ranges'!$A$2:$C$8,3, FALSE)</f>
        <v>2000-20000</v>
      </c>
      <c r="F754" s="18" t="s">
        <v>16</v>
      </c>
      <c r="G754" s="18" t="s">
        <v>20</v>
      </c>
      <c r="H754" s="19">
        <v>206</v>
      </c>
      <c r="I754" s="18" t="s">
        <v>18</v>
      </c>
      <c r="J754" s="20" t="s">
        <v>15</v>
      </c>
    </row>
    <row r="755" spans="1:10" ht="12.75">
      <c r="A755" s="24" t="str">
        <f>HYPERLINK("https://www.dndbeyond.com/magic-items/sword-of-sharpness", "Sword Of Sharpness (slashing swords)")</f>
        <v>Sword Of Sharpness (slashing swords)</v>
      </c>
      <c r="B755" s="16">
        <v>1700</v>
      </c>
      <c r="C755" s="21">
        <v>42000</v>
      </c>
      <c r="D755" s="18" t="str">
        <f>VLOOKUP(F755,'Price Ranges'!$A$2:$B$8,2, FALSE)</f>
        <v>5001-50000</v>
      </c>
      <c r="E755" s="8" t="str">
        <f>VLOOKUP(F755,'Price Ranges'!$A$2:$C$8,3, FALSE)</f>
        <v>20000-50000</v>
      </c>
      <c r="F755" s="18" t="s">
        <v>10</v>
      </c>
      <c r="G755" s="18" t="s">
        <v>20</v>
      </c>
      <c r="H755" s="19">
        <v>206</v>
      </c>
      <c r="I755" s="18" t="s">
        <v>18</v>
      </c>
      <c r="J755" s="20" t="s">
        <v>15</v>
      </c>
    </row>
    <row r="756" spans="1:10" ht="12.75">
      <c r="A756" s="24" t="str">
        <f>HYPERLINK("https://www.dndbeyond.com/magic-items/sword-of-the-paruns", "Sword Of The Paruns (longsword)")</f>
        <v>Sword Of The Paruns (longsword)</v>
      </c>
      <c r="B756" s="6"/>
      <c r="C756" s="22">
        <v>16000</v>
      </c>
      <c r="D756" s="18" t="str">
        <f>VLOOKUP(F756,'Price Ranges'!$A$2:$B$8,2, FALSE)</f>
        <v>5001-50000</v>
      </c>
      <c r="E756" s="8" t="str">
        <f>VLOOKUP(F756,'Price Ranges'!$A$2:$C$8,3, FALSE)</f>
        <v>20000-50000</v>
      </c>
      <c r="F756" s="18" t="s">
        <v>10</v>
      </c>
      <c r="G756" s="18" t="s">
        <v>69</v>
      </c>
      <c r="H756" s="23">
        <v>181</v>
      </c>
      <c r="I756" s="18" t="s">
        <v>18</v>
      </c>
      <c r="J756" s="20" t="s">
        <v>15</v>
      </c>
    </row>
    <row r="757" spans="1:10" ht="12.75">
      <c r="A757" s="24" t="str">
        <f>HYPERLINK("https://www.dndbeyond.com/magic-items/sword-of-vengeance", "Sword Of Vengeance (any sword)")</f>
        <v>Sword Of Vengeance (any sword)</v>
      </c>
      <c r="B757" s="6"/>
      <c r="C757" s="21">
        <v>400</v>
      </c>
      <c r="D757" s="18" t="str">
        <f>VLOOKUP(F757,'Price Ranges'!$A$2:$B$8,2, FALSE)</f>
        <v>101-500</v>
      </c>
      <c r="E757" s="8" t="str">
        <f>VLOOKUP(F757,'Price Ranges'!$A$2:$C$8,3, FALSE)</f>
        <v>100-600</v>
      </c>
      <c r="F757" s="18" t="s">
        <v>19</v>
      </c>
      <c r="G757" s="18" t="s">
        <v>20</v>
      </c>
      <c r="H757" s="19">
        <v>206</v>
      </c>
      <c r="I757" s="18" t="s">
        <v>18</v>
      </c>
      <c r="J757" s="20" t="s">
        <v>15</v>
      </c>
    </row>
    <row r="758" spans="1:10" ht="12.75">
      <c r="A758" s="24" t="str">
        <f>HYPERLINK("https://www.dndbeyond.com/magic-items/sword-of-wounding", "Sword Of Wounding (any sword)")</f>
        <v>Sword Of Wounding (any sword)</v>
      </c>
      <c r="B758" s="16">
        <v>2000</v>
      </c>
      <c r="C758" s="21">
        <v>1200</v>
      </c>
      <c r="D758" s="18" t="str">
        <f>VLOOKUP(F758,'Price Ranges'!$A$2:$B$8,2, FALSE)</f>
        <v>501-5000</v>
      </c>
      <c r="E758" s="8" t="str">
        <f>VLOOKUP(F758,'Price Ranges'!$A$2:$C$8,3, FALSE)</f>
        <v>2000-20000</v>
      </c>
      <c r="F758" s="18" t="s">
        <v>16</v>
      </c>
      <c r="G758" s="18" t="s">
        <v>20</v>
      </c>
      <c r="H758" s="19">
        <v>207</v>
      </c>
      <c r="I758" s="18" t="s">
        <v>18</v>
      </c>
      <c r="J758" s="20" t="s">
        <v>15</v>
      </c>
    </row>
    <row r="759" spans="1:10" ht="12.75">
      <c r="A759" s="24" t="str">
        <f>HYPERLINK("https://www.dndbeyond.com/magic-items/sword-of-zariel", "Sword Of Zariel")</f>
        <v>Sword Of Zariel</v>
      </c>
      <c r="B759" s="6"/>
      <c r="C759" s="7"/>
      <c r="D759" s="18" t="str">
        <f>VLOOKUP(F759,'Price Ranges'!$A$2:$B$8,2, FALSE)</f>
        <v>Priceless</v>
      </c>
      <c r="E759" s="8" t="str">
        <f>VLOOKUP(F759,'Price Ranges'!$A$2:$C$8,3, FALSE)</f>
        <v>Priceless</v>
      </c>
      <c r="F759" s="18" t="s">
        <v>22</v>
      </c>
      <c r="G759" s="18" t="s">
        <v>44</v>
      </c>
      <c r="H759" s="26"/>
      <c r="I759" s="18" t="s">
        <v>18</v>
      </c>
      <c r="J759" s="20" t="s">
        <v>15</v>
      </c>
    </row>
    <row r="760" spans="1:10" ht="12.75">
      <c r="A760" s="24" t="str">
        <f>HYPERLINK("https://www.dndbeyond.com/magic-items/talisman-of-pure-good", "Talisman Of Pure Good")</f>
        <v>Talisman Of Pure Good</v>
      </c>
      <c r="B760" s="16">
        <v>71680</v>
      </c>
      <c r="C760" s="21">
        <v>125000</v>
      </c>
      <c r="D760" s="18" t="str">
        <f>VLOOKUP(F760,'Price Ranges'!$A$2:$B$8,2, FALSE)</f>
        <v>50001+</v>
      </c>
      <c r="E760" s="8" t="str">
        <f>VLOOKUP(F760,'Price Ranges'!$A$2:$C$8,3, FALSE)</f>
        <v>50000-300000</v>
      </c>
      <c r="F760" s="18" t="s">
        <v>31</v>
      </c>
      <c r="G760" s="18" t="s">
        <v>20</v>
      </c>
      <c r="H760" s="19">
        <v>207</v>
      </c>
      <c r="I760" s="18" t="s">
        <v>12</v>
      </c>
      <c r="J760" s="20" t="s">
        <v>15</v>
      </c>
    </row>
    <row r="761" spans="1:10" ht="12.75">
      <c r="A761" s="24" t="str">
        <f>HYPERLINK("https://www.dndbeyond.com/magic-items/talisman-of-the-sphere", "Talisman Of The Sphere")</f>
        <v>Talisman Of The Sphere</v>
      </c>
      <c r="B761" s="16">
        <v>20000</v>
      </c>
      <c r="C761" s="21">
        <v>75000</v>
      </c>
      <c r="D761" s="18" t="str">
        <f>VLOOKUP(F761,'Price Ranges'!$A$2:$B$8,2, FALSE)</f>
        <v>50001+</v>
      </c>
      <c r="E761" s="8" t="str">
        <f>VLOOKUP(F761,'Price Ranges'!$A$2:$C$8,3, FALSE)</f>
        <v>50000-300000</v>
      </c>
      <c r="F761" s="18" t="s">
        <v>31</v>
      </c>
      <c r="G761" s="18" t="s">
        <v>20</v>
      </c>
      <c r="H761" s="19">
        <v>207</v>
      </c>
      <c r="I761" s="18" t="s">
        <v>12</v>
      </c>
      <c r="J761" s="20" t="s">
        <v>15</v>
      </c>
    </row>
    <row r="762" spans="1:10" ht="12.75">
      <c r="A762" s="24" t="str">
        <f>HYPERLINK("https://www.dndbeyond.com/magic-items/talisman-of-ultimate-evil", "Talisman Of Ultimate Evil")</f>
        <v>Talisman Of Ultimate Evil</v>
      </c>
      <c r="B762" s="16">
        <v>61440</v>
      </c>
      <c r="C762" s="21">
        <v>125000</v>
      </c>
      <c r="D762" s="18" t="str">
        <f>VLOOKUP(F762,'Price Ranges'!$A$2:$B$8,2, FALSE)</f>
        <v>50001+</v>
      </c>
      <c r="E762" s="8" t="str">
        <f>VLOOKUP(F762,'Price Ranges'!$A$2:$C$8,3, FALSE)</f>
        <v>50000-300000</v>
      </c>
      <c r="F762" s="18" t="s">
        <v>31</v>
      </c>
      <c r="G762" s="18" t="s">
        <v>20</v>
      </c>
      <c r="H762" s="19">
        <v>207</v>
      </c>
      <c r="I762" s="18" t="s">
        <v>12</v>
      </c>
      <c r="J762" s="20" t="s">
        <v>15</v>
      </c>
    </row>
    <row r="763" spans="1:10" ht="12.75">
      <c r="A763" s="24" t="str">
        <f>HYPERLINK("https://www.dndbeyond.com/magic-items/talking-doll", "Talking Doll")</f>
        <v>Talking Doll</v>
      </c>
      <c r="B763" s="6"/>
      <c r="C763" s="22">
        <v>75</v>
      </c>
      <c r="D763" s="18" t="str">
        <f>VLOOKUP(F763,'Price Ranges'!$A$2:$B$8,2, FALSE)</f>
        <v>50-100</v>
      </c>
      <c r="E763" s="8" t="str">
        <f>VLOOKUP(F763,'Price Ranges'!$A$2:$C$8,3, FALSE)</f>
        <v>20-70</v>
      </c>
      <c r="F763" s="18" t="s">
        <v>35</v>
      </c>
      <c r="G763" s="18" t="s">
        <v>37</v>
      </c>
      <c r="H763" s="19">
        <v>139</v>
      </c>
      <c r="I763" s="18" t="s">
        <v>12</v>
      </c>
      <c r="J763" s="20" t="s">
        <v>15</v>
      </c>
    </row>
    <row r="764" spans="1:10" ht="12.75">
      <c r="A764" s="24" t="str">
        <f>HYPERLINK("https://www.dndbeyond.com/magic-items/tankard-of-plenty", "Tankard Of Plenty")</f>
        <v>Tankard Of Plenty</v>
      </c>
      <c r="B764" s="6"/>
      <c r="C764" s="7"/>
      <c r="D764" s="18" t="str">
        <f>VLOOKUP(F764,'Price Ranges'!$A$2:$B$8,2, FALSE)</f>
        <v>50-100</v>
      </c>
      <c r="E764" s="8" t="str">
        <f>VLOOKUP(F764,'Price Ranges'!$A$2:$C$8,3, FALSE)</f>
        <v>20-70</v>
      </c>
      <c r="F764" s="18" t="s">
        <v>35</v>
      </c>
      <c r="G764" s="18" t="s">
        <v>47</v>
      </c>
      <c r="H764" s="18"/>
      <c r="I764" s="18" t="s">
        <v>12</v>
      </c>
      <c r="J764" s="20" t="s">
        <v>13</v>
      </c>
    </row>
    <row r="765" spans="1:10" ht="12.75">
      <c r="A765" s="24" t="str">
        <f>HYPERLINK("https://www.dndbeyond.com/magic-items/tankard-of-sobriety", "Tankard Of Sobriety")</f>
        <v>Tankard Of Sobriety</v>
      </c>
      <c r="B765" s="6"/>
      <c r="C765" s="22">
        <v>80</v>
      </c>
      <c r="D765" s="18" t="str">
        <f>VLOOKUP(F765,'Price Ranges'!$A$2:$B$8,2, FALSE)</f>
        <v>50-100</v>
      </c>
      <c r="E765" s="8" t="str">
        <f>VLOOKUP(F765,'Price Ranges'!$A$2:$C$8,3, FALSE)</f>
        <v>20-70</v>
      </c>
      <c r="F765" s="18" t="s">
        <v>35</v>
      </c>
      <c r="G765" s="18" t="s">
        <v>37</v>
      </c>
      <c r="H765" s="19">
        <v>139</v>
      </c>
      <c r="I765" s="18" t="s">
        <v>12</v>
      </c>
      <c r="J765" s="20" t="s">
        <v>13</v>
      </c>
    </row>
    <row r="766" spans="1:10" ht="12.75">
      <c r="A766" s="5" t="str">
        <f>HYPERLINK("https://www.dndbeyond.com/magic-items/teeth-of-dahlver-nar", "Teeth of Dahlver-Nar")</f>
        <v>Teeth of Dahlver-Nar</v>
      </c>
      <c r="B766" s="6"/>
      <c r="C766" s="7"/>
      <c r="D766" s="8" t="str">
        <f>VLOOKUP(F766,'Price Ranges'!$A$2:$B$8,2, FALSE)</f>
        <v>Priceless</v>
      </c>
      <c r="E766" s="8" t="str">
        <f>VLOOKUP(F766,'Price Ranges'!$A$2:$C$8,3, FALSE)</f>
        <v>Priceless</v>
      </c>
      <c r="F766" s="12" t="s">
        <v>22</v>
      </c>
      <c r="G766" s="12" t="s">
        <v>14</v>
      </c>
      <c r="H766" s="10"/>
      <c r="I766" s="8" t="s">
        <v>12</v>
      </c>
      <c r="J766" s="13" t="s">
        <v>15</v>
      </c>
    </row>
    <row r="767" spans="1:10" ht="12.75">
      <c r="A767" s="24" t="str">
        <f>HYPERLINK("https://www.dndbeyond.com/magic-items/tentacle-rod", "Tentacle Rod")</f>
        <v>Tentacle Rod</v>
      </c>
      <c r="B767" s="16">
        <v>5000</v>
      </c>
      <c r="C767" s="21">
        <v>2000</v>
      </c>
      <c r="D767" s="18" t="str">
        <f>VLOOKUP(F767,'Price Ranges'!$A$2:$B$8,2, FALSE)</f>
        <v>501-5000</v>
      </c>
      <c r="E767" s="8" t="str">
        <f>VLOOKUP(F767,'Price Ranges'!$A$2:$C$8,3, FALSE)</f>
        <v>2000-20000</v>
      </c>
      <c r="F767" s="18" t="s">
        <v>16</v>
      </c>
      <c r="G767" s="18" t="s">
        <v>20</v>
      </c>
      <c r="H767" s="19">
        <v>208</v>
      </c>
      <c r="I767" s="18" t="s">
        <v>51</v>
      </c>
      <c r="J767" s="20" t="s">
        <v>15</v>
      </c>
    </row>
    <row r="768" spans="1:10" ht="12.75">
      <c r="A768" s="5" t="str">
        <f>HYPERLINK("https://www.dndbeyond.com/magic-items/the-bloody-end", "The Bloody End")</f>
        <v>The Bloody End</v>
      </c>
      <c r="B768" s="6"/>
      <c r="C768" s="7"/>
      <c r="D768" s="8" t="str">
        <f>VLOOKUP(F768,'Price Ranges'!$A$2:$B$8,2, FALSE)</f>
        <v>Priceless</v>
      </c>
      <c r="E768" s="8" t="str">
        <f>VLOOKUP(F768,'Price Ranges'!$A$2:$C$8,3, FALSE)</f>
        <v>Priceless</v>
      </c>
      <c r="F768" s="9" t="s">
        <v>22</v>
      </c>
      <c r="G768" s="9" t="s">
        <v>17</v>
      </c>
      <c r="H768" s="12">
        <v>278</v>
      </c>
      <c r="I768" s="9" t="s">
        <v>18</v>
      </c>
      <c r="J768" s="13" t="s">
        <v>15</v>
      </c>
    </row>
    <row r="769" spans="1:10" ht="12.75">
      <c r="A769" s="5" t="str">
        <f>HYPERLINK("https://www.dndbeyond.com/magic-items/thermal-cube", "Thermal Cube")</f>
        <v>Thermal Cube</v>
      </c>
      <c r="B769" s="6"/>
      <c r="C769" s="7"/>
      <c r="D769" s="8" t="str">
        <f>VLOOKUP(F769,'Price Ranges'!$A$2:$B$8,2, FALSE)</f>
        <v>50-100</v>
      </c>
      <c r="E769" s="8" t="str">
        <f>VLOOKUP(F769,'Price Ranges'!$A$2:$C$8,3, FALSE)</f>
        <v>20-70</v>
      </c>
      <c r="F769" s="12" t="s">
        <v>35</v>
      </c>
      <c r="G769" s="9" t="s">
        <v>11</v>
      </c>
      <c r="H769" s="10"/>
      <c r="I769" s="8" t="s">
        <v>12</v>
      </c>
      <c r="J769" s="11" t="s">
        <v>13</v>
      </c>
    </row>
    <row r="770" spans="1:10" ht="12.75">
      <c r="A770" s="24" t="str">
        <f>HYPERLINK("https://www.dndbeyond.com/magic-items/timepiece-of-travel", "Timepiece Of Travel")</f>
        <v>Timepiece Of Travel</v>
      </c>
      <c r="B770" s="6"/>
      <c r="C770" s="14">
        <v>8000</v>
      </c>
      <c r="D770" s="18" t="str">
        <f>VLOOKUP(F770,'Price Ranges'!$A$2:$B$8,2, FALSE)</f>
        <v>5001-50000</v>
      </c>
      <c r="E770" s="8" t="str">
        <f>VLOOKUP(F770,'Price Ranges'!$A$2:$C$8,3, FALSE)</f>
        <v>20000-50000</v>
      </c>
      <c r="F770" s="18" t="s">
        <v>10</v>
      </c>
      <c r="G770" s="18" t="s">
        <v>60</v>
      </c>
      <c r="H770" s="26"/>
      <c r="I770" s="18" t="s">
        <v>12</v>
      </c>
      <c r="J770" s="20" t="s">
        <v>15</v>
      </c>
    </row>
    <row r="771" spans="1:10" ht="12.75">
      <c r="A771" s="24" t="str">
        <f>HYPERLINK("https://www.dndbeyond.com/magic-items/tinderstrike", "Tinderstrike (dagger)")</f>
        <v>Tinderstrike (dagger)</v>
      </c>
      <c r="B771" s="6"/>
      <c r="C771" s="22">
        <v>71000</v>
      </c>
      <c r="D771" s="18" t="str">
        <f>VLOOKUP(F771,'Price Ranges'!$A$2:$B$8,2, FALSE)</f>
        <v>50001+</v>
      </c>
      <c r="E771" s="8" t="str">
        <f>VLOOKUP(F771,'Price Ranges'!$A$2:$C$8,3, FALSE)</f>
        <v>50000-300000</v>
      </c>
      <c r="F771" s="18" t="s">
        <v>31</v>
      </c>
      <c r="G771" s="18" t="s">
        <v>40</v>
      </c>
      <c r="H771" s="23">
        <v>225</v>
      </c>
      <c r="I771" s="18" t="s">
        <v>18</v>
      </c>
      <c r="J771" s="20" t="s">
        <v>15</v>
      </c>
    </row>
    <row r="772" spans="1:10" ht="12.75">
      <c r="A772" s="24" t="str">
        <f>HYPERLINK("https://www.dndbeyond.com/magic-items/tome-of-clear-thought", "Tome Of Clear Thought")</f>
        <v>Tome Of Clear Thought</v>
      </c>
      <c r="B772" s="6"/>
      <c r="C772" s="22">
        <v>36000</v>
      </c>
      <c r="D772" s="18" t="str">
        <f>VLOOKUP(F772,'Price Ranges'!$A$2:$B$8,2, FALSE)</f>
        <v>5001-50000</v>
      </c>
      <c r="E772" s="8" t="str">
        <f>VLOOKUP(F772,'Price Ranges'!$A$2:$C$8,3, FALSE)</f>
        <v>20000-50000</v>
      </c>
      <c r="F772" s="18" t="s">
        <v>10</v>
      </c>
      <c r="G772" s="18" t="s">
        <v>20</v>
      </c>
      <c r="H772" s="23">
        <v>208</v>
      </c>
      <c r="I772" s="18" t="s">
        <v>12</v>
      </c>
      <c r="J772" s="20" t="s">
        <v>13</v>
      </c>
    </row>
    <row r="773" spans="1:10" ht="12.75">
      <c r="A773" s="24" t="str">
        <f>HYPERLINK("https://www.dndbeyond.com/magic-items/tome-of-leadership-and-influence", "Tome Of Leadership And Influence")</f>
        <v>Tome Of Leadership And Influence</v>
      </c>
      <c r="B773" s="6"/>
      <c r="C773" s="22">
        <v>36000</v>
      </c>
      <c r="D773" s="18" t="str">
        <f>VLOOKUP(F773,'Price Ranges'!$A$2:$B$8,2, FALSE)</f>
        <v>5001-50000</v>
      </c>
      <c r="E773" s="8" t="str">
        <f>VLOOKUP(F773,'Price Ranges'!$A$2:$C$8,3, FALSE)</f>
        <v>20000-50000</v>
      </c>
      <c r="F773" s="18" t="s">
        <v>10</v>
      </c>
      <c r="G773" s="18" t="s">
        <v>20</v>
      </c>
      <c r="H773" s="23">
        <v>208</v>
      </c>
      <c r="I773" s="18" t="s">
        <v>12</v>
      </c>
      <c r="J773" s="20" t="s">
        <v>13</v>
      </c>
    </row>
    <row r="774" spans="1:10" ht="12.75">
      <c r="A774" s="24" t="str">
        <f>HYPERLINK("https://www.dndbeyond.com/magic-items/tome-of-the-stilled-tongue", "Tome Of The Stilled Tongue")</f>
        <v>Tome Of The Stilled Tongue</v>
      </c>
      <c r="B774" s="6"/>
      <c r="C774" s="22">
        <v>60000</v>
      </c>
      <c r="D774" s="18" t="str">
        <f>VLOOKUP(F774,'Price Ranges'!$A$2:$B$8,2, FALSE)</f>
        <v>50001+</v>
      </c>
      <c r="E774" s="8" t="str">
        <f>VLOOKUP(F774,'Price Ranges'!$A$2:$C$8,3, FALSE)</f>
        <v>50000-300000</v>
      </c>
      <c r="F774" s="18" t="s">
        <v>31</v>
      </c>
      <c r="G774" s="18" t="s">
        <v>20</v>
      </c>
      <c r="H774" s="23">
        <v>208</v>
      </c>
      <c r="I774" s="18" t="s">
        <v>12</v>
      </c>
      <c r="J774" s="20" t="s">
        <v>15</v>
      </c>
    </row>
    <row r="775" spans="1:10" ht="12.75">
      <c r="A775" s="24" t="str">
        <f>HYPERLINK("https://www.dndbeyond.com/magic-items/tome-of-understanding", "Tome Of Understanding")</f>
        <v>Tome Of Understanding</v>
      </c>
      <c r="B775" s="6"/>
      <c r="C775" s="22">
        <v>36000</v>
      </c>
      <c r="D775" s="18" t="str">
        <f>VLOOKUP(F775,'Price Ranges'!$A$2:$B$8,2, FALSE)</f>
        <v>5001-50000</v>
      </c>
      <c r="E775" s="8" t="str">
        <f>VLOOKUP(F775,'Price Ranges'!$A$2:$C$8,3, FALSE)</f>
        <v>20000-50000</v>
      </c>
      <c r="F775" s="18" t="s">
        <v>10</v>
      </c>
      <c r="G775" s="18" t="s">
        <v>20</v>
      </c>
      <c r="H775" s="23">
        <v>209</v>
      </c>
      <c r="I775" s="18" t="s">
        <v>12</v>
      </c>
      <c r="J775" s="20" t="s">
        <v>13</v>
      </c>
    </row>
    <row r="776" spans="1:10" ht="12.75">
      <c r="A776" s="24" t="str">
        <f>HYPERLINK("https://www.dndbeyond.com/magic-items/travel-alchemical-kit", "Travel Alchemical Kit")</f>
        <v>Travel Alchemical Kit</v>
      </c>
      <c r="B776" s="6"/>
      <c r="C776" s="7"/>
      <c r="D776" s="18" t="str">
        <f>VLOOKUP(F776,'Price Ranges'!$A$2:$B$8,2, FALSE)</f>
        <v>101-500</v>
      </c>
      <c r="E776" s="8" t="str">
        <f>VLOOKUP(F776,'Price Ranges'!$A$2:$C$8,3, FALSE)</f>
        <v>100-600</v>
      </c>
      <c r="F776" s="18" t="s">
        <v>19</v>
      </c>
      <c r="G776" s="18" t="s">
        <v>60</v>
      </c>
      <c r="H776" s="18"/>
      <c r="I776" s="18" t="s">
        <v>12</v>
      </c>
      <c r="J776" s="20" t="s">
        <v>13</v>
      </c>
    </row>
    <row r="777" spans="1:10" ht="12.75">
      <c r="A777" s="24" t="str">
        <f>HYPERLINK("https://www.dndbeyond.com/magic-items/trident-of-fish-command", "Trident Of Fish Command")</f>
        <v>Trident Of Fish Command</v>
      </c>
      <c r="B777" s="16">
        <v>800</v>
      </c>
      <c r="C777" s="21">
        <v>300</v>
      </c>
      <c r="D777" s="18" t="str">
        <f>VLOOKUP(F777,'Price Ranges'!$A$2:$B$8,2, FALSE)</f>
        <v>101-500</v>
      </c>
      <c r="E777" s="8" t="str">
        <f>VLOOKUP(F777,'Price Ranges'!$A$2:$C$8,3, FALSE)</f>
        <v>100-600</v>
      </c>
      <c r="F777" s="18" t="s">
        <v>19</v>
      </c>
      <c r="G777" s="18" t="s">
        <v>20</v>
      </c>
      <c r="H777" s="19">
        <v>209</v>
      </c>
      <c r="I777" s="18" t="s">
        <v>18</v>
      </c>
      <c r="J777" s="20" t="s">
        <v>15</v>
      </c>
    </row>
    <row r="778" spans="1:10" ht="12.75">
      <c r="A778" s="15" t="str">
        <f>HYPERLINK("https://www.dndbeyond.com/magic-items/two-birds-sling", "Two-Birds Sling")</f>
        <v>Two-Birds Sling</v>
      </c>
      <c r="B778" s="6"/>
      <c r="C778" s="14">
        <v>4000</v>
      </c>
      <c r="D778" s="8" t="str">
        <f>VLOOKUP(F778,'Price Ranges'!$A$2:$B$8,2, FALSE)</f>
        <v>501-5000</v>
      </c>
      <c r="E778" s="8" t="str">
        <f>VLOOKUP(F778,'Price Ranges'!$A$2:$C$8,3, FALSE)</f>
        <v>2000-20000</v>
      </c>
      <c r="F778" s="9" t="s">
        <v>16</v>
      </c>
      <c r="G778" s="9" t="s">
        <v>23</v>
      </c>
      <c r="H778" s="10"/>
      <c r="I778" s="9" t="s">
        <v>18</v>
      </c>
      <c r="J778" s="13" t="s">
        <v>13</v>
      </c>
    </row>
    <row r="779" spans="1:10" ht="12.75">
      <c r="A779" s="15" t="str">
        <f>HYPERLINK("https://www.dndbeyond.com/magic-items/unbreakable-arrow", "Unbreakable Arrow")</f>
        <v>Unbreakable Arrow</v>
      </c>
      <c r="B779" s="6"/>
      <c r="C779" s="22">
        <v>25</v>
      </c>
      <c r="D779" s="18" t="str">
        <f>VLOOKUP(F779,'Price Ranges'!$A$2:$B$8,2, FALSE)</f>
        <v>50-100</v>
      </c>
      <c r="E779" s="8" t="str">
        <f>VLOOKUP(F779,'Price Ranges'!$A$2:$C$8,3, FALSE)</f>
        <v>20-70</v>
      </c>
      <c r="F779" s="18" t="s">
        <v>35</v>
      </c>
      <c r="G779" s="18" t="s">
        <v>37</v>
      </c>
      <c r="H779" s="19">
        <v>139</v>
      </c>
      <c r="I779" s="18" t="s">
        <v>25</v>
      </c>
      <c r="J779" s="20" t="s">
        <v>13</v>
      </c>
    </row>
    <row r="780" spans="1:10" ht="12.75">
      <c r="A780" s="15" t="str">
        <f>HYPERLINK("https://www.dndbeyond.com/magic-items/universal-solvent", "Universal Solvent")</f>
        <v>Universal Solvent</v>
      </c>
      <c r="B780" s="16">
        <v>300</v>
      </c>
      <c r="C780" s="21">
        <v>5000</v>
      </c>
      <c r="D780" s="18" t="str">
        <f>VLOOKUP(F780,'Price Ranges'!$A$2:$B$8,2, FALSE)</f>
        <v>50001+</v>
      </c>
      <c r="E780" s="8" t="str">
        <f>VLOOKUP(F780,'Price Ranges'!$A$2:$C$8,3, FALSE)</f>
        <v>50000-300000</v>
      </c>
      <c r="F780" s="18" t="s">
        <v>31</v>
      </c>
      <c r="G780" s="18" t="s">
        <v>20</v>
      </c>
      <c r="H780" s="19">
        <v>209</v>
      </c>
      <c r="I780" s="18" t="s">
        <v>12</v>
      </c>
      <c r="J780" s="20" t="s">
        <v>13</v>
      </c>
    </row>
    <row r="781" spans="1:10" ht="12.75">
      <c r="A781" s="5" t="str">
        <f>HYPERLINK("https://www.dndbeyond.com/magic-items/ventilating-lungs", "Ventilating Lungs")</f>
        <v>Ventilating Lungs</v>
      </c>
      <c r="B781" s="6"/>
      <c r="C781" s="14">
        <v>1000</v>
      </c>
      <c r="D781" s="8" t="str">
        <f>VLOOKUP(F781,'Price Ranges'!$A$2:$B$8,2, FALSE)</f>
        <v>501-5000</v>
      </c>
      <c r="E781" s="8" t="str">
        <f>VLOOKUP(F781,'Price Ranges'!$A$2:$C$8,3, FALSE)</f>
        <v>2000-20000</v>
      </c>
      <c r="F781" s="9" t="s">
        <v>16</v>
      </c>
      <c r="G781" s="9" t="s">
        <v>33</v>
      </c>
      <c r="H781" s="10"/>
      <c r="I781" s="9" t="s">
        <v>12</v>
      </c>
      <c r="J781" s="13" t="s">
        <v>15</v>
      </c>
    </row>
    <row r="782" spans="1:10" ht="12.75">
      <c r="A782" s="5" t="str">
        <f>HYPERLINK("https://www.dndbeyond.com/magic-items/verminshroud", "Verminshroud")</f>
        <v>Verminshroud</v>
      </c>
      <c r="B782" s="6"/>
      <c r="C782" s="7"/>
      <c r="D782" s="8" t="str">
        <f>VLOOKUP(F782,'Price Ranges'!$A$2:$B$8,2, FALSE)</f>
        <v>50001+</v>
      </c>
      <c r="E782" s="8" t="str">
        <f>VLOOKUP(F782,'Price Ranges'!$A$2:$C$8,3, FALSE)</f>
        <v>50000-300000</v>
      </c>
      <c r="F782" s="9" t="s">
        <v>31</v>
      </c>
      <c r="G782" s="9" t="s">
        <v>17</v>
      </c>
      <c r="H782" s="12">
        <v>273</v>
      </c>
      <c r="I782" s="9" t="s">
        <v>29</v>
      </c>
      <c r="J782" s="13" t="s">
        <v>15</v>
      </c>
    </row>
    <row r="783" spans="1:10" ht="12.75">
      <c r="A783" s="15" t="str">
        <f>HYPERLINK("https://www.dndbeyond.com/magic-items/veterans-cane", "Veteran's Cane")</f>
        <v>Veteran's Cane</v>
      </c>
      <c r="B783" s="6"/>
      <c r="C783" s="22">
        <v>50</v>
      </c>
      <c r="D783" s="18" t="str">
        <f>VLOOKUP(F783,'Price Ranges'!$A$2:$B$8,2, FALSE)</f>
        <v>50-100</v>
      </c>
      <c r="E783" s="8" t="str">
        <f>VLOOKUP(F783,'Price Ranges'!$A$2:$C$8,3, FALSE)</f>
        <v>20-70</v>
      </c>
      <c r="F783" s="18" t="s">
        <v>35</v>
      </c>
      <c r="G783" s="18" t="s">
        <v>37</v>
      </c>
      <c r="H783" s="19">
        <v>139</v>
      </c>
      <c r="I783" s="18" t="s">
        <v>18</v>
      </c>
      <c r="J783" s="20" t="s">
        <v>13</v>
      </c>
    </row>
    <row r="784" spans="1:10" ht="12.75">
      <c r="A784" s="15" t="str">
        <f>HYPERLINK("https://www.dndbeyond.com/magic-items/vicious-rapier-1", "Vicious Rapier, +1")</f>
        <v>Vicious Rapier, +1</v>
      </c>
      <c r="B784" s="6"/>
      <c r="C784" s="7"/>
      <c r="D784" s="18" t="str">
        <f>VLOOKUP(F784,'Price Ranges'!$A$2:$B$8,2, FALSE)</f>
        <v>501-5000</v>
      </c>
      <c r="E784" s="8" t="str">
        <f>VLOOKUP(F784,'Price Ranges'!$A$2:$C$8,3, FALSE)</f>
        <v>2000-20000</v>
      </c>
      <c r="F784" s="18" t="s">
        <v>16</v>
      </c>
      <c r="G784" s="18" t="s">
        <v>60</v>
      </c>
      <c r="H784" s="18"/>
      <c r="I784" s="18" t="s">
        <v>18</v>
      </c>
      <c r="J784" s="20" t="s">
        <v>13</v>
      </c>
    </row>
    <row r="785" spans="1:10" ht="12.75">
      <c r="A785" s="15" t="str">
        <f>HYPERLINK("https://www.dndbeyond.com/magic-items/vicious-weapon", "Vicious Weapon (any weapon)")</f>
        <v>Vicious Weapon (any weapon)</v>
      </c>
      <c r="B785" s="16">
        <v>350</v>
      </c>
      <c r="C785" s="21">
        <v>4000</v>
      </c>
      <c r="D785" s="18" t="str">
        <f>VLOOKUP(F785,'Price Ranges'!$A$2:$B$8,2, FALSE)</f>
        <v>501-5000</v>
      </c>
      <c r="E785" s="8" t="str">
        <f>VLOOKUP(F785,'Price Ranges'!$A$2:$C$8,3, FALSE)</f>
        <v>2000-20000</v>
      </c>
      <c r="F785" s="18" t="s">
        <v>16</v>
      </c>
      <c r="G785" s="18" t="s">
        <v>20</v>
      </c>
      <c r="H785" s="19">
        <v>209</v>
      </c>
      <c r="I785" s="18" t="s">
        <v>18</v>
      </c>
      <c r="J785" s="20" t="s">
        <v>13</v>
      </c>
    </row>
    <row r="786" spans="1:10" ht="12.75">
      <c r="A786" s="15" t="str">
        <f>HYPERLINK("https://www.dndbeyond.com/magic-items/vorpal-sword", "Vorpal Sword")</f>
        <v>Vorpal Sword</v>
      </c>
      <c r="B786" s="16">
        <v>24000</v>
      </c>
      <c r="C786" s="21">
        <v>75000</v>
      </c>
      <c r="D786" s="18" t="str">
        <f>VLOOKUP(F786,'Price Ranges'!$A$2:$B$8,2, FALSE)</f>
        <v>50001+</v>
      </c>
      <c r="E786" s="8" t="str">
        <f>VLOOKUP(F786,'Price Ranges'!$A$2:$C$8,3, FALSE)</f>
        <v>50000-300000</v>
      </c>
      <c r="F786" s="18" t="s">
        <v>31</v>
      </c>
      <c r="G786" s="18" t="s">
        <v>20</v>
      </c>
      <c r="H786" s="19">
        <v>209</v>
      </c>
      <c r="I786" s="18" t="s">
        <v>18</v>
      </c>
      <c r="J786" s="20" t="s">
        <v>15</v>
      </c>
    </row>
    <row r="787" spans="1:10" ht="12.75">
      <c r="A787" s="15" t="str">
        <f>HYPERLINK("https://www.dndbeyond.com/magic-items/voting-kit", "Voting Kit")</f>
        <v>Voting Kit</v>
      </c>
      <c r="B787" s="6"/>
      <c r="C787" s="7"/>
      <c r="D787" s="18" t="str">
        <f>VLOOKUP(F787,'Price Ranges'!$A$2:$B$8,2, FALSE)</f>
        <v>50-100</v>
      </c>
      <c r="E787" s="8" t="str">
        <f>VLOOKUP(F787,'Price Ranges'!$A$2:$C$8,3, FALSE)</f>
        <v>20-70</v>
      </c>
      <c r="F787" s="18" t="s">
        <v>35</v>
      </c>
      <c r="G787" s="18" t="s">
        <v>60</v>
      </c>
      <c r="H787" s="26"/>
      <c r="I787" s="18" t="s">
        <v>12</v>
      </c>
      <c r="J787" s="20" t="s">
        <v>13</v>
      </c>
    </row>
    <row r="788" spans="1:10" ht="12.75">
      <c r="A788" s="5" t="str">
        <f>HYPERLINK("https://www.dndbeyond.com/magic-items/vox-seeker", "Vox Seeker")</f>
        <v>Vox Seeker</v>
      </c>
      <c r="B788" s="6"/>
      <c r="C788" s="14">
        <v>100</v>
      </c>
      <c r="D788" s="8" t="str">
        <f>VLOOKUP(F788,'Price Ranges'!$A$2:$B$8,2, FALSE)</f>
        <v>50-100</v>
      </c>
      <c r="E788" s="8" t="str">
        <f>VLOOKUP(F788,'Price Ranges'!$A$2:$C$8,3, FALSE)</f>
        <v>20-70</v>
      </c>
      <c r="F788" s="9" t="s">
        <v>35</v>
      </c>
      <c r="G788" s="9" t="s">
        <v>17</v>
      </c>
      <c r="H788" s="12">
        <v>270</v>
      </c>
      <c r="I788" s="9" t="s">
        <v>29</v>
      </c>
      <c r="J788" s="13" t="s">
        <v>13</v>
      </c>
    </row>
    <row r="789" spans="1:10" ht="12.75">
      <c r="A789" s="15" t="str">
        <f>HYPERLINK("https://www.dndbeyond.com/magic-items/voyager-staff", "Voyager Staff")</f>
        <v>Voyager Staff</v>
      </c>
      <c r="B789" s="6"/>
      <c r="C789" s="22">
        <v>10500</v>
      </c>
      <c r="D789" s="18" t="str">
        <f>VLOOKUP(F789,'Price Ranges'!$A$2:$B$8,2, FALSE)</f>
        <v>5001-50000</v>
      </c>
      <c r="E789" s="8" t="str">
        <f>VLOOKUP(F789,'Price Ranges'!$A$2:$C$8,3, FALSE)</f>
        <v>20000-50000</v>
      </c>
      <c r="F789" s="18" t="s">
        <v>10</v>
      </c>
      <c r="G789" s="18" t="s">
        <v>69</v>
      </c>
      <c r="H789" s="23">
        <v>181</v>
      </c>
      <c r="I789" s="18" t="s">
        <v>49</v>
      </c>
      <c r="J789" s="20" t="s">
        <v>15</v>
      </c>
    </row>
    <row r="790" spans="1:10" ht="12.75">
      <c r="A790" s="15" t="str">
        <f>HYPERLINK("https://www.dndbeyond.com/magic-items/walloping-ammunition", "Walloping Ammunition")</f>
        <v>Walloping Ammunition</v>
      </c>
      <c r="B790" s="6"/>
      <c r="C790" s="22">
        <v>30</v>
      </c>
      <c r="D790" s="18" t="str">
        <f>VLOOKUP(F790,'Price Ranges'!$A$2:$B$8,2, FALSE)</f>
        <v>50-100</v>
      </c>
      <c r="E790" s="8" t="str">
        <f>VLOOKUP(F790,'Price Ranges'!$A$2:$C$8,3, FALSE)</f>
        <v>20-70</v>
      </c>
      <c r="F790" s="18" t="s">
        <v>35</v>
      </c>
      <c r="G790" s="18" t="s">
        <v>37</v>
      </c>
      <c r="H790" s="19">
        <v>139</v>
      </c>
      <c r="I790" s="18" t="s">
        <v>25</v>
      </c>
      <c r="J790" s="20" t="s">
        <v>13</v>
      </c>
    </row>
    <row r="791" spans="1:10" ht="12.75">
      <c r="A791" s="15" t="str">
        <f>HYPERLINK("https://www.dndbeyond.com/magic-items/wand-of-binding", "Wand Of Binding")</f>
        <v>Wand Of Binding</v>
      </c>
      <c r="B791" s="16">
        <v>10000</v>
      </c>
      <c r="C791" s="21">
        <v>2500</v>
      </c>
      <c r="D791" s="18" t="str">
        <f>VLOOKUP(F791,'Price Ranges'!$A$2:$B$8,2, FALSE)</f>
        <v>501-5000</v>
      </c>
      <c r="E791" s="8" t="str">
        <f>VLOOKUP(F791,'Price Ranges'!$A$2:$C$8,3, FALSE)</f>
        <v>2000-20000</v>
      </c>
      <c r="F791" s="18" t="s">
        <v>16</v>
      </c>
      <c r="G791" s="18" t="s">
        <v>20</v>
      </c>
      <c r="H791" s="19">
        <v>209</v>
      </c>
      <c r="I791" s="18" t="s">
        <v>38</v>
      </c>
      <c r="J791" s="20" t="s">
        <v>15</v>
      </c>
    </row>
    <row r="792" spans="1:10" ht="12.75">
      <c r="A792" s="15" t="str">
        <f>HYPERLINK("https://www.dndbeyond.com/magic-items/wand-of-conducting", "Wand Of Conducting")</f>
        <v>Wand Of Conducting</v>
      </c>
      <c r="B792" s="6"/>
      <c r="C792" s="22">
        <v>90</v>
      </c>
      <c r="D792" s="18" t="str">
        <f>VLOOKUP(F792,'Price Ranges'!$A$2:$B$8,2, FALSE)</f>
        <v>50-100</v>
      </c>
      <c r="E792" s="8" t="str">
        <f>VLOOKUP(F792,'Price Ranges'!$A$2:$C$8,3, FALSE)</f>
        <v>20-70</v>
      </c>
      <c r="F792" s="18" t="s">
        <v>35</v>
      </c>
      <c r="G792" s="18" t="s">
        <v>37</v>
      </c>
      <c r="H792" s="19">
        <v>140</v>
      </c>
      <c r="I792" s="18" t="s">
        <v>38</v>
      </c>
      <c r="J792" s="20" t="s">
        <v>13</v>
      </c>
    </row>
    <row r="793" spans="1:10" ht="12.75">
      <c r="A793" s="15" t="str">
        <f>HYPERLINK("https://www.dndbeyond.com/magic-items/wand-of-enemy-detection", "Wand Of Enemy Detection")</f>
        <v>Wand Of Enemy Detection</v>
      </c>
      <c r="B793" s="42">
        <v>4000</v>
      </c>
      <c r="C793" s="43">
        <v>3750</v>
      </c>
      <c r="D793" s="18" t="str">
        <f>VLOOKUP(F793,'Price Ranges'!$A$2:$B$8,2, FALSE)</f>
        <v>501-5000</v>
      </c>
      <c r="E793" s="8" t="str">
        <f>VLOOKUP(F793,'Price Ranges'!$A$2:$C$8,3, FALSE)</f>
        <v>2000-20000</v>
      </c>
      <c r="F793" s="44" t="s">
        <v>16</v>
      </c>
      <c r="G793" s="18" t="s">
        <v>20</v>
      </c>
      <c r="H793" s="45">
        <v>210</v>
      </c>
      <c r="I793" s="18" t="s">
        <v>38</v>
      </c>
      <c r="J793" s="20" t="s">
        <v>15</v>
      </c>
    </row>
    <row r="794" spans="1:10" ht="12.75">
      <c r="A794" s="15" t="str">
        <f>HYPERLINK("https://www.dndbeyond.com/magic-items/wand-of-entangle", "Wand Of Entangle")</f>
        <v>Wand Of Entangle</v>
      </c>
      <c r="B794" s="46"/>
      <c r="C794" s="47">
        <v>300</v>
      </c>
      <c r="D794" s="18" t="str">
        <f>VLOOKUP(F794,'Price Ranges'!$A$2:$B$8,2, FALSE)</f>
        <v>101-500</v>
      </c>
      <c r="E794" s="8" t="str">
        <f>VLOOKUP(F794,'Price Ranges'!$A$2:$C$8,3, FALSE)</f>
        <v>100-600</v>
      </c>
      <c r="F794" s="48" t="s">
        <v>19</v>
      </c>
      <c r="G794" s="18" t="s">
        <v>27</v>
      </c>
      <c r="H794" s="49">
        <v>229</v>
      </c>
      <c r="I794" s="18" t="s">
        <v>38</v>
      </c>
      <c r="J794" s="20" t="s">
        <v>15</v>
      </c>
    </row>
    <row r="795" spans="1:10" ht="12.75">
      <c r="A795" s="15" t="str">
        <f>HYPERLINK("https://www.dndbeyond.com/magic-items/wand-of-fear", "Wand Of Fear")</f>
        <v>Wand Of Fear</v>
      </c>
      <c r="B795" s="42">
        <v>10000</v>
      </c>
      <c r="C795" s="43">
        <v>3250</v>
      </c>
      <c r="D795" s="18" t="str">
        <f>VLOOKUP(F795,'Price Ranges'!$A$2:$B$8,2, FALSE)</f>
        <v>501-5000</v>
      </c>
      <c r="E795" s="8" t="str">
        <f>VLOOKUP(F795,'Price Ranges'!$A$2:$C$8,3, FALSE)</f>
        <v>2000-20000</v>
      </c>
      <c r="F795" s="44" t="s">
        <v>16</v>
      </c>
      <c r="G795" s="18" t="s">
        <v>20</v>
      </c>
      <c r="H795" s="45">
        <v>210</v>
      </c>
      <c r="I795" s="44" t="s">
        <v>38</v>
      </c>
      <c r="J795" s="20" t="s">
        <v>15</v>
      </c>
    </row>
    <row r="796" spans="1:10" ht="12.75">
      <c r="A796" s="15" t="str">
        <f>HYPERLINK("https://www.dndbeyond.com/magic-items/wand-of-fireballs", "Wand Of Fireballs")</f>
        <v>Wand Of Fireballs</v>
      </c>
      <c r="B796" s="42">
        <v>32000</v>
      </c>
      <c r="C796" s="43">
        <v>4800</v>
      </c>
      <c r="D796" s="18" t="str">
        <f>VLOOKUP(F796,'Price Ranges'!$A$2:$B$8,2, FALSE)</f>
        <v>501-5000</v>
      </c>
      <c r="E796" s="8" t="str">
        <f>VLOOKUP(F796,'Price Ranges'!$A$2:$C$8,3, FALSE)</f>
        <v>2000-20000</v>
      </c>
      <c r="F796" s="44" t="s">
        <v>16</v>
      </c>
      <c r="G796" s="18" t="s">
        <v>20</v>
      </c>
      <c r="H796" s="45">
        <v>210</v>
      </c>
      <c r="I796" s="44" t="s">
        <v>38</v>
      </c>
      <c r="J796" s="20" t="s">
        <v>15</v>
      </c>
    </row>
    <row r="797" spans="1:10" ht="12.75">
      <c r="A797" s="15" t="str">
        <f>HYPERLINK("https://www.dndbeyond.com/magic-items/wand-of-lightning-bolts", "Wand Of Lightning Bolts")</f>
        <v>Wand Of Lightning Bolts</v>
      </c>
      <c r="B797" s="42">
        <v>32000</v>
      </c>
      <c r="C797" s="43">
        <v>4800</v>
      </c>
      <c r="D797" s="18" t="str">
        <f>VLOOKUP(F797,'Price Ranges'!$A$2:$B$8,2, FALSE)</f>
        <v>501-5000</v>
      </c>
      <c r="E797" s="8" t="str">
        <f>VLOOKUP(F797,'Price Ranges'!$A$2:$C$8,3, FALSE)</f>
        <v>2000-20000</v>
      </c>
      <c r="F797" s="44" t="s">
        <v>16</v>
      </c>
      <c r="G797" s="18" t="s">
        <v>20</v>
      </c>
      <c r="H797" s="45">
        <v>211</v>
      </c>
      <c r="I797" s="18" t="s">
        <v>38</v>
      </c>
      <c r="J797" s="20" t="s">
        <v>15</v>
      </c>
    </row>
    <row r="798" spans="1:10" ht="12.75">
      <c r="A798" s="15" t="str">
        <f>HYPERLINK("https://www.dndbeyond.com/magic-items/wand-of-magic-detection", "Wand Of Magic Detection")</f>
        <v>Wand Of Magic Detection</v>
      </c>
      <c r="B798" s="42">
        <v>1500</v>
      </c>
      <c r="C798" s="43">
        <v>150</v>
      </c>
      <c r="D798" s="18" t="str">
        <f>VLOOKUP(F798,'Price Ranges'!$A$2:$B$8,2, FALSE)</f>
        <v>101-500</v>
      </c>
      <c r="E798" s="8" t="str">
        <f>VLOOKUP(F798,'Price Ranges'!$A$2:$C$8,3, FALSE)</f>
        <v>100-600</v>
      </c>
      <c r="F798" s="44" t="s">
        <v>19</v>
      </c>
      <c r="G798" s="18" t="s">
        <v>20</v>
      </c>
      <c r="H798" s="45">
        <v>211</v>
      </c>
      <c r="I798" s="18" t="s">
        <v>38</v>
      </c>
      <c r="J798" s="20" t="s">
        <v>13</v>
      </c>
    </row>
    <row r="799" spans="1:10" ht="12.75">
      <c r="A799" s="15" t="str">
        <f>HYPERLINK("https://www.dndbeyond.com/magic-items/wand-of-magic-missiles", "Wand Of Magic Missiles")</f>
        <v>Wand Of Magic Missiles</v>
      </c>
      <c r="B799" s="42">
        <v>8000</v>
      </c>
      <c r="C799" s="43">
        <v>300</v>
      </c>
      <c r="D799" s="18" t="str">
        <f>VLOOKUP(F799,'Price Ranges'!$A$2:$B$8,2, FALSE)</f>
        <v>101-500</v>
      </c>
      <c r="E799" s="8" t="str">
        <f>VLOOKUP(F799,'Price Ranges'!$A$2:$C$8,3, FALSE)</f>
        <v>100-600</v>
      </c>
      <c r="F799" s="44" t="s">
        <v>19</v>
      </c>
      <c r="G799" s="44" t="s">
        <v>20</v>
      </c>
      <c r="H799" s="45">
        <v>211</v>
      </c>
      <c r="I799" s="18" t="s">
        <v>38</v>
      </c>
      <c r="J799" s="20" t="s">
        <v>13</v>
      </c>
    </row>
    <row r="800" spans="1:10" ht="12.75">
      <c r="A800" s="15" t="str">
        <f>HYPERLINK("https://www.dndbeyond.com/magic-items/wand-of-orcus", "Wand Of Orcus")</f>
        <v>Wand Of Orcus</v>
      </c>
      <c r="B800" s="46"/>
      <c r="C800" s="50"/>
      <c r="D800" s="18" t="str">
        <f>VLOOKUP(F800,'Price Ranges'!$A$2:$B$8,2, FALSE)</f>
        <v>Priceless</v>
      </c>
      <c r="E800" s="8" t="str">
        <f>VLOOKUP(F800,'Price Ranges'!$A$2:$C$8,3, FALSE)</f>
        <v>Priceless</v>
      </c>
      <c r="F800" s="44" t="s">
        <v>22</v>
      </c>
      <c r="G800" s="44" t="s">
        <v>20</v>
      </c>
      <c r="H800" s="51"/>
      <c r="I800" s="18" t="s">
        <v>38</v>
      </c>
      <c r="J800" s="20" t="s">
        <v>15</v>
      </c>
    </row>
    <row r="801" spans="1:10" ht="12.75">
      <c r="A801" s="15" t="str">
        <f>HYPERLINK("https://www.dndbeyond.com/magic-items/wand-of-paralysis", "Wand Of Paralysis")</f>
        <v>Wand Of Paralysis</v>
      </c>
      <c r="B801" s="42">
        <v>16000</v>
      </c>
      <c r="C801" s="43">
        <v>4250</v>
      </c>
      <c r="D801" s="18" t="str">
        <f>VLOOKUP(F801,'Price Ranges'!$A$2:$B$8,2, FALSE)</f>
        <v>501-5000</v>
      </c>
      <c r="E801" s="8" t="str">
        <f>VLOOKUP(F801,'Price Ranges'!$A$2:$C$8,3, FALSE)</f>
        <v>2000-20000</v>
      </c>
      <c r="F801" s="44" t="s">
        <v>16</v>
      </c>
      <c r="G801" s="44" t="s">
        <v>20</v>
      </c>
      <c r="H801" s="45">
        <v>211</v>
      </c>
      <c r="I801" s="18" t="s">
        <v>38</v>
      </c>
      <c r="J801" s="20" t="s">
        <v>15</v>
      </c>
    </row>
    <row r="802" spans="1:10" ht="12.75">
      <c r="A802" s="15" t="str">
        <f>HYPERLINK("https://www.dndbeyond.com/magic-items/wand-of-polymorph", "Wand Of Polymorph")</f>
        <v>Wand Of Polymorph</v>
      </c>
      <c r="B802" s="42">
        <v>32000</v>
      </c>
      <c r="C802" s="43">
        <v>21000</v>
      </c>
      <c r="D802" s="18" t="str">
        <f>VLOOKUP(F802,'Price Ranges'!$A$2:$B$8,2, FALSE)</f>
        <v>5001-50000</v>
      </c>
      <c r="E802" s="8" t="str">
        <f>VLOOKUP(F802,'Price Ranges'!$A$2:$C$8,3, FALSE)</f>
        <v>20000-50000</v>
      </c>
      <c r="F802" s="44" t="s">
        <v>10</v>
      </c>
      <c r="G802" s="44" t="s">
        <v>20</v>
      </c>
      <c r="H802" s="45">
        <v>211</v>
      </c>
      <c r="I802" s="18" t="s">
        <v>38</v>
      </c>
      <c r="J802" s="20" t="s">
        <v>15</v>
      </c>
    </row>
    <row r="803" spans="1:10" ht="12.75">
      <c r="A803" s="15" t="str">
        <f>HYPERLINK("https://www.dndbeyond.com/magic-items/wand-of-pyrotechnics", "Wand Of Pyrotechnics")</f>
        <v>Wand Of Pyrotechnics</v>
      </c>
      <c r="B803" s="46"/>
      <c r="C803" s="47">
        <v>65</v>
      </c>
      <c r="D803" s="18" t="str">
        <f>VLOOKUP(F803,'Price Ranges'!$A$2:$B$8,2, FALSE)</f>
        <v>50-100</v>
      </c>
      <c r="E803" s="8" t="str">
        <f>VLOOKUP(F803,'Price Ranges'!$A$2:$C$8,3, FALSE)</f>
        <v>20-70</v>
      </c>
      <c r="F803" s="44" t="s">
        <v>35</v>
      </c>
      <c r="G803" s="44" t="s">
        <v>37</v>
      </c>
      <c r="H803" s="45">
        <v>140</v>
      </c>
      <c r="I803" s="18" t="s">
        <v>38</v>
      </c>
      <c r="J803" s="20" t="s">
        <v>13</v>
      </c>
    </row>
    <row r="804" spans="1:10" ht="12.75">
      <c r="A804" s="15" t="str">
        <f>HYPERLINK("https://www.dndbeyond.com/magic-items/wand-of-scowls", "Wand Of Scowls")</f>
        <v>Wand Of Scowls</v>
      </c>
      <c r="B804" s="46"/>
      <c r="C804" s="47">
        <v>60</v>
      </c>
      <c r="D804" s="18" t="str">
        <f>VLOOKUP(F804,'Price Ranges'!$A$2:$B$8,2, FALSE)</f>
        <v>50-100</v>
      </c>
      <c r="E804" s="8" t="str">
        <f>VLOOKUP(F804,'Price Ranges'!$A$2:$C$8,3, FALSE)</f>
        <v>20-70</v>
      </c>
      <c r="F804" s="44" t="s">
        <v>35</v>
      </c>
      <c r="G804" s="44" t="s">
        <v>37</v>
      </c>
      <c r="H804" s="45">
        <v>140</v>
      </c>
      <c r="I804" s="18" t="s">
        <v>38</v>
      </c>
      <c r="J804" s="20" t="s">
        <v>13</v>
      </c>
    </row>
    <row r="805" spans="1:10" ht="12.75">
      <c r="A805" s="15" t="str">
        <f>HYPERLINK("https://www.dndbeyond.com/magic-items/wand-of-secrets", "Wand Of Secrets")</f>
        <v>Wand Of Secrets</v>
      </c>
      <c r="B805" s="42">
        <v>1500</v>
      </c>
      <c r="C805" s="43">
        <v>125</v>
      </c>
      <c r="D805" s="18" t="str">
        <f>VLOOKUP(F805,'Price Ranges'!$A$2:$B$8,2, FALSE)</f>
        <v>101-500</v>
      </c>
      <c r="E805" s="8" t="str">
        <f>VLOOKUP(F805,'Price Ranges'!$A$2:$C$8,3, FALSE)</f>
        <v>100-600</v>
      </c>
      <c r="F805" s="44" t="s">
        <v>19</v>
      </c>
      <c r="G805" s="44" t="s">
        <v>20</v>
      </c>
      <c r="H805" s="45">
        <v>211</v>
      </c>
      <c r="I805" s="18" t="s">
        <v>38</v>
      </c>
      <c r="J805" s="20" t="s">
        <v>13</v>
      </c>
    </row>
    <row r="806" spans="1:10" ht="12.75">
      <c r="A806" s="15" t="str">
        <f>HYPERLINK("https://www.dndbeyond.com/magic-items/wand-of-smiles", "Wand Of Smiles")</f>
        <v>Wand Of Smiles</v>
      </c>
      <c r="B806" s="46"/>
      <c r="C806" s="47">
        <v>60</v>
      </c>
      <c r="D806" s="18" t="str">
        <f>VLOOKUP(F806,'Price Ranges'!$A$2:$B$8,2, FALSE)</f>
        <v>50-100</v>
      </c>
      <c r="E806" s="8" t="str">
        <f>VLOOKUP(F806,'Price Ranges'!$A$2:$C$8,3, FALSE)</f>
        <v>20-70</v>
      </c>
      <c r="F806" s="44" t="s">
        <v>35</v>
      </c>
      <c r="G806" s="44" t="s">
        <v>37</v>
      </c>
      <c r="H806" s="45">
        <v>140</v>
      </c>
      <c r="I806" s="18" t="s">
        <v>38</v>
      </c>
      <c r="J806" s="20" t="s">
        <v>13</v>
      </c>
    </row>
    <row r="807" spans="1:10" ht="12.75">
      <c r="A807" s="15" t="str">
        <f>HYPERLINK("https://www.dndbeyond.com/magic-items/wand-of-the-war-mage", "Wand Of The War Mage +1")</f>
        <v>Wand Of The War Mage +1</v>
      </c>
      <c r="B807" s="42">
        <v>1200</v>
      </c>
      <c r="C807" s="43">
        <v>400</v>
      </c>
      <c r="D807" s="18" t="str">
        <f>VLOOKUP(F807,'Price Ranges'!$A$2:$B$8,2, FALSE)</f>
        <v>101-500</v>
      </c>
      <c r="E807" s="8" t="str">
        <f>VLOOKUP(F807,'Price Ranges'!$A$2:$C$8,3, FALSE)</f>
        <v>100-600</v>
      </c>
      <c r="F807" s="44" t="s">
        <v>19</v>
      </c>
      <c r="G807" s="44" t="s">
        <v>20</v>
      </c>
      <c r="H807" s="45">
        <v>212</v>
      </c>
      <c r="I807" s="18" t="s">
        <v>38</v>
      </c>
      <c r="J807" s="20" t="s">
        <v>15</v>
      </c>
    </row>
    <row r="808" spans="1:10" ht="12.75">
      <c r="A808" s="15" t="str">
        <f>HYPERLINK("https://www.dndbeyond.com/magic-items/wand-of-the-war-mage", "Wand Of The War Mage +2")</f>
        <v>Wand Of The War Mage +2</v>
      </c>
      <c r="B808" s="42">
        <v>4800</v>
      </c>
      <c r="C808" s="43">
        <v>4000</v>
      </c>
      <c r="D808" s="18" t="str">
        <f>VLOOKUP(F808,'Price Ranges'!$A$2:$B$8,2, FALSE)</f>
        <v>501-5000</v>
      </c>
      <c r="E808" s="8" t="str">
        <f>VLOOKUP(F808,'Price Ranges'!$A$2:$C$8,3, FALSE)</f>
        <v>2000-20000</v>
      </c>
      <c r="F808" s="44" t="s">
        <v>16</v>
      </c>
      <c r="G808" s="44" t="s">
        <v>20</v>
      </c>
      <c r="H808" s="45">
        <v>212</v>
      </c>
      <c r="I808" s="18" t="s">
        <v>38</v>
      </c>
      <c r="J808" s="20" t="s">
        <v>15</v>
      </c>
    </row>
    <row r="809" spans="1:10" ht="12.75">
      <c r="A809" s="15" t="str">
        <f>HYPERLINK("https://www.dndbeyond.com/magic-items/wand-of-the-war-mage", "Wand Of The War Mage +3")</f>
        <v>Wand Of The War Mage +3</v>
      </c>
      <c r="B809" s="42">
        <v>19200</v>
      </c>
      <c r="C809" s="43">
        <v>14000</v>
      </c>
      <c r="D809" s="18" t="str">
        <f>VLOOKUP(F809,'Price Ranges'!$A$2:$B$8,2, FALSE)</f>
        <v>5001-50000</v>
      </c>
      <c r="E809" s="8" t="str">
        <f>VLOOKUP(F809,'Price Ranges'!$A$2:$C$8,3, FALSE)</f>
        <v>20000-50000</v>
      </c>
      <c r="F809" s="44" t="s">
        <v>10</v>
      </c>
      <c r="G809" s="44" t="s">
        <v>20</v>
      </c>
      <c r="H809" s="45">
        <v>212</v>
      </c>
      <c r="I809" s="18" t="s">
        <v>38</v>
      </c>
      <c r="J809" s="20" t="s">
        <v>15</v>
      </c>
    </row>
    <row r="810" spans="1:10" ht="12.75">
      <c r="A810" s="15" t="str">
        <f>HYPERLINK("https://www.dndbeyond.com/magic-items/wand-of-viscid-globs", "Wand Of Viscid Globs")</f>
        <v>Wand Of Viscid Globs</v>
      </c>
      <c r="B810" s="46"/>
      <c r="C810" s="47">
        <v>900</v>
      </c>
      <c r="D810" s="18" t="str">
        <f>VLOOKUP(F810,'Price Ranges'!$A$2:$B$8,2, FALSE)</f>
        <v>501-5000</v>
      </c>
      <c r="E810" s="8" t="str">
        <f>VLOOKUP(F810,'Price Ranges'!$A$2:$C$8,3, FALSE)</f>
        <v>2000-20000</v>
      </c>
      <c r="F810" s="44" t="s">
        <v>16</v>
      </c>
      <c r="G810" s="44" t="s">
        <v>65</v>
      </c>
      <c r="H810" s="49">
        <v>223</v>
      </c>
      <c r="I810" s="18" t="s">
        <v>38</v>
      </c>
      <c r="J810" s="20" t="s">
        <v>15</v>
      </c>
    </row>
    <row r="811" spans="1:10" ht="12.75">
      <c r="A811" s="15" t="str">
        <f>HYPERLINK("https://www.dndbeyond.com/magic-items/wand-of-web", "Wand Of Web")</f>
        <v>Wand Of Web</v>
      </c>
      <c r="B811" s="42">
        <v>8000</v>
      </c>
      <c r="C811" s="43">
        <v>250</v>
      </c>
      <c r="D811" s="18" t="str">
        <f>VLOOKUP(F811,'Price Ranges'!$A$2:$B$8,2, FALSE)</f>
        <v>101-500</v>
      </c>
      <c r="E811" s="8" t="str">
        <f>VLOOKUP(F811,'Price Ranges'!$A$2:$C$8,3, FALSE)</f>
        <v>100-600</v>
      </c>
      <c r="F811" s="44" t="s">
        <v>19</v>
      </c>
      <c r="G811" s="44" t="s">
        <v>20</v>
      </c>
      <c r="H811" s="45">
        <v>212</v>
      </c>
      <c r="I811" s="18" t="s">
        <v>38</v>
      </c>
      <c r="J811" s="20" t="s">
        <v>15</v>
      </c>
    </row>
    <row r="812" spans="1:10" ht="12.75">
      <c r="A812" s="15" t="str">
        <f>HYPERLINK("https://www.dndbeyond.com/magic-items/wand-of-winter", "Wand Of Winter")</f>
        <v>Wand Of Winter</v>
      </c>
      <c r="B812" s="46"/>
      <c r="C812" s="47">
        <v>4100</v>
      </c>
      <c r="D812" s="18" t="str">
        <f>VLOOKUP(F812,'Price Ranges'!$A$2:$B$8,2, FALSE)</f>
        <v>501-5000</v>
      </c>
      <c r="E812" s="8" t="str">
        <f>VLOOKUP(F812,'Price Ranges'!$A$2:$C$8,3, FALSE)</f>
        <v>2000-20000</v>
      </c>
      <c r="F812" s="44" t="s">
        <v>16</v>
      </c>
      <c r="G812" s="44" t="s">
        <v>47</v>
      </c>
      <c r="H812" s="49">
        <v>94</v>
      </c>
      <c r="I812" s="18" t="s">
        <v>38</v>
      </c>
      <c r="J812" s="20" t="s">
        <v>15</v>
      </c>
    </row>
    <row r="813" spans="1:10" ht="12.75">
      <c r="A813" s="5" t="s">
        <v>1290</v>
      </c>
      <c r="B813" s="52"/>
      <c r="C813" s="47">
        <v>80</v>
      </c>
      <c r="D813" s="18"/>
      <c r="E813" s="18"/>
      <c r="F813" s="56" t="s">
        <v>35</v>
      </c>
      <c r="G813" s="56" t="s">
        <v>1296</v>
      </c>
      <c r="H813" s="57"/>
      <c r="I813" s="18" t="s">
        <v>38</v>
      </c>
      <c r="J813" s="20" t="s">
        <v>13</v>
      </c>
    </row>
    <row r="814" spans="1:10" ht="12.75">
      <c r="A814" s="5" t="s">
        <v>1291</v>
      </c>
      <c r="B814" s="52"/>
      <c r="C814" s="47">
        <v>400</v>
      </c>
      <c r="D814" s="18"/>
      <c r="E814" s="18"/>
      <c r="F814" s="56" t="s">
        <v>19</v>
      </c>
      <c r="G814" s="56" t="s">
        <v>1296</v>
      </c>
      <c r="H814" s="57"/>
      <c r="I814" s="18" t="s">
        <v>38</v>
      </c>
      <c r="J814" s="20" t="s">
        <v>13</v>
      </c>
    </row>
    <row r="815" spans="1:10" ht="12.75">
      <c r="A815" s="5" t="s">
        <v>1292</v>
      </c>
      <c r="B815" s="52"/>
      <c r="C815" s="47">
        <v>700</v>
      </c>
      <c r="D815" s="18"/>
      <c r="E815" s="18"/>
      <c r="F815" s="56" t="s">
        <v>19</v>
      </c>
      <c r="G815" s="56" t="s">
        <v>1296</v>
      </c>
      <c r="H815" s="57"/>
      <c r="I815" s="18" t="s">
        <v>38</v>
      </c>
      <c r="J815" s="20" t="s">
        <v>15</v>
      </c>
    </row>
    <row r="816" spans="1:10" ht="12.75">
      <c r="A816" s="5" t="s">
        <v>1293</v>
      </c>
      <c r="B816" s="52"/>
      <c r="C816" s="47">
        <v>1500</v>
      </c>
      <c r="D816" s="18"/>
      <c r="E816" s="18"/>
      <c r="F816" s="56" t="s">
        <v>16</v>
      </c>
      <c r="G816" s="56" t="s">
        <v>1296</v>
      </c>
      <c r="H816" s="57"/>
      <c r="I816" s="18" t="s">
        <v>38</v>
      </c>
      <c r="J816" s="20" t="s">
        <v>15</v>
      </c>
    </row>
    <row r="817" spans="1:10" ht="12.75">
      <c r="A817" s="5" t="s">
        <v>1294</v>
      </c>
      <c r="B817" s="52"/>
      <c r="C817" s="47">
        <v>13000</v>
      </c>
      <c r="D817" s="18"/>
      <c r="E817" s="18"/>
      <c r="F817" s="56" t="s">
        <v>10</v>
      </c>
      <c r="G817" s="56" t="s">
        <v>1296</v>
      </c>
      <c r="H817" s="57"/>
      <c r="I817" s="18" t="s">
        <v>38</v>
      </c>
      <c r="J817" s="20" t="s">
        <v>15</v>
      </c>
    </row>
    <row r="818" spans="1:10" ht="12.75">
      <c r="A818" s="5" t="s">
        <v>1295</v>
      </c>
      <c r="B818" s="52"/>
      <c r="C818" s="47">
        <v>30000</v>
      </c>
      <c r="D818" s="18"/>
      <c r="E818" s="18"/>
      <c r="F818" s="56" t="s">
        <v>31</v>
      </c>
      <c r="G818" s="56" t="s">
        <v>1296</v>
      </c>
      <c r="H818" s="57"/>
      <c r="I818" s="18" t="s">
        <v>38</v>
      </c>
      <c r="J818" s="20" t="s">
        <v>15</v>
      </c>
    </row>
    <row r="819" spans="1:10" ht="12.75">
      <c r="A819" s="15" t="str">
        <f>HYPERLINK("https://www.dndbeyond.com/magic-items/wand-of-wonder", "Wand Of Wonder")</f>
        <v>Wand Of Wonder</v>
      </c>
      <c r="B819" s="46"/>
      <c r="C819" s="47">
        <v>2250</v>
      </c>
      <c r="D819" s="18" t="str">
        <f>VLOOKUP(F819,'Price Ranges'!$A$2:$B$8,2, FALSE)</f>
        <v>501-5000</v>
      </c>
      <c r="E819" s="8" t="str">
        <f>VLOOKUP(F819,'Price Ranges'!$A$2:$C$8,3, FALSE)</f>
        <v>2000-20000</v>
      </c>
      <c r="F819" s="44" t="s">
        <v>16</v>
      </c>
      <c r="G819" s="44" t="s">
        <v>20</v>
      </c>
      <c r="H819" s="49">
        <v>212</v>
      </c>
      <c r="I819" s="18" t="s">
        <v>38</v>
      </c>
      <c r="J819" s="20" t="s">
        <v>15</v>
      </c>
    </row>
    <row r="820" spans="1:10" ht="12.75">
      <c r="A820" s="15" t="str">
        <f t="shared" ref="A820:A821" si="25">HYPERLINK("https://www.dndbeyond.com/magic-items/wand-sheath", "Wand Sheath")</f>
        <v>Wand Sheath</v>
      </c>
      <c r="B820" s="46"/>
      <c r="C820" s="52">
        <v>75</v>
      </c>
      <c r="D820" s="18" t="str">
        <f>VLOOKUP(F820,'Price Ranges'!$A$2:$B$8,2, FALSE)</f>
        <v>50-100</v>
      </c>
      <c r="E820" s="8" t="str">
        <f>VLOOKUP(F820,'Price Ranges'!$A$2:$C$8,3, FALSE)</f>
        <v>20-70</v>
      </c>
      <c r="F820" s="44" t="s">
        <v>35</v>
      </c>
      <c r="G820" s="44" t="s">
        <v>36</v>
      </c>
      <c r="H820" s="51"/>
      <c r="I820" s="18" t="s">
        <v>12</v>
      </c>
      <c r="J820" s="20" t="s">
        <v>15</v>
      </c>
    </row>
    <row r="821" spans="1:10" ht="12.75">
      <c r="A821" s="5" t="str">
        <f t="shared" si="25"/>
        <v>Wand Sheath</v>
      </c>
      <c r="B821" s="46"/>
      <c r="C821" s="52">
        <v>75</v>
      </c>
      <c r="D821" s="8" t="str">
        <f>VLOOKUP(F821,'Price Ranges'!$A$2:$B$8,2, FALSE)</f>
        <v>50-100</v>
      </c>
      <c r="E821" s="8" t="str">
        <f>VLOOKUP(F821,'Price Ranges'!$A$2:$C$8,3, FALSE)</f>
        <v>20-70</v>
      </c>
      <c r="F821" s="53" t="s">
        <v>35</v>
      </c>
      <c r="G821" s="53" t="s">
        <v>33</v>
      </c>
      <c r="H821" s="54"/>
      <c r="I821" s="9" t="s">
        <v>12</v>
      </c>
      <c r="J821" s="13" t="s">
        <v>15</v>
      </c>
    </row>
    <row r="822" spans="1:10" ht="12.75">
      <c r="A822" s="15" t="str">
        <f>HYPERLINK("https://www.dndbeyond.com/magic-items/wave", "Wave")</f>
        <v>Wave</v>
      </c>
      <c r="B822" s="46"/>
      <c r="C822" s="50"/>
      <c r="D822" s="18" t="str">
        <f>VLOOKUP(F822,'Price Ranges'!$A$2:$B$8,2, FALSE)</f>
        <v>50001+</v>
      </c>
      <c r="E822" s="8" t="str">
        <f>VLOOKUP(F822,'Price Ranges'!$A$2:$C$8,3, FALSE)</f>
        <v>50000-300000</v>
      </c>
      <c r="F822" s="44" t="s">
        <v>31</v>
      </c>
      <c r="G822" s="44" t="s">
        <v>20</v>
      </c>
      <c r="H822" s="51"/>
      <c r="I822" s="18" t="s">
        <v>18</v>
      </c>
      <c r="J822" s="20" t="s">
        <v>15</v>
      </c>
    </row>
    <row r="823" spans="1:10" ht="12.75">
      <c r="A823" s="15" t="str">
        <f>HYPERLINK("https://www.dndbeyond.com/magic-items/waythe", "Waythe (greatsword)")</f>
        <v>Waythe (greatsword)</v>
      </c>
      <c r="B823" s="46"/>
      <c r="C823" s="47">
        <v>62000</v>
      </c>
      <c r="D823" s="18" t="str">
        <f>VLOOKUP(F823,'Price Ranges'!$A$2:$B$8,2, FALSE)</f>
        <v>50001+</v>
      </c>
      <c r="E823" s="8" t="str">
        <f>VLOOKUP(F823,'Price Ranges'!$A$2:$C$8,3, FALSE)</f>
        <v>50000-300000</v>
      </c>
      <c r="F823" s="44" t="s">
        <v>31</v>
      </c>
      <c r="G823" s="44" t="s">
        <v>27</v>
      </c>
      <c r="H823" s="49">
        <v>229</v>
      </c>
      <c r="I823" s="18" t="s">
        <v>18</v>
      </c>
      <c r="J823" s="20" t="s">
        <v>15</v>
      </c>
    </row>
    <row r="824" spans="1:10" ht="12.75">
      <c r="A824" s="5" t="str">
        <f>HYPERLINK("https://www.dndbeyond.com/magic-items/weapon-of-certain-death", "Weapon of Certain Death")</f>
        <v>Weapon of Certain Death</v>
      </c>
      <c r="B824" s="46"/>
      <c r="C824" s="52">
        <v>1500</v>
      </c>
      <c r="D824" s="8" t="str">
        <f>VLOOKUP(F824,'Price Ranges'!$A$2:$B$8,2, FALSE)</f>
        <v>501-5000</v>
      </c>
      <c r="E824" s="8" t="str">
        <f>VLOOKUP(F824,'Price Ranges'!$A$2:$C$8,3, FALSE)</f>
        <v>2000-20000</v>
      </c>
      <c r="F824" s="53" t="s">
        <v>16</v>
      </c>
      <c r="G824" s="53" t="s">
        <v>17</v>
      </c>
      <c r="H824" s="55">
        <v>270</v>
      </c>
      <c r="I824" s="9" t="s">
        <v>18</v>
      </c>
      <c r="J824" s="13" t="s">
        <v>13</v>
      </c>
    </row>
    <row r="825" spans="1:10" ht="12.75">
      <c r="A825" s="15" t="str">
        <f>HYPERLINK("https://www.dndbeyond.com/magic-items/weapon-of-warning", "Weapon Of Warning")</f>
        <v>Weapon Of Warning</v>
      </c>
      <c r="B825" s="42">
        <v>60000</v>
      </c>
      <c r="C825" s="43">
        <v>400</v>
      </c>
      <c r="D825" s="18" t="str">
        <f>VLOOKUP(F825,'Price Ranges'!$A$2:$B$8,2, FALSE)</f>
        <v>101-500</v>
      </c>
      <c r="E825" s="8" t="str">
        <f>VLOOKUP(F825,'Price Ranges'!$A$2:$C$8,3, FALSE)</f>
        <v>100-600</v>
      </c>
      <c r="F825" s="44" t="s">
        <v>19</v>
      </c>
      <c r="G825" s="44" t="s">
        <v>20</v>
      </c>
      <c r="H825" s="45">
        <v>213</v>
      </c>
      <c r="I825" s="18" t="s">
        <v>18</v>
      </c>
      <c r="J825" s="20" t="s">
        <v>15</v>
      </c>
    </row>
    <row r="826" spans="1:10" ht="12.75">
      <c r="A826" s="15" t="str">
        <f>HYPERLINK("https://www.dndbeyond.com/magic-items/weapon-1", "Weapon, +1")</f>
        <v>Weapon, +1</v>
      </c>
      <c r="B826" s="42">
        <v>1000</v>
      </c>
      <c r="C826" s="43">
        <v>500</v>
      </c>
      <c r="D826" s="18" t="str">
        <f>VLOOKUP(F826,'Price Ranges'!$A$2:$B$8,2, FALSE)</f>
        <v>101-500</v>
      </c>
      <c r="E826" s="8" t="str">
        <f>VLOOKUP(F826,'Price Ranges'!$A$2:$C$8,3, FALSE)</f>
        <v>100-600</v>
      </c>
      <c r="F826" s="44" t="s">
        <v>19</v>
      </c>
      <c r="G826" s="44" t="s">
        <v>20</v>
      </c>
      <c r="H826" s="45">
        <v>213</v>
      </c>
      <c r="I826" s="18" t="s">
        <v>18</v>
      </c>
      <c r="J826" s="20" t="s">
        <v>13</v>
      </c>
    </row>
    <row r="827" spans="1:10" ht="12.75">
      <c r="A827" s="15" t="str">
        <f>HYPERLINK("https://www.dndbeyond.com/magic-items/weapon-2", "Weapon, +2")</f>
        <v>Weapon, +2</v>
      </c>
      <c r="B827" s="42">
        <v>4000</v>
      </c>
      <c r="C827" s="43">
        <v>2500</v>
      </c>
      <c r="D827" s="18" t="str">
        <f>VLOOKUP(F827,'Price Ranges'!$A$2:$B$8,2, FALSE)</f>
        <v>501-5000</v>
      </c>
      <c r="E827" s="8" t="str">
        <f>VLOOKUP(F827,'Price Ranges'!$A$2:$C$8,3, FALSE)</f>
        <v>2000-20000</v>
      </c>
      <c r="F827" s="44" t="s">
        <v>16</v>
      </c>
      <c r="G827" s="44" t="s">
        <v>20</v>
      </c>
      <c r="H827" s="45">
        <v>213</v>
      </c>
      <c r="I827" s="18" t="s">
        <v>18</v>
      </c>
      <c r="J827" s="20" t="s">
        <v>13</v>
      </c>
    </row>
    <row r="828" spans="1:10" ht="12.75">
      <c r="A828" s="15" t="str">
        <f>HYPERLINK("https://www.dndbeyond.com/magic-items/weapon-3", "Weapon, +3")</f>
        <v>Weapon, +3</v>
      </c>
      <c r="B828" s="42">
        <v>16000</v>
      </c>
      <c r="C828" s="43">
        <v>15000</v>
      </c>
      <c r="D828" s="18" t="str">
        <f>VLOOKUP(F828,'Price Ranges'!$A$2:$B$8,2, FALSE)</f>
        <v>5001-50000</v>
      </c>
      <c r="E828" s="8" t="str">
        <f>VLOOKUP(F828,'Price Ranges'!$A$2:$C$8,3, FALSE)</f>
        <v>20000-50000</v>
      </c>
      <c r="F828" s="44" t="s">
        <v>10</v>
      </c>
      <c r="G828" s="44" t="s">
        <v>20</v>
      </c>
      <c r="H828" s="45">
        <v>213</v>
      </c>
      <c r="I828" s="18" t="s">
        <v>18</v>
      </c>
      <c r="J828" s="20" t="s">
        <v>13</v>
      </c>
    </row>
    <row r="829" spans="1:10" ht="12.75">
      <c r="A829" s="15" t="str">
        <f>HYPERLINK("https://www.dndbeyond.com/magic-items/weird-tank", "Weird Tank")</f>
        <v>Weird Tank</v>
      </c>
      <c r="B829" s="46"/>
      <c r="C829" s="47">
        <v>2200</v>
      </c>
      <c r="D829" s="18" t="str">
        <f>VLOOKUP(F829,'Price Ranges'!$A$2:$B$8,2, FALSE)</f>
        <v>501-5000</v>
      </c>
      <c r="E829" s="8" t="str">
        <f>VLOOKUP(F829,'Price Ranges'!$A$2:$C$8,3, FALSE)</f>
        <v>2000-20000</v>
      </c>
      <c r="F829" s="44" t="s">
        <v>16</v>
      </c>
      <c r="G829" s="44" t="s">
        <v>40</v>
      </c>
      <c r="H829" s="49">
        <v>223</v>
      </c>
      <c r="I829" s="18" t="s">
        <v>12</v>
      </c>
      <c r="J829" s="20" t="s">
        <v>15</v>
      </c>
    </row>
    <row r="830" spans="1:10" ht="12.75">
      <c r="A830" s="15" t="str">
        <f>HYPERLINK("https://www.dndbeyond.com/magic-items/well-of-many-worlds", "Well Of Many Worlds")</f>
        <v>Well Of Many Worlds</v>
      </c>
      <c r="B830" s="46"/>
      <c r="C830" s="47">
        <v>90000</v>
      </c>
      <c r="D830" s="18" t="str">
        <f>VLOOKUP(F830,'Price Ranges'!$A$2:$B$8,2, FALSE)</f>
        <v>50001+</v>
      </c>
      <c r="E830" s="8" t="str">
        <f>VLOOKUP(F830,'Price Ranges'!$A$2:$C$8,3, FALSE)</f>
        <v>50000-300000</v>
      </c>
      <c r="F830" s="44" t="s">
        <v>31</v>
      </c>
      <c r="G830" s="44" t="s">
        <v>20</v>
      </c>
      <c r="H830" s="49">
        <v>213</v>
      </c>
      <c r="I830" s="18" t="s">
        <v>12</v>
      </c>
      <c r="J830" s="20" t="s">
        <v>13</v>
      </c>
    </row>
    <row r="831" spans="1:10" ht="12.75">
      <c r="A831" s="15" t="str">
        <f>HYPERLINK("https://www.dndbeyond.com/magic-items/wheel-of-stars", "Wheel Of Stars")</f>
        <v>Wheel Of Stars</v>
      </c>
      <c r="B831" s="46"/>
      <c r="C831" s="52">
        <v>6500</v>
      </c>
      <c r="D831" s="18" t="str">
        <f>VLOOKUP(F831,'Price Ranges'!$A$2:$B$8,2, FALSE)</f>
        <v>5001-50000</v>
      </c>
      <c r="E831" s="8" t="str">
        <f>VLOOKUP(F831,'Price Ranges'!$A$2:$C$8,3, FALSE)</f>
        <v>20000-50000</v>
      </c>
      <c r="F831" s="44" t="s">
        <v>10</v>
      </c>
      <c r="G831" s="44" t="s">
        <v>60</v>
      </c>
      <c r="H831" s="51"/>
      <c r="I831" s="18" t="s">
        <v>12</v>
      </c>
      <c r="J831" s="20" t="s">
        <v>15</v>
      </c>
    </row>
    <row r="832" spans="1:10" ht="12.75">
      <c r="A832" s="15" t="str">
        <f t="shared" ref="A832:A833" si="26">HYPERLINK("https://www.dndbeyond.com/magic-items/wheel-of-wind-and-water", "Wheel Of Wind And Water")</f>
        <v>Wheel Of Wind And Water</v>
      </c>
      <c r="B832" s="46"/>
      <c r="C832" s="52">
        <v>350</v>
      </c>
      <c r="D832" s="18" t="str">
        <f>VLOOKUP(F832,'Price Ranges'!$A$2:$B$8,2, FALSE)</f>
        <v>101-500</v>
      </c>
      <c r="E832" s="8" t="str">
        <f>VLOOKUP(F832,'Price Ranges'!$A$2:$C$8,3, FALSE)</f>
        <v>100-600</v>
      </c>
      <c r="F832" s="44" t="s">
        <v>19</v>
      </c>
      <c r="G832" s="44" t="s">
        <v>36</v>
      </c>
      <c r="H832" s="51"/>
      <c r="I832" s="18" t="s">
        <v>12</v>
      </c>
      <c r="J832" s="20" t="s">
        <v>13</v>
      </c>
    </row>
    <row r="833" spans="1:10" ht="12.75">
      <c r="A833" s="5" t="str">
        <f t="shared" si="26"/>
        <v>Wheel Of Wind And Water</v>
      </c>
      <c r="B833" s="46"/>
      <c r="C833" s="52">
        <v>350</v>
      </c>
      <c r="D833" s="8" t="str">
        <f>VLOOKUP(F833,'Price Ranges'!$A$2:$B$8,2, FALSE)</f>
        <v>101-500</v>
      </c>
      <c r="E833" s="8" t="str">
        <f>VLOOKUP(F833,'Price Ranges'!$A$2:$C$8,3, FALSE)</f>
        <v>100-600</v>
      </c>
      <c r="F833" s="53" t="s">
        <v>19</v>
      </c>
      <c r="G833" s="53" t="s">
        <v>33</v>
      </c>
      <c r="H833" s="54"/>
      <c r="I833" s="9" t="s">
        <v>12</v>
      </c>
      <c r="J833" s="13" t="s">
        <v>13</v>
      </c>
    </row>
    <row r="834" spans="1:10" ht="12.75">
      <c r="A834" s="15" t="str">
        <f>HYPERLINK("https://www.dndbeyond.com/magic-items/whelm", "Whelm")</f>
        <v>Whelm</v>
      </c>
      <c r="B834" s="46"/>
      <c r="C834" s="50"/>
      <c r="D834" s="18" t="str">
        <f>VLOOKUP(F834,'Price Ranges'!$A$2:$B$8,2, FALSE)</f>
        <v>50001+</v>
      </c>
      <c r="E834" s="8" t="str">
        <f>VLOOKUP(F834,'Price Ranges'!$A$2:$C$8,3, FALSE)</f>
        <v>50000-300000</v>
      </c>
      <c r="F834" s="44" t="s">
        <v>31</v>
      </c>
      <c r="G834" s="44" t="s">
        <v>20</v>
      </c>
      <c r="H834" s="51"/>
      <c r="I834" s="18" t="s">
        <v>18</v>
      </c>
      <c r="J834" s="20" t="s">
        <v>15</v>
      </c>
    </row>
    <row r="835" spans="1:10" ht="12.75">
      <c r="A835" s="15" t="str">
        <f>HYPERLINK("https://www.dndbeyond.com/magic-items/whisper-jar", "Whisper Jar")</f>
        <v>Whisper Jar</v>
      </c>
      <c r="B835" s="46"/>
      <c r="C835" s="50"/>
      <c r="D835" s="18" t="str">
        <f>VLOOKUP(F835,'Price Ranges'!$A$2:$B$8,2, FALSE)</f>
        <v>Varies</v>
      </c>
      <c r="E835" s="8" t="str">
        <f>VLOOKUP(F835,'Price Ranges'!$A$2:$C$8,3, FALSE)</f>
        <v>Varies</v>
      </c>
      <c r="F835" s="44" t="s">
        <v>24</v>
      </c>
      <c r="G835" s="44" t="s">
        <v>60</v>
      </c>
      <c r="H835" s="44"/>
      <c r="I835" s="18" t="s">
        <v>12</v>
      </c>
      <c r="J835" s="20" t="s">
        <v>13</v>
      </c>
    </row>
    <row r="836" spans="1:10" ht="12.75">
      <c r="A836" s="15" t="str">
        <f>HYPERLINK("https://www.dndbeyond.com/magic-items/white-dragon-mask", "White Dragon Mask")</f>
        <v>White Dragon Mask</v>
      </c>
      <c r="B836" s="46"/>
      <c r="C836" s="50"/>
      <c r="D836" s="18" t="str">
        <f>VLOOKUP(F836,'Price Ranges'!$A$2:$B$8,2, FALSE)</f>
        <v>50001+</v>
      </c>
      <c r="E836" s="8" t="str">
        <f>VLOOKUP(F836,'Price Ranges'!$A$2:$C$8,3, FALSE)</f>
        <v>50000-300000</v>
      </c>
      <c r="F836" s="44" t="s">
        <v>31</v>
      </c>
      <c r="G836" s="44" t="s">
        <v>53</v>
      </c>
      <c r="H836" s="44"/>
      <c r="I836" s="18" t="s">
        <v>12</v>
      </c>
      <c r="J836" s="20" t="s">
        <v>15</v>
      </c>
    </row>
    <row r="837" spans="1:10" ht="12.75">
      <c r="A837" s="5" t="str">
        <f>HYPERLINK("https://www.dndbeyond.com/magic-items/will-of-the-talon", "Will of the Talon")</f>
        <v>Will of the Talon</v>
      </c>
      <c r="B837" s="46"/>
      <c r="C837" s="50"/>
      <c r="D837" s="8" t="str">
        <f>VLOOKUP(F837,'Price Ranges'!$A$2:$B$8,2, FALSE)</f>
        <v>Priceless</v>
      </c>
      <c r="E837" s="8" t="str">
        <f>VLOOKUP(F837,'Price Ranges'!$A$2:$C$8,3, FALSE)</f>
        <v>Priceless</v>
      </c>
      <c r="F837" s="53" t="s">
        <v>22</v>
      </c>
      <c r="G837" s="53" t="s">
        <v>17</v>
      </c>
      <c r="H837" s="55">
        <v>279</v>
      </c>
      <c r="I837" s="9" t="s">
        <v>18</v>
      </c>
      <c r="J837" s="13" t="s">
        <v>15</v>
      </c>
    </row>
    <row r="838" spans="1:10" ht="12.75">
      <c r="A838" s="15" t="str">
        <f>HYPERLINK("https://www.dndbeyond.com/magic-items/wind-fan", "Wind Fan")</f>
        <v>Wind Fan</v>
      </c>
      <c r="B838" s="42">
        <v>1500</v>
      </c>
      <c r="C838" s="43">
        <v>150</v>
      </c>
      <c r="D838" s="18" t="str">
        <f>VLOOKUP(F838,'Price Ranges'!$A$2:$B$8,2, FALSE)</f>
        <v>101-500</v>
      </c>
      <c r="E838" s="8" t="str">
        <f>VLOOKUP(F838,'Price Ranges'!$A$2:$C$8,3, FALSE)</f>
        <v>100-600</v>
      </c>
      <c r="F838" s="44" t="s">
        <v>19</v>
      </c>
      <c r="G838" s="44" t="s">
        <v>20</v>
      </c>
      <c r="H838" s="45">
        <v>213</v>
      </c>
      <c r="I838" s="18" t="s">
        <v>12</v>
      </c>
      <c r="J838" s="20" t="s">
        <v>13</v>
      </c>
    </row>
    <row r="839" spans="1:10" ht="12.75">
      <c r="A839" s="15" t="str">
        <f>HYPERLINK("https://www.dndbeyond.com/magic-items/windvane", "Windvane")</f>
        <v>Windvane</v>
      </c>
      <c r="B839" s="46"/>
      <c r="C839" s="47">
        <v>68000</v>
      </c>
      <c r="D839" s="8" t="str">
        <f>VLOOKUP(F839,'Price Ranges'!$A$2:$B$8,2, FALSE)</f>
        <v>50001+</v>
      </c>
      <c r="E839" s="8" t="str">
        <f>VLOOKUP(F839,'Price Ranges'!$A$2:$C$8,3, FALSE)</f>
        <v>50000-300000</v>
      </c>
      <c r="F839" s="56" t="s">
        <v>31</v>
      </c>
      <c r="G839" s="56" t="s">
        <v>40</v>
      </c>
      <c r="H839" s="57">
        <v>225</v>
      </c>
      <c r="I839" s="8" t="s">
        <v>18</v>
      </c>
      <c r="J839" s="11" t="s">
        <v>15</v>
      </c>
    </row>
    <row r="840" spans="1:10" ht="12.75">
      <c r="A840" s="15" t="str">
        <f>HYPERLINK("https://www.dndbeyond.com/magic-items/winged-boots", "Winged Boots")</f>
        <v>Winged Boots</v>
      </c>
      <c r="B840" s="42">
        <v>8000</v>
      </c>
      <c r="C840" s="58">
        <v>5000</v>
      </c>
      <c r="D840" s="8" t="str">
        <f>VLOOKUP(F840,'Price Ranges'!$A$2:$B$8,2, FALSE)</f>
        <v>101-500</v>
      </c>
      <c r="E840" s="8" t="str">
        <f>VLOOKUP(F840,'Price Ranges'!$A$2:$C$8,3, FALSE)</f>
        <v>100-600</v>
      </c>
      <c r="F840" s="56" t="s">
        <v>19</v>
      </c>
      <c r="G840" s="56" t="s">
        <v>20</v>
      </c>
      <c r="H840" s="59">
        <v>214</v>
      </c>
      <c r="I840" s="8" t="s">
        <v>55</v>
      </c>
      <c r="J840" s="11" t="s">
        <v>15</v>
      </c>
    </row>
    <row r="841" spans="1:10" ht="12.75">
      <c r="A841" s="15" t="str">
        <f>HYPERLINK("https://www.dndbeyond.com/magic-items/wings-of-flying", "Wings Of Flying")</f>
        <v>Wings Of Flying</v>
      </c>
      <c r="B841" s="42">
        <v>5000</v>
      </c>
      <c r="C841" s="43">
        <v>3600</v>
      </c>
      <c r="D841" s="8" t="str">
        <f>VLOOKUP(F841,'Price Ranges'!$A$2:$B$8,2, FALSE)</f>
        <v>501-5000</v>
      </c>
      <c r="E841" s="8" t="str">
        <f>VLOOKUP(F841,'Price Ranges'!$A$2:$C$8,3, FALSE)</f>
        <v>2000-20000</v>
      </c>
      <c r="F841" s="56" t="s">
        <v>16</v>
      </c>
      <c r="G841" s="56" t="s">
        <v>20</v>
      </c>
      <c r="H841" s="59">
        <v>214</v>
      </c>
      <c r="I841" s="8" t="s">
        <v>59</v>
      </c>
      <c r="J841" s="11" t="s">
        <v>15</v>
      </c>
    </row>
    <row r="842" spans="1:10" ht="12.75">
      <c r="A842" s="15" t="str">
        <f>HYPERLINK("https://www.dndbeyond.com/magic-items/wingwear", "Wingwear")</f>
        <v>Wingwear</v>
      </c>
      <c r="B842" s="46"/>
      <c r="C842" s="47">
        <v>300</v>
      </c>
      <c r="D842" s="8" t="str">
        <f>VLOOKUP(F842,'Price Ranges'!$A$2:$B$8,2, FALSE)</f>
        <v>101-500</v>
      </c>
      <c r="E842" s="8" t="str">
        <f>VLOOKUP(F842,'Price Ranges'!$A$2:$C$8,3, FALSE)</f>
        <v>100-600</v>
      </c>
      <c r="F842" s="56" t="s">
        <v>19</v>
      </c>
      <c r="G842" s="56" t="s">
        <v>40</v>
      </c>
      <c r="H842" s="57">
        <v>223</v>
      </c>
      <c r="I842" s="8" t="s">
        <v>64</v>
      </c>
      <c r="J842" s="11" t="s">
        <v>15</v>
      </c>
    </row>
    <row r="843" spans="1:10" ht="12.75">
      <c r="A843" s="15" t="str">
        <f>HYPERLINK("https://www.dndbeyond.com/magic-items/winters-dark-bite", "Winters Dark Bite")</f>
        <v>Winters Dark Bite</v>
      </c>
      <c r="B843" s="46"/>
      <c r="C843" s="50"/>
      <c r="D843" s="8" t="str">
        <f>VLOOKUP(F843,'Price Ranges'!$A$2:$B$8,2, FALSE)</f>
        <v>101-500</v>
      </c>
      <c r="E843" s="8" t="str">
        <f>VLOOKUP(F843,'Price Ranges'!$A$2:$C$8,3, FALSE)</f>
        <v>100-600</v>
      </c>
      <c r="F843" s="56" t="s">
        <v>19</v>
      </c>
      <c r="G843" s="56" t="s">
        <v>76</v>
      </c>
      <c r="H843" s="54"/>
      <c r="I843" s="8" t="s">
        <v>18</v>
      </c>
      <c r="J843" s="11" t="s">
        <v>13</v>
      </c>
    </row>
    <row r="844" spans="1:10" ht="12.75">
      <c r="A844" s="5" t="str">
        <f>HYPERLINK("https://www.dndbeyond.com/magic-items/wreath-of-the-prism", "Wreath of the Prism")</f>
        <v>Wreath of the Prism</v>
      </c>
      <c r="B844" s="46"/>
      <c r="C844" s="50"/>
      <c r="D844" s="8" t="str">
        <f>VLOOKUP(F844,'Price Ranges'!$A$2:$B$8,2, FALSE)</f>
        <v>50001+</v>
      </c>
      <c r="E844" s="8" t="str">
        <f>VLOOKUP(F844,'Price Ranges'!$A$2:$C$8,3, FALSE)</f>
        <v>50000-300000</v>
      </c>
      <c r="F844" s="53" t="s">
        <v>31</v>
      </c>
      <c r="G844" s="53" t="s">
        <v>17</v>
      </c>
      <c r="H844" s="55">
        <v>274</v>
      </c>
      <c r="I844" s="9" t="s">
        <v>29</v>
      </c>
      <c r="J844" s="60" t="s">
        <v>15</v>
      </c>
    </row>
    <row r="845" spans="1:10" ht="12.75">
      <c r="A845" s="15" t="str">
        <f>HYPERLINK("https://www.dndbeyond.com/magic-items/wyrmskull-throne", "Wyrmskull Throne")</f>
        <v>Wyrmskull Throne</v>
      </c>
      <c r="B845" s="46"/>
      <c r="C845" s="50"/>
      <c r="D845" s="8" t="str">
        <f>VLOOKUP(F845,'Price Ranges'!$A$2:$B$8,2, FALSE)</f>
        <v>Priceless</v>
      </c>
      <c r="E845" s="8" t="str">
        <f>VLOOKUP(F845,'Price Ranges'!$A$2:$C$8,3, FALSE)</f>
        <v>Priceless</v>
      </c>
      <c r="F845" s="56" t="s">
        <v>22</v>
      </c>
      <c r="G845" s="56" t="s">
        <v>43</v>
      </c>
      <c r="H845" s="54"/>
      <c r="I845" s="8" t="s">
        <v>12</v>
      </c>
      <c r="J845" s="11" t="s">
        <v>13</v>
      </c>
    </row>
    <row r="846" spans="1:10" ht="12.75">
      <c r="A846" s="15" t="str">
        <f t="shared" ref="A846:A847" si="27">HYPERLINK("https://www.dndbeyond.com/magic-items/xorian-wenge-focus", "Xorian Wenge Focus")</f>
        <v>Xorian Wenge Focus</v>
      </c>
      <c r="B846" s="46"/>
      <c r="C846" s="50"/>
      <c r="D846" s="8" t="str">
        <f>VLOOKUP(F846,'Price Ranges'!$A$2:$B$8,2, FALSE)</f>
        <v>50-100</v>
      </c>
      <c r="E846" s="8" t="str">
        <f>VLOOKUP(F846,'Price Ranges'!$A$2:$C$8,3, FALSE)</f>
        <v>20-70</v>
      </c>
      <c r="F846" s="56" t="s">
        <v>35</v>
      </c>
      <c r="G846" s="56" t="s">
        <v>36</v>
      </c>
      <c r="H846" s="56"/>
      <c r="I846" s="8" t="s">
        <v>12</v>
      </c>
      <c r="J846" s="11" t="s">
        <v>15</v>
      </c>
    </row>
    <row r="847" spans="1:10" ht="12.75">
      <c r="A847" s="5" t="str">
        <f t="shared" si="27"/>
        <v>Xorian Wenge Focus</v>
      </c>
      <c r="B847" s="46"/>
      <c r="C847" s="50"/>
      <c r="D847" s="8" t="str">
        <f>VLOOKUP(F847,'Price Ranges'!$A$2:$B$8,2, FALSE)</f>
        <v>50-100</v>
      </c>
      <c r="E847" s="8" t="str">
        <f>VLOOKUP(F847,'Price Ranges'!$A$2:$C$8,3, FALSE)</f>
        <v>20-70</v>
      </c>
      <c r="F847" s="53" t="s">
        <v>35</v>
      </c>
      <c r="G847" s="53" t="s">
        <v>33</v>
      </c>
      <c r="H847" s="54"/>
      <c r="I847" s="9" t="s">
        <v>12</v>
      </c>
      <c r="J847" s="13" t="s">
        <v>15</v>
      </c>
    </row>
    <row r="848" spans="1:10" ht="12.75">
      <c r="A848" s="15" t="str">
        <f>HYPERLINK("https://www.dndbeyond.com/magic-items/yklwa-1", "Yklwa, +1")</f>
        <v>Yklwa, +1</v>
      </c>
      <c r="B848" s="46"/>
      <c r="C848" s="50"/>
      <c r="D848" s="8" t="str">
        <f>VLOOKUP(F848,'Price Ranges'!$A$2:$B$8,2, FALSE)</f>
        <v>101-500</v>
      </c>
      <c r="E848" s="8" t="str">
        <f>VLOOKUP(F848,'Price Ranges'!$A$2:$C$8,3, FALSE)</f>
        <v>100-600</v>
      </c>
      <c r="F848" s="56" t="s">
        <v>19</v>
      </c>
      <c r="G848" s="56" t="s">
        <v>28</v>
      </c>
      <c r="H848" s="54"/>
      <c r="I848" s="8" t="s">
        <v>18</v>
      </c>
      <c r="J848" s="11" t="s">
        <v>13</v>
      </c>
    </row>
    <row r="849" spans="1:10" ht="12.75">
      <c r="A849" s="15" t="str">
        <f>HYPERLINK("https://www.dndbeyond.com/magic-items/yklwa-2", "Yklwa, +2")</f>
        <v>Yklwa, +2</v>
      </c>
      <c r="B849" s="46"/>
      <c r="C849" s="50"/>
      <c r="D849" s="8" t="str">
        <f>VLOOKUP(F849,'Price Ranges'!$A$2:$B$8,2, FALSE)</f>
        <v>501-5000</v>
      </c>
      <c r="E849" s="8" t="str">
        <f>VLOOKUP(F849,'Price Ranges'!$A$2:$C$8,3, FALSE)</f>
        <v>2000-20000</v>
      </c>
      <c r="F849" s="56" t="s">
        <v>16</v>
      </c>
      <c r="G849" s="56" t="s">
        <v>28</v>
      </c>
      <c r="H849" s="54"/>
      <c r="I849" s="8" t="s">
        <v>18</v>
      </c>
      <c r="J849" s="11" t="s">
        <v>13</v>
      </c>
    </row>
    <row r="850" spans="1:10" ht="12.75">
      <c r="A850" s="15" t="str">
        <f>HYPERLINK("https://www.dndbeyond.com/magic-items/yklwa-3", "Yklwa, +3")</f>
        <v>Yklwa, +3</v>
      </c>
      <c r="B850" s="46"/>
      <c r="C850" s="50"/>
      <c r="D850" s="8" t="str">
        <f>VLOOKUP(F850,'Price Ranges'!$A$2:$B$8,2, FALSE)</f>
        <v>5001-50000</v>
      </c>
      <c r="E850" s="8" t="str">
        <f>VLOOKUP(F850,'Price Ranges'!$A$2:$C$8,3, FALSE)</f>
        <v>20000-50000</v>
      </c>
      <c r="F850" s="56" t="s">
        <v>10</v>
      </c>
      <c r="G850" s="56" t="s">
        <v>28</v>
      </c>
      <c r="H850" s="54"/>
      <c r="I850" s="8" t="s">
        <v>18</v>
      </c>
      <c r="J850" s="11" t="s">
        <v>13</v>
      </c>
    </row>
    <row r="851" spans="1:10" ht="12.75">
      <c r="A851" s="5" t="str">
        <f>HYPERLINK("https://www.dndbeyond.com/magic-items/ythryn-mythallar", "Ythryn Mythallar")</f>
        <v>Ythryn Mythallar</v>
      </c>
      <c r="B851" s="46"/>
      <c r="C851" s="50"/>
      <c r="D851" s="8" t="str">
        <f>VLOOKUP(F851,'Price Ranges'!$A$2:$B$8,2, FALSE)</f>
        <v>50001+</v>
      </c>
      <c r="E851" s="8" t="str">
        <f>VLOOKUP(F851,'Price Ranges'!$A$2:$C$8,3, FALSE)</f>
        <v>50000-300000</v>
      </c>
      <c r="F851" s="55" t="s">
        <v>31</v>
      </c>
      <c r="G851" s="53" t="s">
        <v>11</v>
      </c>
      <c r="H851" s="54"/>
      <c r="I851" s="8" t="s">
        <v>12</v>
      </c>
      <c r="J851" s="13" t="s">
        <v>15</v>
      </c>
    </row>
    <row r="852" spans="1:10" ht="12.75">
      <c r="A852" s="5"/>
      <c r="B852" s="46"/>
      <c r="C852" s="50"/>
      <c r="D852" s="54"/>
      <c r="E852" s="54"/>
      <c r="F852" s="54"/>
      <c r="G852" s="55"/>
      <c r="H852" s="54"/>
      <c r="I852" s="54"/>
      <c r="J852" s="54"/>
    </row>
    <row r="853" spans="1:10" ht="12.75">
      <c r="B853" s="61"/>
      <c r="D853" s="62"/>
    </row>
    <row r="854" spans="1:10" ht="12.75">
      <c r="B854" s="61"/>
      <c r="D854" s="62"/>
    </row>
    <row r="855" spans="1:10" ht="12.75">
      <c r="B855" s="61"/>
      <c r="D855" s="62"/>
    </row>
    <row r="856" spans="1:10" ht="12.75">
      <c r="B856" s="61"/>
      <c r="D856" s="62"/>
    </row>
    <row r="857" spans="1:10" ht="12.75">
      <c r="B857" s="61"/>
      <c r="D857" s="62"/>
    </row>
    <row r="858" spans="1:10" ht="12.75">
      <c r="B858" s="61"/>
      <c r="D858" s="62"/>
    </row>
    <row r="859" spans="1:10" ht="12.75">
      <c r="B859" s="61"/>
      <c r="D859" s="62"/>
    </row>
    <row r="860" spans="1:10" ht="12.75">
      <c r="B860" s="61"/>
      <c r="D860" s="62"/>
    </row>
    <row r="861" spans="1:10" ht="12.75">
      <c r="B861" s="61"/>
      <c r="D861" s="62"/>
    </row>
    <row r="862" spans="1:10" ht="12.75">
      <c r="B862" s="61"/>
      <c r="D862" s="62"/>
    </row>
    <row r="863" spans="1:10" ht="12.75">
      <c r="B863" s="61"/>
      <c r="D863" s="62"/>
    </row>
    <row r="864" spans="1:10" ht="12.75">
      <c r="B864" s="61"/>
      <c r="D864" s="62"/>
    </row>
    <row r="865" spans="2:4" ht="12.75">
      <c r="B865" s="61"/>
      <c r="D865" s="62"/>
    </row>
    <row r="866" spans="2:4" ht="12.75">
      <c r="B866" s="61"/>
      <c r="D866" s="62"/>
    </row>
    <row r="867" spans="2:4" ht="12.75">
      <c r="B867" s="61"/>
      <c r="D867" s="62"/>
    </row>
    <row r="868" spans="2:4" ht="12.75">
      <c r="B868" s="61"/>
      <c r="D868" s="62"/>
    </row>
    <row r="869" spans="2:4" ht="12.75">
      <c r="B869" s="61"/>
      <c r="D869" s="62"/>
    </row>
    <row r="870" spans="2:4" ht="12.75">
      <c r="B870" s="61"/>
      <c r="D870" s="62"/>
    </row>
    <row r="871" spans="2:4" ht="12.75">
      <c r="B871" s="61"/>
      <c r="D871" s="62"/>
    </row>
    <row r="872" spans="2:4" ht="12.75">
      <c r="B872" s="61"/>
      <c r="D872" s="62"/>
    </row>
    <row r="873" spans="2:4" ht="12.75">
      <c r="B873" s="61"/>
      <c r="D873" s="62"/>
    </row>
    <row r="874" spans="2:4" ht="12.75">
      <c r="B874" s="61"/>
      <c r="D874" s="62"/>
    </row>
    <row r="875" spans="2:4" ht="12.75">
      <c r="B875" s="61"/>
      <c r="D875" s="62"/>
    </row>
    <row r="876" spans="2:4" ht="12.75">
      <c r="B876" s="61"/>
      <c r="D876" s="62"/>
    </row>
    <row r="877" spans="2:4" ht="12.75">
      <c r="B877" s="61"/>
      <c r="D877" s="62"/>
    </row>
    <row r="878" spans="2:4" ht="12.75">
      <c r="B878" s="61"/>
      <c r="D878" s="62"/>
    </row>
    <row r="879" spans="2:4" ht="12.75">
      <c r="B879" s="61"/>
      <c r="D879" s="62"/>
    </row>
    <row r="880" spans="2:4" ht="12.75">
      <c r="B880" s="61"/>
      <c r="D880" s="62"/>
    </row>
    <row r="881" spans="2:4" ht="12.75">
      <c r="B881" s="61"/>
      <c r="D881" s="62"/>
    </row>
    <row r="882" spans="2:4" ht="12.75">
      <c r="B882" s="61"/>
      <c r="D882" s="62"/>
    </row>
    <row r="883" spans="2:4" ht="12.75">
      <c r="B883" s="61"/>
      <c r="D883" s="62"/>
    </row>
    <row r="884" spans="2:4" ht="12.75">
      <c r="B884" s="61"/>
      <c r="D884" s="62"/>
    </row>
    <row r="885" spans="2:4" ht="12.75">
      <c r="B885" s="61"/>
      <c r="D885" s="62"/>
    </row>
    <row r="886" spans="2:4" ht="12.75">
      <c r="B886" s="61"/>
      <c r="D886" s="62"/>
    </row>
    <row r="887" spans="2:4" ht="12.75">
      <c r="B887" s="61"/>
      <c r="D887" s="62"/>
    </row>
    <row r="888" spans="2:4" ht="12.75">
      <c r="B888" s="61"/>
      <c r="D888" s="62"/>
    </row>
    <row r="889" spans="2:4" ht="12.75">
      <c r="B889" s="61"/>
      <c r="D889" s="62"/>
    </row>
    <row r="890" spans="2:4" ht="12.75">
      <c r="B890" s="61"/>
      <c r="D890" s="62"/>
    </row>
    <row r="891" spans="2:4" ht="12.75">
      <c r="B891" s="61"/>
      <c r="D891" s="62"/>
    </row>
    <row r="892" spans="2:4" ht="12.75">
      <c r="B892" s="61"/>
      <c r="D892" s="62"/>
    </row>
    <row r="893" spans="2:4" ht="12.75">
      <c r="B893" s="61"/>
      <c r="D893" s="62"/>
    </row>
    <row r="894" spans="2:4" ht="12.75">
      <c r="B894" s="61"/>
      <c r="D894" s="62"/>
    </row>
    <row r="895" spans="2:4" ht="12.75">
      <c r="B895" s="61"/>
      <c r="D895" s="62"/>
    </row>
    <row r="896" spans="2:4" ht="12.75">
      <c r="B896" s="61"/>
      <c r="D896" s="62"/>
    </row>
    <row r="897" spans="2:4" ht="12.75">
      <c r="B897" s="61"/>
      <c r="D897" s="62"/>
    </row>
    <row r="898" spans="2:4" ht="12.75">
      <c r="B898" s="61"/>
      <c r="D898" s="62"/>
    </row>
    <row r="899" spans="2:4" ht="12.75">
      <c r="B899" s="61"/>
      <c r="D899" s="62"/>
    </row>
    <row r="900" spans="2:4" ht="12.75">
      <c r="B900" s="61"/>
      <c r="D900" s="62"/>
    </row>
    <row r="901" spans="2:4" ht="12.75">
      <c r="B901" s="61"/>
      <c r="D901" s="62"/>
    </row>
    <row r="902" spans="2:4" ht="12.75">
      <c r="B902" s="61"/>
      <c r="D902" s="62"/>
    </row>
    <row r="903" spans="2:4" ht="12.75">
      <c r="B903" s="61"/>
      <c r="D903" s="62"/>
    </row>
    <row r="904" spans="2:4" ht="12.75">
      <c r="B904" s="61"/>
      <c r="D904" s="62"/>
    </row>
    <row r="905" spans="2:4" ht="12.75">
      <c r="B905" s="61"/>
      <c r="D905" s="62"/>
    </row>
    <row r="906" spans="2:4" ht="12.75">
      <c r="B906" s="61"/>
      <c r="D906" s="62"/>
    </row>
    <row r="907" spans="2:4" ht="12.75">
      <c r="B907" s="61"/>
      <c r="D907" s="62"/>
    </row>
    <row r="908" spans="2:4" ht="12.75">
      <c r="B908" s="61"/>
      <c r="D908" s="62"/>
    </row>
    <row r="909" spans="2:4" ht="12.75">
      <c r="B909" s="61"/>
      <c r="D909" s="62"/>
    </row>
    <row r="910" spans="2:4" ht="12.75">
      <c r="B910" s="61"/>
      <c r="D910" s="62"/>
    </row>
    <row r="911" spans="2:4" ht="12.75">
      <c r="B911" s="61"/>
      <c r="D911" s="62"/>
    </row>
    <row r="912" spans="2:4" ht="12.75">
      <c r="B912" s="61"/>
      <c r="D912" s="62"/>
    </row>
    <row r="913" spans="2:4" ht="12.75">
      <c r="B913" s="61"/>
      <c r="D913" s="62"/>
    </row>
    <row r="914" spans="2:4" ht="12.75">
      <c r="B914" s="61"/>
      <c r="D914" s="62"/>
    </row>
    <row r="915" spans="2:4" ht="12.75">
      <c r="B915" s="61"/>
      <c r="D915" s="62"/>
    </row>
    <row r="916" spans="2:4" ht="12.75">
      <c r="B916" s="61"/>
      <c r="D916" s="62"/>
    </row>
    <row r="917" spans="2:4" ht="12.75">
      <c r="B917" s="61"/>
      <c r="D917" s="62"/>
    </row>
    <row r="918" spans="2:4" ht="12.75">
      <c r="B918" s="61"/>
      <c r="D918" s="62"/>
    </row>
    <row r="919" spans="2:4" ht="12.75">
      <c r="B919" s="61"/>
      <c r="D919" s="62"/>
    </row>
    <row r="920" spans="2:4" ht="12.75">
      <c r="B920" s="61"/>
      <c r="D920" s="62"/>
    </row>
    <row r="921" spans="2:4" ht="12.75">
      <c r="B921" s="61"/>
      <c r="D921" s="62"/>
    </row>
    <row r="922" spans="2:4" ht="12.75">
      <c r="B922" s="61"/>
      <c r="D922" s="62"/>
    </row>
    <row r="923" spans="2:4" ht="12.75">
      <c r="B923" s="61"/>
      <c r="D923" s="62"/>
    </row>
    <row r="924" spans="2:4" ht="12.75">
      <c r="B924" s="61"/>
      <c r="D924" s="62"/>
    </row>
    <row r="925" spans="2:4" ht="12.75">
      <c r="B925" s="61"/>
      <c r="D925" s="62"/>
    </row>
    <row r="926" spans="2:4" ht="12.75">
      <c r="B926" s="61"/>
      <c r="D926" s="62"/>
    </row>
    <row r="927" spans="2:4" ht="12.75">
      <c r="B927" s="61"/>
      <c r="D927" s="62"/>
    </row>
    <row r="928" spans="2:4" ht="12.75">
      <c r="B928" s="61"/>
      <c r="D928" s="62"/>
    </row>
    <row r="929" spans="2:4" ht="12.75">
      <c r="B929" s="61"/>
      <c r="D929" s="62"/>
    </row>
    <row r="930" spans="2:4" ht="12.75">
      <c r="B930" s="61"/>
      <c r="D930" s="62"/>
    </row>
    <row r="931" spans="2:4" ht="12.75">
      <c r="B931" s="61"/>
      <c r="D931" s="62"/>
    </row>
    <row r="932" spans="2:4" ht="12.75">
      <c r="B932" s="61"/>
      <c r="D932" s="62"/>
    </row>
    <row r="933" spans="2:4" ht="12.75">
      <c r="B933" s="61"/>
      <c r="D933" s="62"/>
    </row>
    <row r="934" spans="2:4" ht="12.75">
      <c r="B934" s="61"/>
      <c r="D934" s="62"/>
    </row>
    <row r="935" spans="2:4" ht="12.75">
      <c r="B935" s="61"/>
      <c r="D935" s="62"/>
    </row>
    <row r="936" spans="2:4" ht="12.75">
      <c r="B936" s="61"/>
      <c r="D936" s="62"/>
    </row>
    <row r="937" spans="2:4" ht="12.75">
      <c r="B937" s="61"/>
      <c r="D937" s="62"/>
    </row>
    <row r="938" spans="2:4" ht="12.75">
      <c r="B938" s="61"/>
      <c r="D938" s="62"/>
    </row>
    <row r="939" spans="2:4" ht="12.75">
      <c r="B939" s="61"/>
      <c r="D939" s="62"/>
    </row>
    <row r="940" spans="2:4" ht="12.75">
      <c r="B940" s="61"/>
      <c r="D940" s="62"/>
    </row>
    <row r="941" spans="2:4" ht="12.75">
      <c r="B941" s="61"/>
      <c r="D941" s="62"/>
    </row>
    <row r="942" spans="2:4" ht="12.75">
      <c r="B942" s="61"/>
      <c r="D942" s="62"/>
    </row>
    <row r="943" spans="2:4" ht="12.75">
      <c r="B943" s="61"/>
      <c r="D943" s="62"/>
    </row>
    <row r="944" spans="2:4" ht="12.75">
      <c r="B944" s="61"/>
      <c r="D944" s="62"/>
    </row>
    <row r="945" spans="2:4" ht="12.75">
      <c r="B945" s="61"/>
      <c r="D945" s="62"/>
    </row>
    <row r="946" spans="2:4" ht="12.75">
      <c r="B946" s="61"/>
      <c r="D946" s="62"/>
    </row>
    <row r="947" spans="2:4" ht="12.75">
      <c r="B947" s="61"/>
      <c r="D947" s="62"/>
    </row>
    <row r="948" spans="2:4" ht="12.75">
      <c r="B948" s="61"/>
      <c r="D948" s="62"/>
    </row>
    <row r="949" spans="2:4" ht="12.75">
      <c r="B949" s="61"/>
      <c r="D949" s="62"/>
    </row>
    <row r="950" spans="2:4" ht="12.75">
      <c r="B950" s="61"/>
      <c r="D950" s="62"/>
    </row>
    <row r="951" spans="2:4" ht="12.75">
      <c r="B951" s="61"/>
      <c r="D951" s="62"/>
    </row>
    <row r="952" spans="2:4" ht="12.75">
      <c r="B952" s="61"/>
      <c r="D952" s="62"/>
    </row>
    <row r="953" spans="2:4" ht="12.75">
      <c r="B953" s="61"/>
      <c r="D953" s="62"/>
    </row>
    <row r="954" spans="2:4" ht="12.75">
      <c r="B954" s="61"/>
      <c r="D954" s="62"/>
    </row>
    <row r="955" spans="2:4" ht="12.75">
      <c r="B955" s="61"/>
      <c r="D955" s="62"/>
    </row>
    <row r="956" spans="2:4" ht="12.75">
      <c r="B956" s="61"/>
      <c r="D956" s="62"/>
    </row>
    <row r="957" spans="2:4" ht="12.75">
      <c r="B957" s="61"/>
      <c r="D957" s="62"/>
    </row>
    <row r="958" spans="2:4" ht="12.75">
      <c r="B958" s="61"/>
      <c r="D958" s="62"/>
    </row>
    <row r="959" spans="2:4" ht="12.75">
      <c r="B959" s="61"/>
      <c r="D959" s="62"/>
    </row>
    <row r="960" spans="2:4" ht="12.75">
      <c r="B960" s="61"/>
      <c r="D960" s="62"/>
    </row>
    <row r="961" spans="2:4" ht="12.75">
      <c r="B961" s="61"/>
      <c r="D961" s="62"/>
    </row>
    <row r="962" spans="2:4" ht="12.75">
      <c r="B962" s="61"/>
      <c r="D962" s="62"/>
    </row>
    <row r="963" spans="2:4" ht="12.75">
      <c r="B963" s="61"/>
      <c r="D963" s="62"/>
    </row>
    <row r="964" spans="2:4" ht="12.75">
      <c r="B964" s="61"/>
      <c r="D964" s="62"/>
    </row>
    <row r="965" spans="2:4" ht="12.75">
      <c r="B965" s="61"/>
      <c r="D965" s="62"/>
    </row>
    <row r="966" spans="2:4" ht="12.75">
      <c r="B966" s="61"/>
      <c r="D966" s="62"/>
    </row>
    <row r="967" spans="2:4" ht="12.75">
      <c r="B967" s="61"/>
      <c r="D967" s="62"/>
    </row>
    <row r="968" spans="2:4" ht="12.75">
      <c r="B968" s="61"/>
      <c r="D968" s="62"/>
    </row>
    <row r="969" spans="2:4" ht="12.75">
      <c r="B969" s="61"/>
      <c r="D969" s="62"/>
    </row>
    <row r="970" spans="2:4" ht="12.75">
      <c r="B970" s="61"/>
      <c r="D970" s="62"/>
    </row>
    <row r="971" spans="2:4" ht="12.75">
      <c r="B971" s="61"/>
      <c r="D971" s="62"/>
    </row>
    <row r="972" spans="2:4" ht="12.75">
      <c r="B972" s="61"/>
      <c r="D972" s="62"/>
    </row>
    <row r="973" spans="2:4" ht="12.75">
      <c r="B973" s="61"/>
      <c r="D973" s="62"/>
    </row>
    <row r="974" spans="2:4" ht="12.75">
      <c r="B974" s="61"/>
      <c r="D974" s="62"/>
    </row>
    <row r="975" spans="2:4" ht="12.75">
      <c r="B975" s="61"/>
      <c r="D975" s="62"/>
    </row>
    <row r="976" spans="2:4" ht="12.75">
      <c r="B976" s="61"/>
      <c r="D976" s="62"/>
    </row>
    <row r="977" spans="2:4" ht="12.75">
      <c r="B977" s="61"/>
      <c r="D977" s="62"/>
    </row>
    <row r="978" spans="2:4" ht="12.75">
      <c r="B978" s="61"/>
      <c r="D978" s="62"/>
    </row>
    <row r="979" spans="2:4" ht="12.75">
      <c r="B979" s="61"/>
      <c r="D979" s="62"/>
    </row>
    <row r="980" spans="2:4" ht="12.75">
      <c r="B980" s="61"/>
      <c r="D980" s="62"/>
    </row>
    <row r="981" spans="2:4" ht="12.75">
      <c r="B981" s="61"/>
      <c r="D981" s="62"/>
    </row>
    <row r="982" spans="2:4" ht="12.75">
      <c r="B982" s="61"/>
      <c r="D982" s="62"/>
    </row>
    <row r="983" spans="2:4" ht="12.75">
      <c r="B983" s="61"/>
      <c r="D983" s="62"/>
    </row>
    <row r="984" spans="2:4" ht="12.75">
      <c r="B984" s="61"/>
      <c r="D984" s="62"/>
    </row>
    <row r="985" spans="2:4" ht="12.75">
      <c r="B985" s="61"/>
      <c r="D985" s="62"/>
    </row>
    <row r="986" spans="2:4" ht="12.75">
      <c r="B986" s="61"/>
      <c r="D986" s="62"/>
    </row>
    <row r="987" spans="2:4" ht="12.75">
      <c r="B987" s="61"/>
      <c r="D987" s="62"/>
    </row>
    <row r="988" spans="2:4" ht="12.75">
      <c r="B988" s="61"/>
      <c r="D988" s="62"/>
    </row>
    <row r="989" spans="2:4" ht="12.75">
      <c r="B989" s="61"/>
      <c r="D989" s="62"/>
    </row>
    <row r="990" spans="2:4" ht="12.75">
      <c r="B990" s="61"/>
      <c r="D990" s="62"/>
    </row>
    <row r="991" spans="2:4" ht="12.75">
      <c r="B991" s="61"/>
      <c r="D991" s="62"/>
    </row>
    <row r="992" spans="2:4" ht="12.75">
      <c r="B992" s="61"/>
      <c r="D992" s="62"/>
    </row>
    <row r="993" spans="2:4" ht="12.75">
      <c r="B993" s="61"/>
      <c r="D993" s="62"/>
    </row>
    <row r="994" spans="2:4" ht="12.75">
      <c r="B994" s="61"/>
      <c r="D994" s="62"/>
    </row>
    <row r="995" spans="2:4" ht="12.75">
      <c r="B995" s="61"/>
      <c r="D995" s="62"/>
    </row>
    <row r="996" spans="2:4" ht="12.75">
      <c r="B996" s="61"/>
      <c r="D996" s="62"/>
    </row>
    <row r="997" spans="2:4" ht="12.75">
      <c r="B997" s="61"/>
      <c r="D997" s="62"/>
    </row>
    <row r="998" spans="2:4" ht="12.75">
      <c r="B998" s="61"/>
      <c r="D998" s="62"/>
    </row>
    <row r="999" spans="2:4" ht="12.75">
      <c r="B999" s="61"/>
      <c r="D999" s="62"/>
    </row>
    <row r="1000" spans="2:4" ht="12.75">
      <c r="B1000" s="61"/>
      <c r="D1000" s="62"/>
    </row>
    <row r="1001" spans="2:4" ht="12.75">
      <c r="B1001" s="61"/>
      <c r="D1001" s="62"/>
    </row>
    <row r="1002" spans="2:4" ht="12.75">
      <c r="B1002" s="61"/>
      <c r="D1002" s="62"/>
    </row>
    <row r="1003" spans="2:4" ht="12.75">
      <c r="B1003" s="61"/>
      <c r="D1003" s="62"/>
    </row>
    <row r="1004" spans="2:4" ht="12.75">
      <c r="B1004" s="61"/>
      <c r="D1004" s="62"/>
    </row>
    <row r="1005" spans="2:4" ht="12.75">
      <c r="B1005" s="61"/>
      <c r="D1005" s="62"/>
    </row>
    <row r="1006" spans="2:4" ht="12.75">
      <c r="B1006" s="61"/>
      <c r="D1006" s="62"/>
    </row>
    <row r="1007" spans="2:4" ht="12.75">
      <c r="B1007" s="61"/>
      <c r="D1007" s="62"/>
    </row>
    <row r="1008" spans="2:4" ht="12.75">
      <c r="B1008" s="61"/>
      <c r="D1008" s="62"/>
    </row>
    <row r="1009" spans="2:4" ht="12.75">
      <c r="B1009" s="61"/>
      <c r="D1009" s="62"/>
    </row>
    <row r="1010" spans="2:4" ht="12.75">
      <c r="B1010" s="61"/>
      <c r="D1010" s="62"/>
    </row>
    <row r="1011" spans="2:4" ht="12.75">
      <c r="B1011" s="61"/>
      <c r="D1011" s="62"/>
    </row>
    <row r="1012" spans="2:4" ht="12.75">
      <c r="B1012" s="61"/>
      <c r="D1012" s="62"/>
    </row>
    <row r="1013" spans="2:4" ht="12.75">
      <c r="B1013" s="61"/>
      <c r="D1013" s="62"/>
    </row>
    <row r="1014" spans="2:4" ht="12.75">
      <c r="B1014" s="61"/>
      <c r="D1014" s="62"/>
    </row>
    <row r="1015" spans="2:4" ht="12.75">
      <c r="B1015" s="61"/>
      <c r="D1015" s="62"/>
    </row>
    <row r="1016" spans="2:4" ht="12.75">
      <c r="B1016" s="61"/>
      <c r="D1016" s="62"/>
    </row>
    <row r="1017" spans="2:4" ht="12.75">
      <c r="B1017" s="61"/>
      <c r="D1017" s="62"/>
    </row>
    <row r="1018" spans="2:4" ht="12.75">
      <c r="B1018" s="61"/>
      <c r="D1018" s="62"/>
    </row>
    <row r="1019" spans="2:4" ht="12.75">
      <c r="B1019" s="61"/>
      <c r="D1019" s="62"/>
    </row>
    <row r="1020" spans="2:4" ht="12.75">
      <c r="B1020" s="61"/>
      <c r="D1020" s="62"/>
    </row>
    <row r="1021" spans="2:4" ht="12.75">
      <c r="B1021" s="61"/>
      <c r="D1021" s="62"/>
    </row>
    <row r="1022" spans="2:4" ht="12.75">
      <c r="B1022" s="61"/>
      <c r="D1022" s="62"/>
    </row>
    <row r="1023" spans="2:4" ht="12.75">
      <c r="B1023" s="61"/>
      <c r="D1023" s="62"/>
    </row>
    <row r="1024" spans="2:4" ht="12.75">
      <c r="B1024" s="61"/>
      <c r="D1024" s="62"/>
    </row>
    <row r="1025" spans="2:4" ht="12.75">
      <c r="B1025" s="61"/>
      <c r="D1025" s="62"/>
    </row>
    <row r="1026" spans="2:4" ht="12.75">
      <c r="B1026" s="61"/>
      <c r="D1026" s="62"/>
    </row>
    <row r="1027" spans="2:4" ht="12.75">
      <c r="B1027" s="61"/>
      <c r="D1027" s="62"/>
    </row>
    <row r="1028" spans="2:4" ht="12.75">
      <c r="B1028" s="61"/>
      <c r="D1028" s="62"/>
    </row>
    <row r="1029" spans="2:4" ht="12.75">
      <c r="B1029" s="61"/>
      <c r="D1029" s="62"/>
    </row>
    <row r="1030" spans="2:4" ht="12.75">
      <c r="B1030" s="61"/>
      <c r="D1030" s="62"/>
    </row>
    <row r="1031" spans="2:4" ht="12.75">
      <c r="B1031" s="61"/>
      <c r="D1031" s="62"/>
    </row>
    <row r="1032" spans="2:4" ht="12.75">
      <c r="B1032" s="61"/>
      <c r="D1032" s="62"/>
    </row>
    <row r="1033" spans="2:4" ht="12.75">
      <c r="B1033" s="61"/>
      <c r="D1033" s="62"/>
    </row>
    <row r="1034" spans="2:4" ht="12.75">
      <c r="B1034" s="61"/>
      <c r="D1034" s="62"/>
    </row>
    <row r="1035" spans="2:4" ht="12.75">
      <c r="B1035" s="61"/>
      <c r="D1035" s="62"/>
    </row>
    <row r="1036" spans="2:4" ht="12.75">
      <c r="B1036" s="61"/>
      <c r="D1036" s="62"/>
    </row>
    <row r="1037" spans="2:4" ht="12.75">
      <c r="B1037" s="61"/>
      <c r="D1037" s="62"/>
    </row>
    <row r="1038" spans="2:4" ht="12.75">
      <c r="B1038" s="61"/>
      <c r="D1038" s="62"/>
    </row>
    <row r="1039" spans="2:4" ht="12.75">
      <c r="B1039" s="61"/>
      <c r="D1039" s="62"/>
    </row>
    <row r="1040" spans="2:4" ht="12.75">
      <c r="B1040" s="61"/>
      <c r="D1040" s="62"/>
    </row>
    <row r="1041" spans="2:4" ht="12.75">
      <c r="B1041" s="61"/>
      <c r="D1041" s="62"/>
    </row>
    <row r="1042" spans="2:4" ht="12.75">
      <c r="B1042" s="61"/>
      <c r="D1042" s="62"/>
    </row>
    <row r="1043" spans="2:4" ht="12.75">
      <c r="B1043" s="61"/>
      <c r="D1043" s="62"/>
    </row>
    <row r="1044" spans="2:4" ht="12.75">
      <c r="B1044" s="61"/>
      <c r="D1044" s="62"/>
    </row>
    <row r="1045" spans="2:4" ht="12.75">
      <c r="B1045" s="61"/>
      <c r="D1045" s="62"/>
    </row>
    <row r="1046" spans="2:4" ht="12.75">
      <c r="B1046" s="61"/>
      <c r="D1046" s="62"/>
    </row>
    <row r="1047" spans="2:4" ht="12.75">
      <c r="B1047" s="61"/>
      <c r="D1047" s="62"/>
    </row>
    <row r="1048" spans="2:4" ht="12.75">
      <c r="B1048" s="61"/>
      <c r="D1048" s="62"/>
    </row>
    <row r="1049" spans="2:4" ht="12.75">
      <c r="B1049" s="61"/>
      <c r="D1049" s="62"/>
    </row>
    <row r="1050" spans="2:4" ht="12.75">
      <c r="B1050" s="61"/>
      <c r="D1050" s="62"/>
    </row>
    <row r="1051" spans="2:4" ht="12.75">
      <c r="B1051" s="61"/>
      <c r="D1051" s="62"/>
    </row>
    <row r="1052" spans="2:4" ht="12.75">
      <c r="B1052" s="61"/>
      <c r="D1052" s="62"/>
    </row>
    <row r="1053" spans="2:4" ht="12.75">
      <c r="B1053" s="61"/>
      <c r="D1053" s="62"/>
    </row>
    <row r="1054" spans="2:4" ht="12.75">
      <c r="B1054" s="61"/>
      <c r="D1054" s="62"/>
    </row>
    <row r="1055" spans="2:4" ht="12.75">
      <c r="B1055" s="61"/>
      <c r="D1055" s="62"/>
    </row>
    <row r="1056" spans="2:4" ht="12.75">
      <c r="B1056" s="61"/>
      <c r="D1056" s="62"/>
    </row>
    <row r="1057" spans="2:4" ht="12.75">
      <c r="B1057" s="61"/>
      <c r="D1057" s="62"/>
    </row>
    <row r="1058" spans="2:4" ht="12.75">
      <c r="B1058" s="61"/>
      <c r="D1058" s="62"/>
    </row>
    <row r="1059" spans="2:4" ht="12.75">
      <c r="B1059" s="61"/>
      <c r="D1059" s="62"/>
    </row>
    <row r="1060" spans="2:4" ht="12.75">
      <c r="B1060" s="61"/>
      <c r="D1060" s="62"/>
    </row>
    <row r="1061" spans="2:4" ht="12.75">
      <c r="B1061" s="61"/>
      <c r="D1061" s="62"/>
    </row>
    <row r="1062" spans="2:4" ht="12.75">
      <c r="B1062" s="61"/>
      <c r="D1062" s="62"/>
    </row>
    <row r="1063" spans="2:4" ht="12.75">
      <c r="B1063" s="61"/>
      <c r="D1063" s="62"/>
    </row>
    <row r="1064" spans="2:4" ht="12.75">
      <c r="B1064" s="61"/>
      <c r="D1064" s="62"/>
    </row>
    <row r="1065" spans="2:4" ht="12.75">
      <c r="B1065" s="61"/>
      <c r="D1065" s="62"/>
    </row>
    <row r="1066" spans="2:4" ht="12.75">
      <c r="B1066" s="61"/>
      <c r="D1066" s="62"/>
    </row>
    <row r="1067" spans="2:4" ht="12.75">
      <c r="B1067" s="61"/>
      <c r="D1067" s="62"/>
    </row>
    <row r="1068" spans="2:4" ht="12.75">
      <c r="B1068" s="61"/>
      <c r="D1068" s="62"/>
    </row>
    <row r="1069" spans="2:4" ht="12.75">
      <c r="B1069" s="61"/>
      <c r="D1069" s="62"/>
    </row>
    <row r="1070" spans="2:4" ht="12.75">
      <c r="B1070" s="61"/>
      <c r="D1070" s="62"/>
    </row>
    <row r="1071" spans="2:4" ht="12.75">
      <c r="B1071" s="61"/>
      <c r="D1071" s="62"/>
    </row>
    <row r="1072" spans="2:4" ht="12.75">
      <c r="B1072" s="61"/>
      <c r="D1072" s="62"/>
    </row>
    <row r="1073" spans="2:4" ht="12.75">
      <c r="B1073" s="61"/>
      <c r="D1073" s="62"/>
    </row>
    <row r="1074" spans="2:4" ht="12.75">
      <c r="B1074" s="61"/>
      <c r="D1074" s="62"/>
    </row>
    <row r="1075" spans="2:4" ht="12.75">
      <c r="B1075" s="61"/>
      <c r="D1075" s="62"/>
    </row>
    <row r="1076" spans="2:4" ht="12.75">
      <c r="B1076" s="61"/>
      <c r="D1076" s="62"/>
    </row>
    <row r="1077" spans="2:4" ht="12.75">
      <c r="B1077" s="61"/>
      <c r="D1077" s="62"/>
    </row>
    <row r="1078" spans="2:4" ht="12.75">
      <c r="B1078" s="61"/>
      <c r="D1078" s="62"/>
    </row>
    <row r="1079" spans="2:4" ht="12.75">
      <c r="B1079" s="61"/>
      <c r="D1079" s="62"/>
    </row>
    <row r="1080" spans="2:4" ht="12.75">
      <c r="B1080" s="61"/>
      <c r="D1080" s="62"/>
    </row>
    <row r="1081" spans="2:4" ht="12.75">
      <c r="B1081" s="61"/>
      <c r="D1081" s="62"/>
    </row>
    <row r="1082" spans="2:4" ht="12.75">
      <c r="B1082" s="61"/>
      <c r="D1082" s="62"/>
    </row>
    <row r="1083" spans="2:4" ht="12.75">
      <c r="B1083" s="61"/>
      <c r="D1083" s="62"/>
    </row>
    <row r="1084" spans="2:4" ht="12.75">
      <c r="B1084" s="61"/>
      <c r="D1084" s="62"/>
    </row>
    <row r="1085" spans="2:4" ht="12.75">
      <c r="B1085" s="61"/>
      <c r="D1085" s="62"/>
    </row>
    <row r="1086" spans="2:4" ht="12.75">
      <c r="B1086" s="61"/>
      <c r="D1086" s="62"/>
    </row>
    <row r="1087" spans="2:4" ht="12.75">
      <c r="B1087" s="61"/>
      <c r="D1087" s="62"/>
    </row>
    <row r="1088" spans="2:4" ht="12.75">
      <c r="B1088" s="61"/>
      <c r="D1088" s="62"/>
    </row>
    <row r="1089" spans="2:4" ht="12.75">
      <c r="B1089" s="61"/>
      <c r="D1089" s="62"/>
    </row>
    <row r="1090" spans="2:4" ht="12.75">
      <c r="B1090" s="61"/>
      <c r="D1090" s="62"/>
    </row>
    <row r="1091" spans="2:4" ht="12.75">
      <c r="B1091" s="61"/>
      <c r="D1091" s="62"/>
    </row>
    <row r="1092" spans="2:4" ht="12.75">
      <c r="B1092" s="61"/>
      <c r="D1092" s="62"/>
    </row>
    <row r="1093" spans="2:4" ht="12.75">
      <c r="B1093" s="61"/>
      <c r="D1093" s="62"/>
    </row>
    <row r="1094" spans="2:4" ht="12.75">
      <c r="B1094" s="61"/>
      <c r="D1094" s="62"/>
    </row>
    <row r="1095" spans="2:4" ht="12.75">
      <c r="B1095" s="61"/>
      <c r="D1095" s="62"/>
    </row>
    <row r="1096" spans="2:4" ht="12.75">
      <c r="B1096" s="61"/>
      <c r="D1096" s="62"/>
    </row>
    <row r="1097" spans="2:4" ht="12.75">
      <c r="B1097" s="61"/>
      <c r="D1097" s="62"/>
    </row>
    <row r="1098" spans="2:4" ht="12.75">
      <c r="B1098" s="61"/>
      <c r="D1098" s="62"/>
    </row>
    <row r="1099" spans="2:4" ht="12.75">
      <c r="B1099" s="61"/>
      <c r="D1099" s="62"/>
    </row>
    <row r="1100" spans="2:4" ht="12.75">
      <c r="B1100" s="61"/>
      <c r="D1100" s="62"/>
    </row>
    <row r="1101" spans="2:4" ht="12.75">
      <c r="B1101" s="61"/>
      <c r="D1101" s="62"/>
    </row>
    <row r="1102" spans="2:4" ht="12.75">
      <c r="B1102" s="61"/>
      <c r="D1102" s="62"/>
    </row>
    <row r="1103" spans="2:4" ht="12.75">
      <c r="B1103" s="61"/>
      <c r="D1103" s="62"/>
    </row>
    <row r="1104" spans="2:4" ht="12.75">
      <c r="B1104" s="61"/>
      <c r="D1104" s="62"/>
    </row>
    <row r="1105" spans="2:4" ht="12.75">
      <c r="B1105" s="61"/>
      <c r="D1105" s="62"/>
    </row>
    <row r="1106" spans="2:4" ht="12.75">
      <c r="B1106" s="61"/>
      <c r="D1106" s="62"/>
    </row>
    <row r="1107" spans="2:4" ht="12.75">
      <c r="B1107" s="61"/>
      <c r="D1107" s="62"/>
    </row>
    <row r="1108" spans="2:4" ht="12.75">
      <c r="B1108" s="61"/>
      <c r="D1108" s="62"/>
    </row>
    <row r="1109" spans="2:4" ht="12.75">
      <c r="B1109" s="61"/>
      <c r="D1109" s="62"/>
    </row>
    <row r="1110" spans="2:4" ht="12.75">
      <c r="B1110" s="61"/>
      <c r="D1110" s="62"/>
    </row>
    <row r="1111" spans="2:4" ht="12.75">
      <c r="B1111" s="61"/>
      <c r="D1111" s="62"/>
    </row>
    <row r="1112" spans="2:4" ht="12.75">
      <c r="B1112" s="61"/>
      <c r="D1112" s="62"/>
    </row>
    <row r="1113" spans="2:4" ht="12.75">
      <c r="B1113" s="61"/>
      <c r="D1113" s="62"/>
    </row>
    <row r="1114" spans="2:4" ht="12.75">
      <c r="B1114" s="61"/>
      <c r="D1114" s="62"/>
    </row>
    <row r="1115" spans="2:4" ht="12.75">
      <c r="B1115" s="61"/>
      <c r="D1115" s="62"/>
    </row>
    <row r="1116" spans="2:4" ht="12.75">
      <c r="B1116" s="61"/>
      <c r="D1116" s="62"/>
    </row>
    <row r="1117" spans="2:4" ht="12.75">
      <c r="B1117" s="61"/>
      <c r="D1117" s="62"/>
    </row>
    <row r="1118" spans="2:4" ht="12.75">
      <c r="B1118" s="61"/>
      <c r="D1118" s="62"/>
    </row>
    <row r="1119" spans="2:4" ht="12.75">
      <c r="B1119" s="61"/>
      <c r="D1119" s="62"/>
    </row>
    <row r="1120" spans="2:4" ht="12.75">
      <c r="B1120" s="61"/>
      <c r="D1120" s="62"/>
    </row>
    <row r="1121" spans="2:4" ht="12.75">
      <c r="B1121" s="61"/>
      <c r="D1121" s="62"/>
    </row>
    <row r="1122" spans="2:4" ht="12.75">
      <c r="B1122" s="61"/>
      <c r="D1122" s="62"/>
    </row>
    <row r="1123" spans="2:4" ht="12.75">
      <c r="B1123" s="61"/>
      <c r="D1123" s="62"/>
    </row>
    <row r="1124" spans="2:4" ht="12.75">
      <c r="B1124" s="61"/>
      <c r="D1124" s="62"/>
    </row>
    <row r="1125" spans="2:4" ht="12.75">
      <c r="B1125" s="61"/>
      <c r="D1125" s="62"/>
    </row>
    <row r="1126" spans="2:4" ht="12.75">
      <c r="B1126" s="61"/>
      <c r="D1126" s="62"/>
    </row>
    <row r="1127" spans="2:4" ht="12.75">
      <c r="B1127" s="61"/>
      <c r="D1127" s="62"/>
    </row>
    <row r="1128" spans="2:4" ht="12.75">
      <c r="B1128" s="61"/>
      <c r="D1128" s="62"/>
    </row>
    <row r="1129" spans="2:4" ht="12.75">
      <c r="B1129" s="61"/>
      <c r="D1129" s="62"/>
    </row>
    <row r="1130" spans="2:4" ht="12.75">
      <c r="B1130" s="61"/>
      <c r="D1130" s="62"/>
    </row>
  </sheetData>
  <autoFilter ref="A1:J85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5"/>
  <sheetViews>
    <sheetView workbookViewId="0"/>
  </sheetViews>
  <sheetFormatPr defaultColWidth="14.42578125" defaultRowHeight="15.75" customHeight="1"/>
  <sheetData>
    <row r="1" spans="1:1" ht="15.75" customHeight="1">
      <c r="A1" s="63" t="str">
        <f>HYPERLINK("https://www.dndbeyond.com/magic-items/arcane-propulsion-armarcane-propulsion-arm", "Arcane Propulsion Arm")</f>
        <v>Arcane Propulsion Arm</v>
      </c>
    </row>
    <row r="2" spans="1:1" ht="15.75" customHeight="1">
      <c r="A2" s="63" t="str">
        <f>HYPERLINK("https://www.dndbeyond.com/magic-items/armbladearmblade", "Armblade")</f>
        <v>Armblade</v>
      </c>
    </row>
    <row r="3" spans="1:1" ht="15.75" customHeight="1">
      <c r="A3" s="63" t="str">
        <f>HYPERLINK("https://www.dndbeyond.com/magic-items/bag-of-bountybag-of-bounty", "Bag Of Bounty")</f>
        <v>Bag Of Bounty</v>
      </c>
    </row>
    <row r="4" spans="1:1" ht="15.75" customHeight="1">
      <c r="A4" s="63" t="str">
        <f>HYPERLINK("https://www.dndbeyond.com/magic-items/band-of-loyaltyband-of-loyalty", "Band Of Loyalty")</f>
        <v>Band Of Loyalty</v>
      </c>
    </row>
    <row r="5" spans="1:1" ht="15.75" customHeight="1">
      <c r="A5" s="63" t="str">
        <f>HYPERLINK("https://www.dndbeyond.com/magic-items/belashyrras-beholder-crownbelashyrras-beholder-crown", "Belashyrras Beholder Crown")</f>
        <v>Belashyrras Beholder Crown</v>
      </c>
    </row>
    <row r="6" spans="1:1" ht="15.75" customHeight="1">
      <c r="A6" s="63" t="str">
        <f>HYPERLINK("https://www.dndbeyond.com/magic-items/cleansing-stonecleansing-stone", "Cleansing Stone")</f>
        <v>Cleansing Stone</v>
      </c>
    </row>
    <row r="7" spans="1:1" ht="15.75" customHeight="1">
      <c r="A7" s="63" t="str">
        <f>HYPERLINK("https://www.dndbeyond.com/magic-items/dimensional-sealdimensional-seal", "Dimensional Seal")</f>
        <v>Dimensional Seal</v>
      </c>
    </row>
    <row r="8" spans="1:1" ht="15.75" customHeight="1">
      <c r="A8" s="63" t="str">
        <f>HYPERLINK("https://www.dndbeyond.com/magic-items/docentdocent", "Docent")</f>
        <v>Docent</v>
      </c>
    </row>
    <row r="9" spans="1:1" ht="15.75" customHeight="1">
      <c r="A9" s="63" t="str">
        <f>HYPERLINK("https://www.dndbeyond.com/magic-items/dyrrns-tentacle-whipdyrrns-tentacle-whip", "Dyrrns Tentacle Whip")</f>
        <v>Dyrrns Tentacle Whip</v>
      </c>
    </row>
    <row r="10" spans="1:1" ht="15.75" customHeight="1">
      <c r="A10" s="63" t="str">
        <f>HYPERLINK("https://www.dndbeyond.com/magic-items/earwormearworm", "Earworm")</f>
        <v>Earworm</v>
      </c>
    </row>
    <row r="11" spans="1:1" ht="15.75" customHeight="1">
      <c r="A11" s="63" t="str">
        <f>HYPERLINK("https://www.dndbeyond.com/magic-items/everbright-lanterneverbright-lantern", "Everbright Lantern")</f>
        <v>Everbright Lantern</v>
      </c>
    </row>
    <row r="12" spans="1:1" ht="15.75" customHeight="1">
      <c r="A12" s="63" t="str">
        <f>HYPERLINK("https://www.dndbeyond.com/magic-items/feather-token-feather-fallfeather-token-feather-fall", "Feather Token Feather Fall")</f>
        <v>Feather Token Feather Fall</v>
      </c>
    </row>
    <row r="13" spans="1:1" ht="15.75" customHeight="1">
      <c r="A13" s="63" t="str">
        <f>HYPERLINK("https://www.dndbeyond.com/magic-items/fernian-ash-focusfernian-ash-focus", "Fernian Ash Focus")</f>
        <v>Fernian Ash Focus</v>
      </c>
    </row>
    <row r="14" spans="1:1" ht="15.75" customHeight="1">
      <c r="A14" s="63" t="str">
        <f>HYPERLINK("https://www.dndbeyond.com/magic-items/finders-gogglesfinders-goggles", "Finders Goggles")</f>
        <v>Finders Goggles</v>
      </c>
    </row>
    <row r="15" spans="1:1" ht="15.75" customHeight="1">
      <c r="A15" s="63" t="str">
        <f>HYPERLINK("https://www.dndbeyond.com/magic-items/glamerweaveglamerweave", "Glamerweave")</f>
        <v>Glamerweave</v>
      </c>
    </row>
    <row r="16" spans="1:1" ht="15.75" customHeight="1">
      <c r="A16" s="63" t="str">
        <f>HYPERLINK("https://www.dndbeyond.com/magic-items/imbued-wood-focusimbued-wood-focus", "Imbued Wood Focus")</f>
        <v>Imbued Wood Focus</v>
      </c>
    </row>
    <row r="17" spans="1:1" ht="15.75" customHeight="1">
      <c r="A17" s="63" t="str">
        <f>HYPERLINK("https://www.dndbeyond.com/magic-items/inquisitives-gogglesinquisitives-goggles", "Inquisitives Goggles")</f>
        <v>Inquisitives Goggles</v>
      </c>
    </row>
    <row r="18" spans="1:1" ht="15.75" customHeight="1">
      <c r="A18" s="63" t="str">
        <f>HYPERLINK("https://www.dndbeyond.com/magic-items/irian-rosewood-focusirian-rosewood-focus", "Irian Rosewood Focus")</f>
        <v>Irian Rosewood Focus</v>
      </c>
    </row>
    <row r="19" spans="1:1" ht="15.75" customHeight="1">
      <c r="A19" s="63" t="str">
        <f>HYPERLINK("https://www.dndbeyond.com/magic-items/keycharmkeycharm", "Keycharm")</f>
        <v>Keycharm</v>
      </c>
    </row>
    <row r="20" spans="1:1" ht="15.75" customHeight="1">
      <c r="A20" s="63" t="str">
        <f>HYPERLINK("https://www.dndbeyond.com/magic-items/kyrzins-oozekyrzins-ooze", "Kyrzins Ooze")</f>
        <v>Kyrzins Ooze</v>
      </c>
    </row>
    <row r="21" spans="1:1" ht="15.75" customHeight="1">
      <c r="A21" s="63" t="str">
        <f>HYPERLINK("https://www.dndbeyond.com/magic-items/kythrian-manchineel-focuskythrian-manchineel-focus", "Kythrian Manchineel Focus")</f>
        <v>Kythrian Manchineel Focus</v>
      </c>
    </row>
    <row r="22" spans="1:1" ht="15.75" customHeight="1">
      <c r="A22" s="63" t="str">
        <f>HYPERLINK("https://www.dndbeyond.com/magic-items/lamannian-oak-focuslamannian-oak-focus", "Lamannian Oak Focus")</f>
        <v>Lamannian Oak Focus</v>
      </c>
    </row>
    <row r="23" spans="1:1" ht="15.75" customHeight="1">
      <c r="A23" s="63" t="str">
        <f>HYPERLINK("https://www.dndbeyond.com/magic-items/living-armorliving-armor", "Living Armor")</f>
        <v>Living Armor</v>
      </c>
    </row>
    <row r="24" spans="1:1" ht="15.75" customHeight="1">
      <c r="A24" s="63" t="str">
        <f>HYPERLINK("https://www.dndbeyond.com/magic-items/living-glovesliving-gloves", "Living Gloves")</f>
        <v>Living Gloves</v>
      </c>
    </row>
    <row r="25" spans="1:1" ht="15.75" customHeight="1">
      <c r="A25" s="63" t="str">
        <f>HYPERLINK("https://www.dndbeyond.com/magic-items/mabaran-ebony-focusmabaran-ebony-focus", "Mabaran Ebony Focus")</f>
        <v>Mabaran Ebony Focus</v>
      </c>
    </row>
    <row r="26" spans="1:1" ht="15.75" customHeight="1">
      <c r="A26" s="63" t="str">
        <f>HYPERLINK("https://www.dndbeyond.com/magic-items/mabaran-resonatormabaran-resonator", "Mabaran Resonator")</f>
        <v>Mabaran Resonator</v>
      </c>
    </row>
    <row r="27" spans="1:1" ht="15.75" customHeight="1">
      <c r="A27" s="63" t="str">
        <f>HYPERLINK("https://www.dndbeyond.com/magic-items/masters-callmasters-call", "Masters Call")</f>
        <v>Masters Call</v>
      </c>
    </row>
    <row r="28" spans="1:1" ht="15.75" customHeight="1">
      <c r="A28" s="63" t="str">
        <f>HYPERLINK("https://www.dndbeyond.com/magic-items/orb-of-shieldingorb-of-shielding", "Orb Of Shielding")</f>
        <v>Orb Of Shielding</v>
      </c>
    </row>
    <row r="29" spans="1:1" ht="15.75" customHeight="1">
      <c r="A29" s="63" t="str">
        <f>HYPERLINK("https://www.dndbeyond.com/magic-items/prosthetic-limbprosthetic-limb", "Prosthetic Limb")</f>
        <v>Prosthetic Limb</v>
      </c>
    </row>
    <row r="30" spans="1:1" ht="15.75" customHeight="1">
      <c r="A30" s="63" t="str">
        <f>HYPERLINK("https://www.dndbeyond.com/magic-items/quori-beech-focusquori-beech-focus", "Quori Beech Focus")</f>
        <v>Quori Beech Focus</v>
      </c>
    </row>
    <row r="31" spans="1:1" ht="15.75" customHeight="1">
      <c r="A31" s="63" t="str">
        <f>HYPERLINK("https://www.dndbeyond.com/magic-items/revenant-double-bladed-scimitarrevenant-double-bladed-scimitar", "Revenant Double Bladed Scimitar")</f>
        <v>Revenant Double Bladed Scimitar</v>
      </c>
    </row>
    <row r="32" spans="1:1" ht="15.75" customHeight="1">
      <c r="A32" s="63" t="str">
        <f>HYPERLINK("https://www.dndbeyond.com/magic-items/rings-of-shared-sufferingrings-of-shared-suffering", "Rings Of Shared Suffering")</f>
        <v>Rings Of Shared Suffering</v>
      </c>
    </row>
    <row r="33" spans="1:1" ht="15.75" customHeight="1">
      <c r="A33" s="63" t="str">
        <f>HYPERLINK("https://www.dndbeyond.com/magic-items/risian-pine-focusrisian-pine-focus", "Risian Pine Focus")</f>
        <v>Risian Pine Focus</v>
      </c>
    </row>
    <row r="34" spans="1:1" ht="15.75" customHeight="1">
      <c r="A34" s="63" t="str">
        <f>HYPERLINK("https://www.dndbeyond.com/magic-items/scribes-penscribes-pen", "Scribes Pen")</f>
        <v>Scribes Pen</v>
      </c>
    </row>
    <row r="35" spans="1:1" ht="15.75" customHeight="1">
      <c r="A35" s="63" t="str">
        <f>HYPERLINK("https://www.dndbeyond.com/magic-items/shavarran-birch-focusshavarran-birch-focus", "Shavarran Birch Focus")</f>
        <v>Shavarran Birch Focus</v>
      </c>
    </row>
    <row r="36" spans="1:1" ht="15.75" customHeight="1">
      <c r="A36" s="63" t="str">
        <f>HYPERLINK("https://www.dndbeyond.com/magic-items/shiftweaveshiftweave", "Shiftweave")</f>
        <v>Shiftweave</v>
      </c>
    </row>
    <row r="37" spans="1:1" ht="12.75">
      <c r="A37" s="63" t="str">
        <f>HYPERLINK("https://www.dndbeyond.com/magic-items/speaking-stonespeaking-stone", "Speaking Stone")</f>
        <v>Speaking Stone</v>
      </c>
    </row>
    <row r="38" spans="1:1" ht="12.75">
      <c r="A38" s="63" t="str">
        <f>HYPERLINK("https://www.dndbeyond.com/magic-items/spell-sinkspell-sink", "Spell Sink")</f>
        <v>Spell Sink</v>
      </c>
    </row>
    <row r="39" spans="1:1" ht="12.75">
      <c r="A39" s="63" t="str">
        <f>HYPERLINK("https://www.dndbeyond.com/magic-items/spellshardspellshard", "Spellshard")</f>
        <v>Spellshard</v>
      </c>
    </row>
    <row r="40" spans="1:1" ht="12.75">
      <c r="A40" s="63" t="str">
        <f>HYPERLINK("https://www.dndbeyond.com/magic-items/storm-spirestorm-spire", "Storm Spire")</f>
        <v>Storm Spire</v>
      </c>
    </row>
    <row r="41" spans="1:1" ht="12.75">
      <c r="A41" s="63" t="str">
        <f>HYPERLINK("https://www.dndbeyond.com/magic-items/uncommon-glamerweaveuncommon-glamerweave", "Uncommon Glamerweave")</f>
        <v>Uncommon Glamerweave</v>
      </c>
    </row>
    <row r="42" spans="1:1" ht="12.75">
      <c r="A42" s="63" t="str">
        <f>HYPERLINK("https://www.dndbeyond.com/magic-items/ventilating-lungsventilating-lungs", "Ventilating Lungs")</f>
        <v>Ventilating Lungs</v>
      </c>
    </row>
    <row r="43" spans="1:1" ht="12.75">
      <c r="A43" s="63" t="str">
        <f>HYPERLINK("https://www.dndbeyond.com/magic-items/wand-sheathwand-sheath", "Wand Sheath")</f>
        <v>Wand Sheath</v>
      </c>
    </row>
    <row r="44" spans="1:1" ht="12.75">
      <c r="A44" s="63" t="str">
        <f>HYPERLINK("https://www.dndbeyond.com/magic-items/wheel-of-wind-and-waterwheel-of-wind-and-water", "Wheel Of Wind And Water")</f>
        <v>Wheel Of Wind And Water</v>
      </c>
    </row>
    <row r="45" spans="1:1" ht="12.75">
      <c r="A45" s="63" t="str">
        <f>HYPERLINK("https://www.dndbeyond.com/magic-items/xorian-wenge-focusxorian-wenge-focus", "Xorian Wenge Focus")</f>
        <v>Xorian Wenge Focus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9"/>
  <sheetViews>
    <sheetView workbookViewId="0"/>
  </sheetViews>
  <sheetFormatPr defaultColWidth="14.42578125" defaultRowHeight="15.75" customHeight="1"/>
  <cols>
    <col min="1" max="1" width="34.140625" customWidth="1"/>
    <col min="2" max="2" width="10.42578125" customWidth="1"/>
  </cols>
  <sheetData>
    <row r="1" spans="1:3" ht="15.75" customHeight="1">
      <c r="A1" s="64" t="s">
        <v>77</v>
      </c>
      <c r="B1" s="64" t="s">
        <v>78</v>
      </c>
      <c r="C1" s="64" t="s">
        <v>79</v>
      </c>
    </row>
    <row r="2" spans="1:3" ht="15.75" customHeight="1">
      <c r="A2" s="65" t="s">
        <v>80</v>
      </c>
      <c r="B2" s="66" t="s">
        <v>81</v>
      </c>
      <c r="C2" s="67" t="s">
        <v>82</v>
      </c>
    </row>
    <row r="3" spans="1:3" ht="15.75" customHeight="1">
      <c r="A3" s="65" t="s">
        <v>83</v>
      </c>
      <c r="B3" s="66" t="s">
        <v>84</v>
      </c>
      <c r="C3" s="67" t="s">
        <v>85</v>
      </c>
    </row>
    <row r="4" spans="1:3" ht="15.75" customHeight="1">
      <c r="B4" s="66"/>
    </row>
    <row r="5" spans="1:3" ht="15.75" customHeight="1">
      <c r="A5" s="65" t="s">
        <v>86</v>
      </c>
      <c r="B5" s="65" t="s">
        <v>60</v>
      </c>
      <c r="C5" s="65"/>
    </row>
    <row r="6" spans="1:3" ht="15.75" customHeight="1">
      <c r="A6" s="65" t="s">
        <v>87</v>
      </c>
      <c r="B6" s="65" t="s">
        <v>44</v>
      </c>
    </row>
    <row r="7" spans="1:3" ht="15.75" customHeight="1">
      <c r="A7" s="65" t="s">
        <v>88</v>
      </c>
      <c r="B7" s="65" t="s">
        <v>32</v>
      </c>
      <c r="C7" s="68"/>
    </row>
    <row r="8" spans="1:3" ht="15.75" customHeight="1">
      <c r="A8" s="65" t="s">
        <v>89</v>
      </c>
      <c r="B8" s="66" t="s">
        <v>52</v>
      </c>
      <c r="C8" s="69"/>
    </row>
    <row r="9" spans="1:3" ht="15.75" customHeight="1">
      <c r="A9" s="65" t="s">
        <v>90</v>
      </c>
      <c r="B9" s="66" t="s">
        <v>67</v>
      </c>
    </row>
    <row r="10" spans="1:3" ht="15.75" customHeight="1">
      <c r="A10" s="65" t="s">
        <v>91</v>
      </c>
      <c r="B10" s="66" t="s">
        <v>20</v>
      </c>
      <c r="C10" s="67" t="s">
        <v>92</v>
      </c>
    </row>
    <row r="11" spans="1:3" ht="15.75" customHeight="1">
      <c r="A11" s="65" t="s">
        <v>93</v>
      </c>
      <c r="B11" s="66" t="s">
        <v>33</v>
      </c>
    </row>
    <row r="12" spans="1:3" ht="15.75" customHeight="1">
      <c r="A12" s="65" t="s">
        <v>94</v>
      </c>
      <c r="B12" s="65" t="s">
        <v>17</v>
      </c>
    </row>
    <row r="13" spans="1:3" ht="15.75" customHeight="1">
      <c r="A13" s="65" t="s">
        <v>95</v>
      </c>
      <c r="B13" s="66" t="s">
        <v>62</v>
      </c>
    </row>
    <row r="14" spans="1:3" ht="15.75" customHeight="1">
      <c r="A14" s="65" t="s">
        <v>96</v>
      </c>
      <c r="B14" s="66" t="s">
        <v>69</v>
      </c>
    </row>
    <row r="15" spans="1:3" ht="15.75" customHeight="1">
      <c r="A15" s="65" t="s">
        <v>97</v>
      </c>
      <c r="B15" s="66" t="s">
        <v>47</v>
      </c>
    </row>
    <row r="16" spans="1:3" ht="15.75" customHeight="1">
      <c r="A16" s="65" t="s">
        <v>98</v>
      </c>
      <c r="B16" s="65" t="s">
        <v>76</v>
      </c>
    </row>
    <row r="17" spans="1:2" ht="15.75" customHeight="1">
      <c r="A17" s="65" t="s">
        <v>99</v>
      </c>
      <c r="B17" s="65" t="s">
        <v>11</v>
      </c>
    </row>
    <row r="18" spans="1:2" ht="15.75" customHeight="1">
      <c r="A18" s="65" t="s">
        <v>100</v>
      </c>
      <c r="B18" s="65" t="s">
        <v>50</v>
      </c>
    </row>
    <row r="19" spans="1:2" ht="15.75" customHeight="1">
      <c r="A19" s="65" t="s">
        <v>101</v>
      </c>
      <c r="B19" s="66" t="s">
        <v>66</v>
      </c>
    </row>
    <row r="20" spans="1:2" ht="15.75" customHeight="1">
      <c r="A20" s="65" t="s">
        <v>102</v>
      </c>
      <c r="B20" s="65" t="s">
        <v>103</v>
      </c>
    </row>
    <row r="21" spans="1:2" ht="15.75" customHeight="1">
      <c r="A21" s="65" t="s">
        <v>104</v>
      </c>
      <c r="B21" s="65" t="s">
        <v>68</v>
      </c>
    </row>
    <row r="22" spans="1:2" ht="15.75" customHeight="1">
      <c r="A22" s="65" t="s">
        <v>105</v>
      </c>
      <c r="B22" s="65" t="s">
        <v>23</v>
      </c>
    </row>
    <row r="23" spans="1:2" ht="15.75" customHeight="1">
      <c r="A23" s="65" t="s">
        <v>106</v>
      </c>
      <c r="B23" s="66" t="s">
        <v>65</v>
      </c>
    </row>
    <row r="24" spans="1:2" ht="15.75" customHeight="1">
      <c r="A24" s="65" t="s">
        <v>107</v>
      </c>
      <c r="B24" s="66" t="s">
        <v>40</v>
      </c>
    </row>
    <row r="25" spans="1:2" ht="15.75" customHeight="1">
      <c r="A25" s="65" t="s">
        <v>108</v>
      </c>
      <c r="B25" s="66" t="s">
        <v>54</v>
      </c>
    </row>
    <row r="26" spans="1:2" ht="15.75" customHeight="1">
      <c r="A26" s="65" t="s">
        <v>109</v>
      </c>
      <c r="B26" s="66" t="s">
        <v>43</v>
      </c>
    </row>
    <row r="27" spans="1:2" ht="15.75" customHeight="1">
      <c r="A27" s="65" t="s">
        <v>110</v>
      </c>
      <c r="B27" s="66" t="s">
        <v>27</v>
      </c>
    </row>
    <row r="28" spans="1:2" ht="15.75" customHeight="1">
      <c r="A28" s="65" t="s">
        <v>111</v>
      </c>
      <c r="B28" s="66" t="s">
        <v>14</v>
      </c>
    </row>
    <row r="29" spans="1:2" ht="15.75" customHeight="1">
      <c r="A29" s="65" t="s">
        <v>112</v>
      </c>
      <c r="B29" s="66" t="s">
        <v>53</v>
      </c>
    </row>
    <row r="30" spans="1:2" ht="15.75" customHeight="1">
      <c r="A30" s="65" t="s">
        <v>113</v>
      </c>
      <c r="B30" s="66" t="s">
        <v>28</v>
      </c>
    </row>
    <row r="31" spans="1:2" ht="15.75" customHeight="1">
      <c r="A31" s="65" t="s">
        <v>114</v>
      </c>
      <c r="B31" s="66" t="s">
        <v>70</v>
      </c>
    </row>
    <row r="32" spans="1:2" ht="15.75" customHeight="1">
      <c r="A32" s="65" t="s">
        <v>115</v>
      </c>
      <c r="B32" s="65" t="s">
        <v>34</v>
      </c>
    </row>
    <row r="33" spans="1:3" ht="15.75" customHeight="1">
      <c r="A33" s="65" t="s">
        <v>116</v>
      </c>
      <c r="B33" s="66" t="s">
        <v>71</v>
      </c>
    </row>
    <row r="34" spans="1:3" ht="15.75" customHeight="1">
      <c r="A34" s="65" t="s">
        <v>117</v>
      </c>
      <c r="B34" s="66" t="s">
        <v>39</v>
      </c>
    </row>
    <row r="35" spans="1:3" ht="15.75" customHeight="1">
      <c r="A35" s="65" t="s">
        <v>118</v>
      </c>
      <c r="B35" s="66" t="s">
        <v>46</v>
      </c>
    </row>
    <row r="36" spans="1:3" ht="15.75" customHeight="1">
      <c r="A36" s="65" t="s">
        <v>119</v>
      </c>
      <c r="B36" s="65" t="s">
        <v>36</v>
      </c>
    </row>
    <row r="37" spans="1:3" ht="12.75">
      <c r="A37" s="65" t="s">
        <v>120</v>
      </c>
      <c r="B37" s="66" t="s">
        <v>37</v>
      </c>
    </row>
    <row r="39" spans="1:3" ht="12.75">
      <c r="A39" s="70" t="s">
        <v>121</v>
      </c>
      <c r="C39" s="71" t="s">
        <v>122</v>
      </c>
    </row>
  </sheetData>
  <hyperlinks>
    <hyperlink ref="C2" r:id="rId1" xr:uid="{00000000-0004-0000-0200-000000000000}"/>
    <hyperlink ref="C3" r:id="rId2" xr:uid="{00000000-0004-0000-0200-000001000000}"/>
    <hyperlink ref="C10" r:id="rId3" xr:uid="{00000000-0004-0000-0200-000002000000}"/>
    <hyperlink ref="C39" r:id="rId4" location="gid=496727237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6" customWidth="1"/>
    <col min="2" max="2" width="7" customWidth="1"/>
    <col min="3" max="3" width="8.140625" customWidth="1"/>
    <col min="4" max="4" width="11.85546875" customWidth="1"/>
    <col min="5" max="5" width="28.28515625" customWidth="1"/>
    <col min="6" max="6" width="50.7109375" customWidth="1"/>
  </cols>
  <sheetData>
    <row r="1" spans="1:6" ht="15.75" customHeight="1">
      <c r="A1" s="1" t="s">
        <v>123</v>
      </c>
      <c r="B1" s="3" t="s">
        <v>124</v>
      </c>
      <c r="C1" s="3" t="s">
        <v>125</v>
      </c>
      <c r="D1" s="3" t="s">
        <v>126</v>
      </c>
      <c r="E1" s="3" t="s">
        <v>8</v>
      </c>
      <c r="F1" s="3" t="s">
        <v>127</v>
      </c>
    </row>
    <row r="2" spans="1:6" ht="15.75" customHeight="1">
      <c r="A2" s="24" t="str">
        <f>HYPERLINK("https://www.dndbeyond.com/equipment/abacus", "Abacus")</f>
        <v>Abacus</v>
      </c>
      <c r="B2" s="16">
        <v>2</v>
      </c>
      <c r="C2" s="21">
        <v>2</v>
      </c>
      <c r="D2" s="26"/>
      <c r="E2" s="26" t="s">
        <v>128</v>
      </c>
      <c r="F2" s="26" t="s">
        <v>129</v>
      </c>
    </row>
    <row r="3" spans="1:6" ht="15.75" customHeight="1">
      <c r="A3" s="24" t="str">
        <f>HYPERLINK("https://www.dndbeyond.com/equipment/acid-vial", "Acid Vial")</f>
        <v>Acid Vial</v>
      </c>
      <c r="B3" s="16">
        <v>25</v>
      </c>
      <c r="C3" s="21">
        <v>1</v>
      </c>
      <c r="D3" s="26"/>
      <c r="E3" s="26" t="s">
        <v>128</v>
      </c>
      <c r="F3" s="26" t="s">
        <v>130</v>
      </c>
    </row>
    <row r="4" spans="1:6" ht="15.75" customHeight="1">
      <c r="A4" s="24" t="str">
        <f>HYPERLINK("https://www.dndbeyond.com/equipment/alchemists-fire-flask", "Alchemist's Fire Flask")</f>
        <v>Alchemist's Fire Flask</v>
      </c>
      <c r="B4" s="16">
        <v>50</v>
      </c>
      <c r="C4" s="21">
        <v>1</v>
      </c>
      <c r="D4" s="26"/>
      <c r="E4" s="26" t="s">
        <v>128</v>
      </c>
      <c r="F4" s="26" t="s">
        <v>131</v>
      </c>
    </row>
    <row r="5" spans="1:6" ht="15.75" customHeight="1">
      <c r="A5" s="24" t="str">
        <f>HYPERLINK("https://www.dndbeyond.com/equipment/alchemists-supplies", "Alchemist's Supplies")</f>
        <v>Alchemist's Supplies</v>
      </c>
      <c r="B5" s="16">
        <v>50</v>
      </c>
      <c r="C5" s="21">
        <v>1</v>
      </c>
      <c r="D5" s="26"/>
      <c r="E5" s="26" t="s">
        <v>132</v>
      </c>
      <c r="F5" s="26" t="s">
        <v>129</v>
      </c>
    </row>
    <row r="6" spans="1:6" ht="15.75" customHeight="1">
      <c r="A6" s="24" t="str">
        <f>HYPERLINK("https://www.dndbeyond.com/equipment/alexandrite", "Alexandrite")</f>
        <v>Alexandrite</v>
      </c>
      <c r="B6" s="16">
        <v>500</v>
      </c>
      <c r="C6" s="21" t="s">
        <v>133</v>
      </c>
      <c r="D6" s="26"/>
      <c r="E6" s="26" t="s">
        <v>134</v>
      </c>
      <c r="F6" s="26"/>
    </row>
    <row r="7" spans="1:6" ht="15.75" customHeight="1">
      <c r="A7" s="24" t="str">
        <f>HYPERLINK("https://www.dndbeyond.com/equipment/alms-box", "Alms Box")</f>
        <v>Alms Box</v>
      </c>
      <c r="B7" s="16" t="s">
        <v>133</v>
      </c>
      <c r="C7" s="21" t="s">
        <v>133</v>
      </c>
      <c r="D7" s="26"/>
      <c r="E7" s="26" t="s">
        <v>128</v>
      </c>
      <c r="F7" s="26" t="s">
        <v>129</v>
      </c>
    </row>
    <row r="8" spans="1:6" ht="15.75" customHeight="1">
      <c r="A8" s="24" t="str">
        <f>HYPERLINK("https://www.dndbeyond.com/equipment/amber", "Amber")</f>
        <v>Amber</v>
      </c>
      <c r="B8" s="16">
        <v>100</v>
      </c>
      <c r="C8" s="21" t="s">
        <v>133</v>
      </c>
      <c r="D8" s="26"/>
      <c r="E8" s="26" t="s">
        <v>134</v>
      </c>
      <c r="F8" s="26"/>
    </row>
    <row r="9" spans="1:6" ht="15.75" customHeight="1">
      <c r="A9" s="24" t="str">
        <f>HYPERLINK("https://www.dndbeyond.com/equipment/amethyst", "Amethyst")</f>
        <v>Amethyst</v>
      </c>
      <c r="B9" s="16">
        <v>100</v>
      </c>
      <c r="C9" s="21" t="s">
        <v>133</v>
      </c>
      <c r="D9" s="26"/>
      <c r="E9" s="26" t="s">
        <v>134</v>
      </c>
      <c r="F9" s="26"/>
    </row>
    <row r="10" spans="1:6" ht="15.75" customHeight="1">
      <c r="A10" s="24" t="str">
        <f>HYPERLINK("https://www.dndbeyond.com/equipment/amulet", "Amulet")</f>
        <v>Amulet</v>
      </c>
      <c r="B10" s="16">
        <v>5</v>
      </c>
      <c r="C10" s="21">
        <v>1</v>
      </c>
      <c r="D10" s="26"/>
      <c r="E10" s="26" t="s">
        <v>135</v>
      </c>
      <c r="F10" s="26" t="s">
        <v>129</v>
      </c>
    </row>
    <row r="11" spans="1:6" ht="15.75" customHeight="1">
      <c r="A11" s="24" t="str">
        <f>HYPERLINK("https://www.dndbeyond.com/equipment/antimatter-rifle", "Antimatter Rifle")</f>
        <v>Antimatter Rifle</v>
      </c>
      <c r="B11" s="16" t="s">
        <v>133</v>
      </c>
      <c r="C11" s="21">
        <v>10</v>
      </c>
      <c r="D11" s="26" t="s">
        <v>136</v>
      </c>
      <c r="E11" s="26" t="s">
        <v>137</v>
      </c>
      <c r="F11" s="26" t="s">
        <v>138</v>
      </c>
    </row>
    <row r="12" spans="1:6" ht="15.75" customHeight="1">
      <c r="A12" s="24" t="str">
        <f>HYPERLINK("https://www.dndbeyond.com/equipment/antitoxin", "Antitoxin")</f>
        <v>Antitoxin</v>
      </c>
      <c r="B12" s="16">
        <v>50</v>
      </c>
      <c r="C12" s="21" t="s">
        <v>133</v>
      </c>
      <c r="D12" s="26"/>
      <c r="E12" s="26" t="s">
        <v>128</v>
      </c>
      <c r="F12" s="26" t="s">
        <v>139</v>
      </c>
    </row>
    <row r="13" spans="1:6" ht="15.75" customHeight="1">
      <c r="A13" s="24" t="str">
        <f>HYPERLINK("https://www.dndbeyond.com/equipment/aquamarine", "Aquamarine")</f>
        <v>Aquamarine</v>
      </c>
      <c r="B13" s="16">
        <v>500</v>
      </c>
      <c r="C13" s="21" t="s">
        <v>133</v>
      </c>
      <c r="D13" s="26"/>
      <c r="E13" s="26" t="s">
        <v>134</v>
      </c>
      <c r="F13" s="26"/>
    </row>
    <row r="14" spans="1:6" ht="15.75" customHeight="1">
      <c r="A14" s="24" t="str">
        <f>HYPERLINK("https://www.dndbeyond.com/equipment/arcane-focus", "Arcane Focus")</f>
        <v>Arcane Focus</v>
      </c>
      <c r="B14" s="16" t="s">
        <v>133</v>
      </c>
      <c r="C14" s="21" t="s">
        <v>133</v>
      </c>
      <c r="D14" s="26"/>
      <c r="E14" s="26" t="s">
        <v>140</v>
      </c>
      <c r="F14" s="26" t="s">
        <v>129</v>
      </c>
    </row>
    <row r="15" spans="1:6" ht="15.75" customHeight="1">
      <c r="A15" s="24" t="str">
        <f>HYPERLINK("https://www.dndbeyond.com/equipment/arrows", "Arrows")</f>
        <v>Arrows</v>
      </c>
      <c r="B15" s="16">
        <v>1</v>
      </c>
      <c r="C15" s="21">
        <v>1</v>
      </c>
      <c r="D15" s="26"/>
      <c r="E15" s="26" t="s">
        <v>25</v>
      </c>
      <c r="F15" s="26" t="s">
        <v>141</v>
      </c>
    </row>
    <row r="16" spans="1:6" ht="15.75" customHeight="1">
      <c r="A16" s="24" t="str">
        <f>HYPERLINK("https://www.dndbeyond.com/equipment/assassins-blood-ingested", "Assassin's Blood (Ingested)")</f>
        <v>Assassin's Blood (Ingested)</v>
      </c>
      <c r="B16" s="16">
        <v>150</v>
      </c>
      <c r="C16" s="21" t="s">
        <v>133</v>
      </c>
      <c r="D16" s="26"/>
      <c r="E16" s="26" t="s">
        <v>142</v>
      </c>
      <c r="F16" s="26" t="s">
        <v>143</v>
      </c>
    </row>
    <row r="17" spans="1:6" ht="15.75" customHeight="1">
      <c r="A17" s="24" t="str">
        <f>HYPERLINK("https://www.dndbeyond.com/equipment/azurite", "Azurite")</f>
        <v>Azurite</v>
      </c>
      <c r="B17" s="16">
        <v>10</v>
      </c>
      <c r="C17" s="21" t="s">
        <v>133</v>
      </c>
      <c r="D17" s="26"/>
      <c r="E17" s="26" t="s">
        <v>134</v>
      </c>
      <c r="F17" s="26"/>
    </row>
    <row r="18" spans="1:6" ht="15.75" customHeight="1">
      <c r="A18" s="24" t="str">
        <f>HYPERLINK("https://www.dndbeyond.com/equipment/backpack", "Backpack")</f>
        <v>Backpack</v>
      </c>
      <c r="B18" s="16">
        <v>2</v>
      </c>
      <c r="C18" s="21">
        <v>5</v>
      </c>
      <c r="D18" s="26"/>
      <c r="E18" s="26" t="s">
        <v>128</v>
      </c>
      <c r="F18" s="26" t="s">
        <v>144</v>
      </c>
    </row>
    <row r="19" spans="1:6" ht="15.75" customHeight="1">
      <c r="A19" s="24" t="str">
        <f>HYPERLINK("https://www.dndbeyond.com/equipment/bagpipes", "Bagpipes")</f>
        <v>Bagpipes</v>
      </c>
      <c r="B19" s="16">
        <v>30</v>
      </c>
      <c r="C19" s="21">
        <v>6</v>
      </c>
      <c r="D19" s="26"/>
      <c r="E19" s="26" t="s">
        <v>132</v>
      </c>
      <c r="F19" s="26" t="s">
        <v>145</v>
      </c>
    </row>
    <row r="20" spans="1:6" ht="15.75" customHeight="1">
      <c r="A20" s="24" t="str">
        <f>HYPERLINK("https://www.dndbeyond.com/equipment/ball-bearings-bag-of-1-000", "Ball Bearings (Bag Of 1000)")</f>
        <v>Ball Bearings (Bag Of 1000)</v>
      </c>
      <c r="B20" s="16">
        <v>1</v>
      </c>
      <c r="C20" s="21">
        <v>2</v>
      </c>
      <c r="D20" s="26"/>
      <c r="E20" s="26" t="s">
        <v>128</v>
      </c>
      <c r="F20" s="26" t="s">
        <v>146</v>
      </c>
    </row>
    <row r="21" spans="1:6" ht="15.75" customHeight="1">
      <c r="A21" s="24" t="str">
        <f>HYPERLINK("https://www.dndbeyond.com/equipment/banded-agate", "Banded Agate")</f>
        <v>Banded Agate</v>
      </c>
      <c r="B21" s="72">
        <v>10</v>
      </c>
      <c r="C21" s="21" t="s">
        <v>133</v>
      </c>
      <c r="D21" s="73"/>
      <c r="E21" s="73" t="s">
        <v>134</v>
      </c>
      <c r="F21" s="73"/>
    </row>
    <row r="22" spans="1:6" ht="15.75" customHeight="1">
      <c r="A22" s="24" t="str">
        <f>HYPERLINK("https://www.dndbeyond.com/equipment/barding", "Barding")</f>
        <v>Barding</v>
      </c>
      <c r="B22" s="16" t="s">
        <v>133</v>
      </c>
      <c r="C22" s="21" t="s">
        <v>133</v>
      </c>
      <c r="D22" s="26"/>
      <c r="E22" s="26" t="s">
        <v>128</v>
      </c>
      <c r="F22" s="26" t="s">
        <v>147</v>
      </c>
    </row>
    <row r="23" spans="1:6" ht="15.75" customHeight="1">
      <c r="A23" s="24" t="str">
        <f>HYPERLINK("https://www.dndbeyond.com/equipment/barrel", "Barrel")</f>
        <v>Barrel</v>
      </c>
      <c r="B23" s="16">
        <v>2</v>
      </c>
      <c r="C23" s="21">
        <v>70</v>
      </c>
      <c r="D23" s="26"/>
      <c r="E23" s="26" t="s">
        <v>128</v>
      </c>
      <c r="F23" s="26" t="s">
        <v>144</v>
      </c>
    </row>
    <row r="24" spans="1:6" ht="15.75" customHeight="1">
      <c r="A24" s="24" t="str">
        <f>HYPERLINK("https://www.dndbeyond.com/equipment/basket", "Basket")</f>
        <v>Basket</v>
      </c>
      <c r="B24" s="19">
        <v>0.4</v>
      </c>
      <c r="C24" s="21">
        <v>2</v>
      </c>
      <c r="D24" s="26"/>
      <c r="E24" s="26" t="s">
        <v>128</v>
      </c>
      <c r="F24" s="26" t="s">
        <v>144</v>
      </c>
    </row>
    <row r="25" spans="1:6" ht="15.75" customHeight="1">
      <c r="A25" s="24" t="str">
        <f>HYPERLINK("https://www.dndbeyond.com/equipment/battleaxe", "Battleaxe")</f>
        <v>Battleaxe</v>
      </c>
      <c r="B25" s="16">
        <v>10</v>
      </c>
      <c r="C25" s="21">
        <v>4</v>
      </c>
      <c r="D25" s="26" t="s">
        <v>148</v>
      </c>
      <c r="E25" s="26" t="s">
        <v>149</v>
      </c>
      <c r="F25" s="26" t="s">
        <v>141</v>
      </c>
    </row>
    <row r="26" spans="1:6" ht="15.75" customHeight="1">
      <c r="A26" s="24" t="str">
        <f>HYPERLINK("https://www.dndbeyond.com/equipment/bedroll", "Bedroll")</f>
        <v>Bedroll</v>
      </c>
      <c r="B26" s="16">
        <v>1</v>
      </c>
      <c r="C26" s="21">
        <v>7</v>
      </c>
      <c r="D26" s="26"/>
      <c r="E26" s="26" t="s">
        <v>128</v>
      </c>
      <c r="F26" s="26" t="s">
        <v>129</v>
      </c>
    </row>
    <row r="27" spans="1:6" ht="15.75" customHeight="1">
      <c r="A27" s="24" t="str">
        <f>HYPERLINK("https://www.dndbeyond.com/equipment/bell", "Bell")</f>
        <v>Bell</v>
      </c>
      <c r="B27" s="16">
        <v>1</v>
      </c>
      <c r="C27" s="21" t="s">
        <v>133</v>
      </c>
      <c r="D27" s="26"/>
      <c r="E27" s="26" t="s">
        <v>128</v>
      </c>
      <c r="F27" s="26" t="s">
        <v>150</v>
      </c>
    </row>
    <row r="28" spans="1:6" ht="15.75" customHeight="1">
      <c r="A28" s="24" t="str">
        <f>HYPERLINK("https://www.dndbeyond.com/equipment/birdpipes", "Birdpipes")</f>
        <v>Birdpipes</v>
      </c>
      <c r="B28" s="16">
        <v>12</v>
      </c>
      <c r="C28" s="21">
        <v>2</v>
      </c>
      <c r="D28" s="26"/>
      <c r="E28" s="26" t="s">
        <v>132</v>
      </c>
      <c r="F28" s="26" t="s">
        <v>145</v>
      </c>
    </row>
    <row r="29" spans="1:6" ht="15.75" customHeight="1">
      <c r="A29" s="24" t="str">
        <f>HYPERLINK("https://www.dndbeyond.com/equipment/bit-and-bridle", "Bit And Bridle")</f>
        <v>Bit And Bridle</v>
      </c>
      <c r="B29" s="16">
        <v>2</v>
      </c>
      <c r="C29" s="21">
        <v>1</v>
      </c>
      <c r="D29" s="26"/>
      <c r="E29" s="26" t="s">
        <v>128</v>
      </c>
      <c r="F29" s="26" t="s">
        <v>129</v>
      </c>
    </row>
    <row r="30" spans="1:6" ht="15.75" customHeight="1">
      <c r="A30" s="24" t="str">
        <f>HYPERLINK("https://www.dndbeyond.com/equipment/black-opal", "Black Opal")</f>
        <v>Black Opal</v>
      </c>
      <c r="B30" s="72">
        <v>1000</v>
      </c>
      <c r="C30" s="21" t="s">
        <v>133</v>
      </c>
      <c r="D30" s="73"/>
      <c r="E30" s="73" t="s">
        <v>134</v>
      </c>
      <c r="F30" s="73"/>
    </row>
    <row r="31" spans="1:6" ht="15.75" customHeight="1">
      <c r="A31" s="24" t="str">
        <f>HYPERLINK("https://www.dndbeyond.com/equipment/black-pearl", "Black Pearl")</f>
        <v>Black Pearl</v>
      </c>
      <c r="B31" s="72">
        <v>500</v>
      </c>
      <c r="C31" s="21" t="s">
        <v>133</v>
      </c>
      <c r="D31" s="73"/>
      <c r="E31" s="73" t="s">
        <v>134</v>
      </c>
      <c r="F31" s="73"/>
    </row>
    <row r="32" spans="1:6" ht="15.75" customHeight="1">
      <c r="A32" s="24" t="str">
        <f>HYPERLINK("https://www.dndbeyond.com/equipment/black-sapphire", "Black Sapphire")</f>
        <v>Black Sapphire</v>
      </c>
      <c r="B32" s="72">
        <v>5000</v>
      </c>
      <c r="C32" s="21" t="s">
        <v>133</v>
      </c>
      <c r="D32" s="73"/>
      <c r="E32" s="73" t="s">
        <v>134</v>
      </c>
      <c r="F32" s="73"/>
    </row>
    <row r="33" spans="1:6" ht="15.75" customHeight="1">
      <c r="A33" s="24" t="str">
        <f>HYPERLINK("https://www.dndbeyond.com/equipment/blanket", "Blanket")</f>
        <v>Blanket</v>
      </c>
      <c r="B33" s="16">
        <v>0.5</v>
      </c>
      <c r="C33" s="21">
        <v>3</v>
      </c>
      <c r="D33" s="26"/>
      <c r="E33" s="26" t="s">
        <v>128</v>
      </c>
      <c r="F33" s="26" t="s">
        <v>129</v>
      </c>
    </row>
    <row r="34" spans="1:6" ht="15.75" customHeight="1">
      <c r="A34" s="24" t="str">
        <f>HYPERLINK("https://www.dndbeyond.com/equipment/block-and-tackle", "Block And Tackle")</f>
        <v>Block And Tackle</v>
      </c>
      <c r="B34" s="16">
        <v>1</v>
      </c>
      <c r="C34" s="21">
        <v>5</v>
      </c>
      <c r="D34" s="26"/>
      <c r="E34" s="26" t="s">
        <v>128</v>
      </c>
      <c r="F34" s="26" t="s">
        <v>151</v>
      </c>
    </row>
    <row r="35" spans="1:6" ht="15.75" customHeight="1">
      <c r="A35" s="24" t="str">
        <f>HYPERLINK("https://www.dndbeyond.com/equipment/block-of-incense", "Block Of Incense")</f>
        <v>Block Of Incense</v>
      </c>
      <c r="B35" s="16" t="s">
        <v>133</v>
      </c>
      <c r="C35" s="21" t="s">
        <v>133</v>
      </c>
      <c r="D35" s="26"/>
      <c r="E35" s="26" t="s">
        <v>128</v>
      </c>
      <c r="F35" s="26" t="s">
        <v>152</v>
      </c>
    </row>
    <row r="36" spans="1:6" ht="15.75" customHeight="1">
      <c r="A36" s="24" t="str">
        <f>HYPERLINK("https://www.dndbeyond.com/equipment/bloodstone", "Bloodstone")</f>
        <v>Bloodstone</v>
      </c>
      <c r="B36" s="72">
        <v>50</v>
      </c>
      <c r="C36" s="21" t="s">
        <v>133</v>
      </c>
      <c r="D36" s="73"/>
      <c r="E36" s="73" t="s">
        <v>134</v>
      </c>
      <c r="F36" s="73"/>
    </row>
    <row r="37" spans="1:6" ht="15.75" customHeight="1">
      <c r="A37" s="24" t="str">
        <f>HYPERLINK("https://www.dndbeyond.com/equipment/blowgun", "Blowgun")</f>
        <v>Blowgun</v>
      </c>
      <c r="B37" s="16">
        <v>10</v>
      </c>
      <c r="C37" s="21">
        <v>1</v>
      </c>
      <c r="D37" s="26" t="s">
        <v>153</v>
      </c>
      <c r="E37" s="26" t="s">
        <v>154</v>
      </c>
      <c r="F37" s="26" t="s">
        <v>141</v>
      </c>
    </row>
    <row r="38" spans="1:6" ht="15.75" customHeight="1">
      <c r="A38" s="24" t="str">
        <f>HYPERLINK("https://www.dndbeyond.com/equipment/blowgun-needles", "Blowgun Needles")</f>
        <v>Blowgun Needles</v>
      </c>
      <c r="B38" s="16">
        <v>1</v>
      </c>
      <c r="C38" s="21">
        <v>1</v>
      </c>
      <c r="D38" s="26"/>
      <c r="E38" s="26" t="s">
        <v>25</v>
      </c>
      <c r="F38" s="26" t="s">
        <v>141</v>
      </c>
    </row>
    <row r="39" spans="1:6" ht="12.75">
      <c r="A39" s="24" t="str">
        <f>HYPERLINK("https://www.dndbeyond.com/equipment/blue-quartz", "Blue Quartz")</f>
        <v>Blue Quartz</v>
      </c>
      <c r="B39" s="72">
        <v>10</v>
      </c>
      <c r="C39" s="21" t="s">
        <v>133</v>
      </c>
      <c r="D39" s="73"/>
      <c r="E39" s="73" t="s">
        <v>134</v>
      </c>
      <c r="F39" s="73"/>
    </row>
    <row r="40" spans="1:6" ht="12.75">
      <c r="A40" s="24" t="str">
        <f>HYPERLINK("https://www.dndbeyond.com/equipment/blue-sapphire", "Blue Sapphire")</f>
        <v>Blue Sapphire</v>
      </c>
      <c r="B40" s="72">
        <v>1000</v>
      </c>
      <c r="C40" s="21" t="s">
        <v>133</v>
      </c>
      <c r="D40" s="73"/>
      <c r="E40" s="73" t="s">
        <v>134</v>
      </c>
      <c r="F40" s="73"/>
    </row>
    <row r="41" spans="1:6" ht="12.75">
      <c r="A41" s="24" t="str">
        <f>HYPERLINK("https://www.dndbeyond.com/equipment/blue-spinel", "Blue Spinel")</f>
        <v>Blue Spinel</v>
      </c>
      <c r="B41" s="72">
        <v>500</v>
      </c>
      <c r="C41" s="21" t="s">
        <v>133</v>
      </c>
      <c r="D41" s="73"/>
      <c r="E41" s="73" t="s">
        <v>134</v>
      </c>
      <c r="F41" s="73"/>
    </row>
    <row r="42" spans="1:6" ht="12.75">
      <c r="A42" s="24" t="str">
        <f>HYPERLINK("https://www.dndbeyond.com/equipment/bomb", "Bomb")</f>
        <v>Bomb</v>
      </c>
      <c r="B42" s="16">
        <v>150</v>
      </c>
      <c r="C42" s="21">
        <v>1</v>
      </c>
      <c r="D42" s="26"/>
      <c r="E42" s="26" t="s">
        <v>128</v>
      </c>
      <c r="F42" s="26" t="s">
        <v>141</v>
      </c>
    </row>
    <row r="43" spans="1:6" ht="12.75">
      <c r="A43" s="24" t="str">
        <f>HYPERLINK("https://www.dndbeyond.com/equipment/book", "Book")</f>
        <v>Book</v>
      </c>
      <c r="B43" s="16">
        <v>25</v>
      </c>
      <c r="C43" s="21">
        <v>5</v>
      </c>
      <c r="D43" s="26"/>
      <c r="E43" s="26" t="s">
        <v>128</v>
      </c>
      <c r="F43" s="26" t="s">
        <v>152</v>
      </c>
    </row>
    <row r="44" spans="1:6" ht="12.75">
      <c r="A44" s="24" t="str">
        <f>HYPERLINK("https://www.dndbeyond.com/equipment/boomerang", "Boomerang")</f>
        <v>Boomerang</v>
      </c>
      <c r="B44" s="16" t="s">
        <v>133</v>
      </c>
      <c r="C44" s="21" t="s">
        <v>133</v>
      </c>
      <c r="D44" s="26" t="s">
        <v>155</v>
      </c>
      <c r="E44" s="26" t="s">
        <v>156</v>
      </c>
      <c r="F44" s="26" t="s">
        <v>141</v>
      </c>
    </row>
    <row r="45" spans="1:6" ht="12.75">
      <c r="A45" s="24" t="str">
        <f>HYPERLINK("https://www.dndbeyond.com/equipment/bottle-glass", "Bottle Glass")</f>
        <v>Bottle Glass</v>
      </c>
      <c r="B45" s="16">
        <v>2</v>
      </c>
      <c r="C45" s="21">
        <v>2</v>
      </c>
      <c r="D45" s="26"/>
      <c r="E45" s="26" t="s">
        <v>128</v>
      </c>
      <c r="F45" s="26" t="s">
        <v>144</v>
      </c>
    </row>
    <row r="46" spans="1:6" ht="12.75">
      <c r="A46" s="24" t="str">
        <f>HYPERLINK("https://www.dndbeyond.com/equipment/breastplate", "Breastplate")</f>
        <v>Breastplate</v>
      </c>
      <c r="B46" s="16">
        <v>400</v>
      </c>
      <c r="C46" s="21">
        <v>20</v>
      </c>
      <c r="D46" s="26" t="s">
        <v>157</v>
      </c>
      <c r="E46" s="26" t="s">
        <v>158</v>
      </c>
      <c r="F46" s="26" t="s">
        <v>159</v>
      </c>
    </row>
    <row r="47" spans="1:6" ht="12.75">
      <c r="A47" s="24" t="str">
        <f>HYPERLINK("https://www.dndbeyond.com/equipment/brewers-supplies", "Brewer's Supplies")</f>
        <v>Brewer's Supplies</v>
      </c>
      <c r="B47" s="16">
        <v>20</v>
      </c>
      <c r="C47" s="21">
        <v>9</v>
      </c>
      <c r="D47" s="26"/>
      <c r="E47" s="26" t="s">
        <v>132</v>
      </c>
      <c r="F47" s="26" t="s">
        <v>129</v>
      </c>
    </row>
    <row r="48" spans="1:6" ht="12.75">
      <c r="A48" s="24" t="str">
        <f>HYPERLINK("https://www.dndbeyond.com/equipment/bucket", "Bucket")</f>
        <v>Bucket</v>
      </c>
      <c r="B48" s="16">
        <v>0.05</v>
      </c>
      <c r="C48" s="21">
        <v>2</v>
      </c>
      <c r="D48" s="26"/>
      <c r="E48" s="26" t="s">
        <v>128</v>
      </c>
      <c r="F48" s="26" t="s">
        <v>144</v>
      </c>
    </row>
    <row r="49" spans="1:6" ht="12.75">
      <c r="A49" s="24" t="str">
        <f>HYPERLINK("https://www.dndbeyond.com/equipment/bullets-modern", "Bullets, Modern")</f>
        <v>Bullets, Modern</v>
      </c>
      <c r="B49" s="16" t="s">
        <v>133</v>
      </c>
      <c r="C49" s="21">
        <v>1</v>
      </c>
      <c r="D49" s="26"/>
      <c r="E49" s="26" t="s">
        <v>25</v>
      </c>
      <c r="F49" s="26" t="s">
        <v>141</v>
      </c>
    </row>
    <row r="50" spans="1:6" ht="12.75">
      <c r="A50" s="24" t="str">
        <f>HYPERLINK("https://www.dndbeyond.com/equipment/bullets-renaissance", "Bullets, Renaissance")</f>
        <v>Bullets, Renaissance</v>
      </c>
      <c r="B50" s="16">
        <v>3</v>
      </c>
      <c r="C50" s="21">
        <v>2</v>
      </c>
      <c r="D50" s="26"/>
      <c r="E50" s="26" t="s">
        <v>25</v>
      </c>
      <c r="F50" s="26" t="s">
        <v>141</v>
      </c>
    </row>
    <row r="51" spans="1:6" ht="12.75">
      <c r="A51" s="24" t="str">
        <f>HYPERLINK("https://www.dndbeyond.com/equipment/burglars-pack", "Burglar's Pack")</f>
        <v>Burglar's Pack</v>
      </c>
      <c r="B51" s="16">
        <v>16</v>
      </c>
      <c r="C51" s="21">
        <v>47.5</v>
      </c>
      <c r="D51" s="26"/>
      <c r="E51" s="26" t="s">
        <v>160</v>
      </c>
      <c r="F51" s="26" t="s">
        <v>161</v>
      </c>
    </row>
    <row r="52" spans="1:6" ht="12.75">
      <c r="A52" s="24" t="str">
        <f>HYPERLINK("https://www.dndbeyond.com/equipment/burnt-othur-fumes-inhaled", "Burnt Othur Fumes (Inhaled)")</f>
        <v>Burnt Othur Fumes (Inhaled)</v>
      </c>
      <c r="B52" s="16">
        <v>500</v>
      </c>
      <c r="C52" s="21" t="s">
        <v>133</v>
      </c>
      <c r="D52" s="26"/>
      <c r="E52" s="26" t="s">
        <v>142</v>
      </c>
      <c r="F52" s="26" t="s">
        <v>143</v>
      </c>
    </row>
    <row r="53" spans="1:6" ht="12.75">
      <c r="A53" s="24" t="str">
        <f>HYPERLINK("https://www.dndbeyond.com/equipment/calligraphers-supplies", "Calligrapher's Supplies")</f>
        <v>Calligrapher's Supplies</v>
      </c>
      <c r="B53" s="16">
        <v>10</v>
      </c>
      <c r="C53" s="21">
        <v>5</v>
      </c>
      <c r="D53" s="26"/>
      <c r="E53" s="26" t="s">
        <v>132</v>
      </c>
      <c r="F53" s="26" t="s">
        <v>129</v>
      </c>
    </row>
    <row r="54" spans="1:6" ht="12.75">
      <c r="A54" s="24" t="str">
        <f>HYPERLINK("https://www.dndbeyond.com/equipment/caltrops-bag-of-20", "Caltrops (Bag Of 20)")</f>
        <v>Caltrops (Bag Of 20)</v>
      </c>
      <c r="B54" s="16">
        <v>1</v>
      </c>
      <c r="C54" s="21">
        <v>2</v>
      </c>
      <c r="D54" s="26"/>
      <c r="E54" s="26" t="s">
        <v>128</v>
      </c>
      <c r="F54" s="26" t="s">
        <v>162</v>
      </c>
    </row>
    <row r="55" spans="1:6" ht="12.75">
      <c r="A55" s="24" t="str">
        <f>HYPERLINK("https://www.dndbeyond.com/equipment/camel", "Camel")</f>
        <v>Camel</v>
      </c>
      <c r="B55" s="16">
        <v>50</v>
      </c>
      <c r="C55" s="21" t="s">
        <v>133</v>
      </c>
      <c r="D55" s="26"/>
      <c r="E55" s="26" t="s">
        <v>163</v>
      </c>
      <c r="F55" s="26" t="s">
        <v>164</v>
      </c>
    </row>
    <row r="56" spans="1:6" ht="12.75">
      <c r="A56" s="24" t="str">
        <f>HYPERLINK("https://www.dndbeyond.com/equipment/candle", "Candle")</f>
        <v>Candle</v>
      </c>
      <c r="B56" s="16">
        <v>0.05</v>
      </c>
      <c r="C56" s="7"/>
      <c r="D56" s="26"/>
      <c r="E56" s="26" t="s">
        <v>128</v>
      </c>
      <c r="F56" s="26" t="s">
        <v>165</v>
      </c>
    </row>
    <row r="57" spans="1:6" ht="12.75">
      <c r="A57" s="24" t="str">
        <f>HYPERLINK("https://www.dndbeyond.com/equipment/canoe", "Canoe")</f>
        <v>Canoe</v>
      </c>
      <c r="B57" s="16">
        <v>50</v>
      </c>
      <c r="C57" s="21" t="s">
        <v>133</v>
      </c>
      <c r="D57" s="26"/>
      <c r="E57" s="26" t="s">
        <v>128</v>
      </c>
      <c r="F57" s="26" t="s">
        <v>129</v>
      </c>
    </row>
    <row r="58" spans="1:6" ht="12.75">
      <c r="A58" s="24" t="str">
        <f>HYPERLINK("https://www.dndbeyond.com/equipment/carnelian", "Carnelian")</f>
        <v>Carnelian</v>
      </c>
      <c r="B58" s="72">
        <v>50</v>
      </c>
      <c r="C58" s="21" t="s">
        <v>133</v>
      </c>
      <c r="D58" s="73"/>
      <c r="E58" s="73" t="s">
        <v>134</v>
      </c>
      <c r="F58" s="73"/>
    </row>
    <row r="59" spans="1:6" ht="12.75">
      <c r="A59" s="24" t="str">
        <f>HYPERLINK("https://www.dndbeyond.com/equipment/carpenters-tools", "Carpenter's Tools")</f>
        <v>Carpenter's Tools</v>
      </c>
      <c r="B59" s="16">
        <v>8</v>
      </c>
      <c r="C59" s="21">
        <v>6</v>
      </c>
      <c r="D59" s="26"/>
      <c r="E59" s="26" t="s">
        <v>128</v>
      </c>
      <c r="F59" s="26" t="s">
        <v>129</v>
      </c>
    </row>
    <row r="60" spans="1:6" ht="12.75">
      <c r="A60" s="24" t="str">
        <f>HYPERLINK("https://www.dndbeyond.com/equipment/carriage", "Carriage")</f>
        <v>Carriage</v>
      </c>
      <c r="B60" s="16">
        <v>100</v>
      </c>
      <c r="C60" s="21">
        <v>600</v>
      </c>
      <c r="D60" s="26"/>
      <c r="E60" s="26" t="s">
        <v>166</v>
      </c>
      <c r="F60" s="26" t="s">
        <v>151</v>
      </c>
    </row>
    <row r="61" spans="1:6" ht="12.75">
      <c r="A61" s="24" t="str">
        <f>HYPERLINK("https://www.dndbeyond.com/equipment/cart", "Cart")</f>
        <v>Cart</v>
      </c>
      <c r="B61" s="16">
        <v>15</v>
      </c>
      <c r="C61" s="21">
        <v>200</v>
      </c>
      <c r="D61" s="26"/>
      <c r="E61" s="26" t="s">
        <v>166</v>
      </c>
      <c r="F61" s="26" t="s">
        <v>151</v>
      </c>
    </row>
    <row r="62" spans="1:6" ht="12.75">
      <c r="A62" s="24" t="str">
        <f>HYPERLINK("https://www.dndbeyond.com/equipment/cartographers-tools", "Cartographer's Tools")</f>
        <v>Cartographer's Tools</v>
      </c>
      <c r="B62" s="16">
        <v>15</v>
      </c>
      <c r="C62" s="21">
        <v>6</v>
      </c>
      <c r="D62" s="26"/>
      <c r="E62" s="26" t="s">
        <v>132</v>
      </c>
      <c r="F62" s="26" t="s">
        <v>129</v>
      </c>
    </row>
    <row r="63" spans="1:6" ht="12.75">
      <c r="A63" s="24" t="str">
        <f>HYPERLINK("https://www.dndbeyond.com/equipment/case-crossbow-bolt", "Case, Crossbow Bolt")</f>
        <v>Case, Crossbow Bolt</v>
      </c>
      <c r="B63" s="16">
        <v>15</v>
      </c>
      <c r="C63" s="21">
        <v>6</v>
      </c>
      <c r="D63" s="26"/>
      <c r="E63" s="26" t="s">
        <v>128</v>
      </c>
      <c r="F63" s="26" t="s">
        <v>144</v>
      </c>
    </row>
    <row r="64" spans="1:6" ht="12.75">
      <c r="A64" s="24" t="str">
        <f>HYPERLINK("https://www.dndbeyond.com/equipment/case-map-or-scroll", "Case, Map or Scroll")</f>
        <v>Case, Map or Scroll</v>
      </c>
      <c r="B64" s="16">
        <v>1</v>
      </c>
      <c r="C64" s="21">
        <v>1</v>
      </c>
      <c r="D64" s="26"/>
      <c r="E64" s="26" t="s">
        <v>128</v>
      </c>
      <c r="F64" s="26" t="s">
        <v>144</v>
      </c>
    </row>
    <row r="65" spans="1:6" ht="12.75">
      <c r="A65" s="74" t="s">
        <v>167</v>
      </c>
      <c r="B65" s="16" t="s">
        <v>133</v>
      </c>
      <c r="C65" s="21" t="s">
        <v>133</v>
      </c>
      <c r="D65" s="26"/>
      <c r="E65" s="26" t="s">
        <v>128</v>
      </c>
      <c r="F65" s="26" t="s">
        <v>129</v>
      </c>
    </row>
    <row r="66" spans="1:6" ht="12.75">
      <c r="A66" s="24" t="str">
        <f>HYPERLINK("https://www.dndbeyond.com/equipment/censer", "Censer")</f>
        <v>Censer</v>
      </c>
      <c r="B66" s="21" t="s">
        <v>133</v>
      </c>
      <c r="C66" s="21" t="s">
        <v>133</v>
      </c>
      <c r="D66" s="73"/>
      <c r="E66" s="73" t="s">
        <v>128</v>
      </c>
      <c r="F66" s="73" t="s">
        <v>129</v>
      </c>
    </row>
    <row r="67" spans="1:6" ht="12.75">
      <c r="A67" s="24" t="str">
        <f>HYPERLINK("https://www.dndbeyond.com/equipment/chain-10-feet", "Chain (10 feet)")</f>
        <v>Chain (10 feet)</v>
      </c>
      <c r="B67" s="16">
        <v>5</v>
      </c>
      <c r="C67" s="21">
        <v>10</v>
      </c>
      <c r="D67" s="26"/>
      <c r="E67" s="26" t="s">
        <v>128</v>
      </c>
      <c r="F67" s="26" t="s">
        <v>129</v>
      </c>
    </row>
    <row r="68" spans="1:6" ht="12.75">
      <c r="A68" s="24" t="str">
        <f>HYPERLINK("https://www.dndbeyond.com/equipment/chain-mail", "Chain Mail")</f>
        <v>Chain Mail</v>
      </c>
      <c r="B68" s="16">
        <v>75</v>
      </c>
      <c r="C68" s="21">
        <v>55</v>
      </c>
      <c r="D68" s="26" t="s">
        <v>168</v>
      </c>
      <c r="E68" s="26" t="s">
        <v>169</v>
      </c>
      <c r="F68" s="26" t="s">
        <v>159</v>
      </c>
    </row>
    <row r="69" spans="1:6" ht="12.75">
      <c r="A69" s="24" t="str">
        <f>HYPERLINK("https://www.dndbeyond.com/equipment/chain-shirt", "Chain Shirt")</f>
        <v>Chain Shirt</v>
      </c>
      <c r="B69" s="16">
        <v>50</v>
      </c>
      <c r="C69" s="21">
        <v>20</v>
      </c>
      <c r="D69" s="26" t="s">
        <v>170</v>
      </c>
      <c r="E69" s="26" t="s">
        <v>158</v>
      </c>
      <c r="F69" s="26" t="s">
        <v>159</v>
      </c>
    </row>
    <row r="70" spans="1:6" ht="12.75">
      <c r="A70" s="24" t="str">
        <f>HYPERLINK("https://www.dndbeyond.com/equipment/chalcedony", "Chalcedony")</f>
        <v>Chalcedony</v>
      </c>
      <c r="B70" s="72">
        <v>50</v>
      </c>
      <c r="C70" s="21" t="s">
        <v>133</v>
      </c>
      <c r="D70" s="73"/>
      <c r="E70" s="73" t="s">
        <v>134</v>
      </c>
      <c r="F70" s="73"/>
    </row>
    <row r="71" spans="1:6" ht="12.75">
      <c r="A71" s="24" t="str">
        <f>HYPERLINK("https://www.dndbeyond.com/equipment/chalk-1-piece", "Chalk (1 Piece)")</f>
        <v>Chalk (1 Piece)</v>
      </c>
      <c r="B71" s="16">
        <v>0.01</v>
      </c>
      <c r="C71" s="21" t="s">
        <v>133</v>
      </c>
      <c r="D71" s="26"/>
      <c r="E71" s="26" t="s">
        <v>128</v>
      </c>
      <c r="F71" s="26" t="s">
        <v>171</v>
      </c>
    </row>
    <row r="72" spans="1:6" ht="12.75">
      <c r="A72" s="24" t="str">
        <f>HYPERLINK("https://www.dndbeyond.com/equipment/chariot", "Chariot")</f>
        <v>Chariot</v>
      </c>
      <c r="B72" s="16">
        <v>250</v>
      </c>
      <c r="C72" s="21">
        <v>100</v>
      </c>
      <c r="D72" s="26"/>
      <c r="E72" s="26" t="s">
        <v>166</v>
      </c>
      <c r="F72" s="26" t="s">
        <v>151</v>
      </c>
    </row>
    <row r="73" spans="1:6" ht="12.75">
      <c r="A73" s="24" t="str">
        <f>HYPERLINK("https://www.dndbeyond.com/equipment/chest", "Chest")</f>
        <v>Chest</v>
      </c>
      <c r="B73" s="16">
        <v>5</v>
      </c>
      <c r="C73" s="21">
        <v>25</v>
      </c>
      <c r="D73" s="26"/>
      <c r="E73" s="26" t="s">
        <v>128</v>
      </c>
      <c r="F73" s="26" t="s">
        <v>144</v>
      </c>
    </row>
    <row r="74" spans="1:6" ht="12.75">
      <c r="A74" s="24" t="str">
        <f>HYPERLINK("https://www.dndbeyond.com/equipment/chrysoberyl", "Chrysoberyl")</f>
        <v>Chrysoberyl</v>
      </c>
      <c r="B74" s="72">
        <v>100</v>
      </c>
      <c r="C74" s="21" t="s">
        <v>133</v>
      </c>
      <c r="D74" s="73"/>
      <c r="E74" s="73" t="s">
        <v>134</v>
      </c>
      <c r="F74" s="73"/>
    </row>
    <row r="75" spans="1:6" ht="12.75">
      <c r="A75" s="24" t="str">
        <f>HYPERLINK("https://www.dndbeyond.com/equipment/chrysoprase", "Chrysoprase")</f>
        <v>Chrysoprase</v>
      </c>
      <c r="B75" s="75">
        <v>50</v>
      </c>
      <c r="C75" s="21" t="s">
        <v>133</v>
      </c>
      <c r="D75" s="73"/>
      <c r="E75" s="73" t="s">
        <v>134</v>
      </c>
      <c r="F75" s="73"/>
    </row>
    <row r="76" spans="1:6" ht="12.75">
      <c r="A76" s="24" t="str">
        <f>HYPERLINK("https://www.dndbeyond.com/equipment/citrine", "Citrine")</f>
        <v>Citrine</v>
      </c>
      <c r="B76" s="75">
        <v>50</v>
      </c>
      <c r="C76" s="21" t="s">
        <v>133</v>
      </c>
      <c r="D76" s="73"/>
      <c r="E76" s="73" t="s">
        <v>134</v>
      </c>
      <c r="F76" s="73"/>
    </row>
    <row r="77" spans="1:6" ht="12.75">
      <c r="A77" s="24" t="str">
        <f>HYPERLINK("https://www.dndbeyond.com/equipment/climbers-kit", "Climber's Kit")</f>
        <v>Climber's Kit</v>
      </c>
      <c r="B77" s="16">
        <v>25</v>
      </c>
      <c r="C77" s="21">
        <v>12</v>
      </c>
      <c r="D77" s="26"/>
      <c r="E77" s="26" t="s">
        <v>128</v>
      </c>
      <c r="F77" s="26" t="s">
        <v>151</v>
      </c>
    </row>
    <row r="78" spans="1:6" ht="12.75">
      <c r="A78" s="24" t="str">
        <f>HYPERLINK("https://www.dndbeyond.com/equipment/clothes-costume", "Clothes Costume")</f>
        <v>Clothes Costume</v>
      </c>
      <c r="B78" s="16">
        <v>5</v>
      </c>
      <c r="C78" s="21">
        <v>4</v>
      </c>
      <c r="D78" s="26"/>
      <c r="E78" s="26" t="s">
        <v>128</v>
      </c>
      <c r="F78" s="26" t="s">
        <v>172</v>
      </c>
    </row>
    <row r="79" spans="1:6" ht="12.75">
      <c r="A79" s="24" t="str">
        <f>HYPERLINK("https://www.dndbeyond.com/equipment/clothes-common", "Clothes, Common")</f>
        <v>Clothes, Common</v>
      </c>
      <c r="B79" s="16">
        <v>5</v>
      </c>
      <c r="C79" s="21">
        <v>3</v>
      </c>
      <c r="D79" s="26"/>
      <c r="E79" s="26" t="s">
        <v>128</v>
      </c>
      <c r="F79" s="26" t="s">
        <v>173</v>
      </c>
    </row>
    <row r="80" spans="1:6" ht="12.75">
      <c r="A80" s="24" t="str">
        <f>HYPERLINK("https://www.dndbeyond.com/equipment/clothes-fine", "Clothes, Fine")</f>
        <v>Clothes, Fine</v>
      </c>
      <c r="B80" s="16">
        <v>15</v>
      </c>
      <c r="C80" s="21">
        <v>6</v>
      </c>
      <c r="D80" s="26"/>
      <c r="E80" s="26" t="s">
        <v>128</v>
      </c>
      <c r="F80" s="26" t="s">
        <v>173</v>
      </c>
    </row>
    <row r="81" spans="1:6" ht="12.75">
      <c r="A81" s="24" t="str">
        <f>HYPERLINK("https://www.dndbeyond.com/equipment/clothes-travelers", "Clothes, Travelers")</f>
        <v>Clothes, Travelers</v>
      </c>
      <c r="B81" s="16">
        <v>2</v>
      </c>
      <c r="C81" s="21">
        <v>4</v>
      </c>
      <c r="D81" s="26"/>
      <c r="E81" s="26" t="s">
        <v>128</v>
      </c>
      <c r="F81" s="26" t="s">
        <v>173</v>
      </c>
    </row>
    <row r="82" spans="1:6" ht="12.75">
      <c r="A82" s="24" t="str">
        <f>HYPERLINK("https://www.dndbeyond.com/equipment/club", "Club")</f>
        <v>Club</v>
      </c>
      <c r="B82" s="16">
        <v>0.1</v>
      </c>
      <c r="C82" s="21">
        <v>2</v>
      </c>
      <c r="D82" s="26" t="s">
        <v>155</v>
      </c>
      <c r="E82" s="26" t="s">
        <v>174</v>
      </c>
      <c r="F82" s="26" t="s">
        <v>141</v>
      </c>
    </row>
    <row r="83" spans="1:6" ht="12.75">
      <c r="A83" s="24" t="str">
        <f>HYPERLINK("https://www.dndbeyond.com/equipment/cobblers-tools", "Cobbler's Tools")</f>
        <v>Cobbler's Tools</v>
      </c>
      <c r="B83" s="16">
        <v>5</v>
      </c>
      <c r="C83" s="21">
        <v>5</v>
      </c>
      <c r="D83" s="26"/>
      <c r="E83" s="26" t="s">
        <v>132</v>
      </c>
      <c r="F83" s="26" t="s">
        <v>129</v>
      </c>
    </row>
    <row r="84" spans="1:6" ht="12.75">
      <c r="A84" s="24" t="str">
        <f>HYPERLINK("https://www.dndbeyond.com/equipment/component-pouch", "Component Pouch")</f>
        <v>Component Pouch</v>
      </c>
      <c r="B84" s="16">
        <v>25</v>
      </c>
      <c r="C84" s="21">
        <v>2</v>
      </c>
      <c r="D84" s="26"/>
      <c r="E84" s="26" t="s">
        <v>128</v>
      </c>
      <c r="F84" s="26" t="s">
        <v>175</v>
      </c>
    </row>
    <row r="85" spans="1:6" ht="12.75">
      <c r="A85" s="24" t="str">
        <f>HYPERLINK("https://www.dndbeyond.com/equipment/cooks-utensils", "Cook's Utensils")</f>
        <v>Cook's Utensils</v>
      </c>
      <c r="B85" s="16">
        <v>1</v>
      </c>
      <c r="C85" s="21">
        <v>8</v>
      </c>
      <c r="D85" s="26"/>
      <c r="E85" s="26" t="s">
        <v>132</v>
      </c>
      <c r="F85" s="26" t="s">
        <v>129</v>
      </c>
    </row>
    <row r="86" spans="1:6" ht="12.75">
      <c r="A86" s="24" t="str">
        <f>HYPERLINK("https://www.dndbeyond.com/equipment/coral", "Coral")</f>
        <v>Coral</v>
      </c>
      <c r="B86" s="72">
        <v>100</v>
      </c>
      <c r="C86" s="21" t="s">
        <v>133</v>
      </c>
      <c r="D86" s="73"/>
      <c r="E86" s="73" t="s">
        <v>134</v>
      </c>
      <c r="F86" s="73"/>
    </row>
    <row r="87" spans="1:6" ht="12.75">
      <c r="A87" s="24" t="str">
        <f>HYPERLINK("https://www.dndbeyond.com/equipment/crawler-mucus-contact", "Crawler Mucus (Contact)")</f>
        <v>Crawler Mucus (Contact)</v>
      </c>
      <c r="B87" s="16">
        <v>200</v>
      </c>
      <c r="C87" s="7"/>
      <c r="D87" s="26"/>
      <c r="E87" s="26" t="s">
        <v>142</v>
      </c>
      <c r="F87" s="26" t="s">
        <v>176</v>
      </c>
    </row>
    <row r="88" spans="1:6" ht="12.75">
      <c r="A88" s="24" t="str">
        <f>HYPERLINK("https://www.dndbeyond.com/equipment/crossbow-bolts", "Crossbow Bolts")</f>
        <v>Crossbow Bolts</v>
      </c>
      <c r="B88" s="16">
        <v>1</v>
      </c>
      <c r="C88" s="21">
        <v>1.5</v>
      </c>
      <c r="D88" s="26"/>
      <c r="E88" s="26" t="s">
        <v>25</v>
      </c>
      <c r="F88" s="26" t="s">
        <v>141</v>
      </c>
    </row>
    <row r="89" spans="1:6" ht="12.75">
      <c r="A89" s="24" t="str">
        <f>HYPERLINK("https://www.dndbeyond.com/equipment/crossbow-hand", "Crossbow, Hand")</f>
        <v>Crossbow, Hand</v>
      </c>
      <c r="B89" s="16">
        <v>75</v>
      </c>
      <c r="C89" s="21">
        <v>3</v>
      </c>
      <c r="D89" s="26" t="s">
        <v>177</v>
      </c>
      <c r="E89" s="26" t="s">
        <v>154</v>
      </c>
      <c r="F89" s="26" t="s">
        <v>141</v>
      </c>
    </row>
    <row r="90" spans="1:6" ht="12.75">
      <c r="A90" s="24" t="str">
        <f>HYPERLINK("https://www.dndbeyond.com/equipment/crossbow-heavy", "Crossbow, Heavy")</f>
        <v>Crossbow, Heavy</v>
      </c>
      <c r="B90" s="16">
        <v>50</v>
      </c>
      <c r="C90" s="21">
        <v>18</v>
      </c>
      <c r="D90" s="26" t="s">
        <v>177</v>
      </c>
      <c r="E90" s="26" t="s">
        <v>154</v>
      </c>
      <c r="F90" s="26" t="s">
        <v>141</v>
      </c>
    </row>
    <row r="91" spans="1:6" ht="12.75">
      <c r="A91" s="24" t="str">
        <f>HYPERLINK("https://www.dndbeyond.com/equipment/crossbow-light", "Crossbow, Light")</f>
        <v>Crossbow, Light</v>
      </c>
      <c r="B91" s="16">
        <v>25</v>
      </c>
      <c r="C91" s="21">
        <v>5</v>
      </c>
      <c r="D91" s="26" t="s">
        <v>177</v>
      </c>
      <c r="E91" s="26" t="s">
        <v>154</v>
      </c>
      <c r="F91" s="26" t="s">
        <v>141</v>
      </c>
    </row>
    <row r="92" spans="1:6" ht="12.75">
      <c r="A92" s="24" t="str">
        <f>HYPERLINK("https://www.dndbeyond.com/equipment/crowbar", "Crowbar")</f>
        <v>Crowbar</v>
      </c>
      <c r="B92" s="16">
        <v>2</v>
      </c>
      <c r="C92" s="21">
        <v>5</v>
      </c>
      <c r="D92" s="26"/>
      <c r="E92" s="26" t="s">
        <v>128</v>
      </c>
      <c r="F92" s="26" t="s">
        <v>178</v>
      </c>
    </row>
    <row r="93" spans="1:6" ht="12.75">
      <c r="A93" s="24" t="str">
        <f>HYPERLINK("https://www.dndbeyond.com/equipment/crystal", "Crystal")</f>
        <v>Crystal</v>
      </c>
      <c r="B93" s="16">
        <v>10</v>
      </c>
      <c r="C93" s="21">
        <v>1</v>
      </c>
      <c r="D93" s="26"/>
      <c r="E93" s="26" t="s">
        <v>140</v>
      </c>
      <c r="F93" s="26" t="s">
        <v>129</v>
      </c>
    </row>
    <row r="94" spans="1:6" ht="12.75">
      <c r="A94" s="24" t="str">
        <f>HYPERLINK("https://www.dndbeyond.com/equipment/dagger", "Dagger")</f>
        <v>Dagger</v>
      </c>
      <c r="B94" s="16">
        <v>2</v>
      </c>
      <c r="C94" s="21">
        <v>1</v>
      </c>
      <c r="D94" s="26" t="s">
        <v>177</v>
      </c>
      <c r="E94" s="26" t="s">
        <v>174</v>
      </c>
      <c r="F94" s="26" t="s">
        <v>141</v>
      </c>
    </row>
    <row r="95" spans="1:6" ht="12.75">
      <c r="A95" s="24" t="str">
        <f>HYPERLINK("https://www.dndbeyond.com/equipment/dart", "Dart")</f>
        <v>Dart</v>
      </c>
      <c r="B95" s="16">
        <v>0.05</v>
      </c>
      <c r="C95" s="21">
        <v>0.25</v>
      </c>
      <c r="D95" s="26" t="s">
        <v>177</v>
      </c>
      <c r="E95" s="26" t="s">
        <v>156</v>
      </c>
      <c r="F95" s="26" t="s">
        <v>141</v>
      </c>
    </row>
    <row r="96" spans="1:6" ht="12.75">
      <c r="A96" s="24" t="str">
        <f>HYPERLINK("https://www.dndbeyond.com/equipment/diamond", "Diamond")</f>
        <v>Diamond</v>
      </c>
      <c r="B96" s="75">
        <v>5000</v>
      </c>
      <c r="C96" s="21" t="s">
        <v>133</v>
      </c>
      <c r="D96" s="73"/>
      <c r="E96" s="73" t="s">
        <v>134</v>
      </c>
      <c r="F96" s="73"/>
    </row>
    <row r="97" spans="1:6" ht="12.75">
      <c r="A97" s="24" t="str">
        <f>HYPERLINK("https://www.dndbeyond.com/equipment/dice-set", "Dice Set")</f>
        <v>Dice Set</v>
      </c>
      <c r="B97" s="16">
        <v>0.1</v>
      </c>
      <c r="C97" s="21">
        <v>0</v>
      </c>
      <c r="D97" s="26"/>
      <c r="E97" s="26" t="s">
        <v>132</v>
      </c>
      <c r="F97" s="26" t="s">
        <v>179</v>
      </c>
    </row>
    <row r="98" spans="1:6" ht="12.75">
      <c r="A98" s="24" t="str">
        <f>HYPERLINK("https://www.dndbeyond.com/equipment/diplomats-pack", "Diplomat's Pack")</f>
        <v>Diplomat's Pack</v>
      </c>
      <c r="B98" s="16">
        <v>39</v>
      </c>
      <c r="C98" s="21">
        <v>36</v>
      </c>
      <c r="D98" s="26"/>
      <c r="E98" s="26" t="s">
        <v>160</v>
      </c>
      <c r="F98" s="26" t="s">
        <v>180</v>
      </c>
    </row>
    <row r="99" spans="1:6" ht="12.75">
      <c r="A99" s="24" t="str">
        <f>HYPERLINK("https://www.dndbeyond.com/equipment/disguise-kit", "Disguise Kit")</f>
        <v>Disguise Kit</v>
      </c>
      <c r="B99" s="16">
        <v>25</v>
      </c>
      <c r="C99" s="21">
        <v>3</v>
      </c>
      <c r="D99" s="26"/>
      <c r="E99" s="26" t="s">
        <v>132</v>
      </c>
      <c r="F99" s="26" t="s">
        <v>181</v>
      </c>
    </row>
    <row r="100" spans="1:6" ht="12.75">
      <c r="A100" s="24" t="str">
        <f>HYPERLINK("https://www.dndbeyond.com/equipment/donkey-or-mule", "Donkey (or Mule)")</f>
        <v>Donkey (or Mule)</v>
      </c>
      <c r="B100" s="16">
        <v>8</v>
      </c>
      <c r="C100" s="21">
        <v>0</v>
      </c>
      <c r="D100" s="26"/>
      <c r="E100" s="26" t="s">
        <v>163</v>
      </c>
      <c r="F100" s="26" t="s">
        <v>182</v>
      </c>
    </row>
    <row r="101" spans="1:6" ht="12.75">
      <c r="A101" s="24" t="str">
        <f>HYPERLINK("https://www.dndbeyond.com/equipment/double-bladed-scimitar", "Double-Bladed Scimitar")</f>
        <v>Double-Bladed Scimitar</v>
      </c>
      <c r="B101" s="16">
        <v>100</v>
      </c>
      <c r="C101" s="21">
        <v>6</v>
      </c>
      <c r="D101" s="26" t="s">
        <v>148</v>
      </c>
      <c r="E101" s="26" t="s">
        <v>149</v>
      </c>
      <c r="F101" s="26" t="s">
        <v>141</v>
      </c>
    </row>
    <row r="102" spans="1:6" ht="12.75">
      <c r="A102" s="24" t="str">
        <f>HYPERLINK("https://www.dndbeyond.com/equipment/draft-horse", "Draft Horse")</f>
        <v>Draft Horse</v>
      </c>
      <c r="B102" s="16">
        <v>50</v>
      </c>
      <c r="C102" s="21">
        <v>0</v>
      </c>
      <c r="D102" s="26"/>
      <c r="E102" s="26" t="s">
        <v>163</v>
      </c>
      <c r="F102" s="26" t="s">
        <v>183</v>
      </c>
    </row>
    <row r="103" spans="1:6" ht="12.75">
      <c r="A103" s="24" t="str">
        <f>HYPERLINK("https://www.dndbeyond.com/equipment/dragonchess-set", "Dragonchess Set")</f>
        <v>Dragonchess Set</v>
      </c>
      <c r="B103" s="16">
        <v>1</v>
      </c>
      <c r="C103" s="21">
        <v>0.5</v>
      </c>
      <c r="D103" s="26"/>
      <c r="E103" s="26" t="s">
        <v>132</v>
      </c>
      <c r="F103" s="26" t="s">
        <v>179</v>
      </c>
    </row>
    <row r="104" spans="1:6" ht="12.75">
      <c r="A104" s="24" t="str">
        <f>HYPERLINK("https://www.dndbeyond.com/equipment/drow-poison-injury", "Drow Poison (Injury)")</f>
        <v>Drow Poison (Injury)</v>
      </c>
      <c r="B104" s="16">
        <v>200</v>
      </c>
      <c r="C104" s="21">
        <v>0</v>
      </c>
      <c r="D104" s="26"/>
      <c r="E104" s="26" t="s">
        <v>142</v>
      </c>
      <c r="F104" s="26" t="s">
        <v>176</v>
      </c>
    </row>
    <row r="105" spans="1:6" ht="12.75">
      <c r="A105" s="24" t="str">
        <f>HYPERLINK("https://www.dndbeyond.com/equipment/druidic-focus", "Druidic Focus")</f>
        <v>Druidic Focus</v>
      </c>
      <c r="B105" s="21" t="s">
        <v>133</v>
      </c>
      <c r="C105" s="21">
        <v>0</v>
      </c>
      <c r="D105" s="26"/>
      <c r="E105" s="26" t="s">
        <v>184</v>
      </c>
      <c r="F105" s="26" t="s">
        <v>129</v>
      </c>
    </row>
    <row r="106" spans="1:6" ht="12.75">
      <c r="A106" s="24" t="str">
        <f>HYPERLINK("https://www.dndbeyond.com/equipment/drum", "Drum")</f>
        <v>Drum</v>
      </c>
      <c r="B106" s="16">
        <v>6</v>
      </c>
      <c r="C106" s="21">
        <v>3</v>
      </c>
      <c r="D106" s="26"/>
      <c r="E106" s="26" t="s">
        <v>132</v>
      </c>
      <c r="F106" s="26" t="s">
        <v>145</v>
      </c>
    </row>
    <row r="107" spans="1:6" ht="12.75">
      <c r="A107" s="24" t="str">
        <f>HYPERLINK("https://www.dndbeyond.com/equipment/dulcimer", "Dulcimer")</f>
        <v>Dulcimer</v>
      </c>
      <c r="B107" s="16">
        <v>25</v>
      </c>
      <c r="C107" s="21">
        <v>10</v>
      </c>
      <c r="D107" s="26"/>
      <c r="E107" s="26" t="s">
        <v>132</v>
      </c>
      <c r="F107" s="26" t="s">
        <v>145</v>
      </c>
    </row>
    <row r="108" spans="1:6" ht="12.75">
      <c r="A108" s="24" t="str">
        <f>HYPERLINK("https://www.dndbeyond.com/equipment/dungeoneers-pack", "Dungeoneer's Pack")</f>
        <v>Dungeoneer's Pack</v>
      </c>
      <c r="B108" s="16">
        <v>12</v>
      </c>
      <c r="C108" s="21">
        <v>61.5</v>
      </c>
      <c r="D108" s="26"/>
      <c r="E108" s="26" t="s">
        <v>160</v>
      </c>
      <c r="F108" s="26" t="s">
        <v>161</v>
      </c>
    </row>
    <row r="109" spans="1:6" ht="12.75">
      <c r="A109" s="24" t="str">
        <f>HYPERLINK("https://www.dndbeyond.com/equipment/dynamite-stick", "Dynamite (1 Stick)")</f>
        <v>Dynamite (1 Stick)</v>
      </c>
      <c r="B109" s="21" t="s">
        <v>133</v>
      </c>
      <c r="C109" s="21">
        <v>1</v>
      </c>
      <c r="D109" s="26"/>
      <c r="E109" s="26" t="s">
        <v>128</v>
      </c>
      <c r="F109" s="26" t="s">
        <v>141</v>
      </c>
    </row>
    <row r="110" spans="1:6" ht="12.75">
      <c r="A110" s="24" t="str">
        <f>HYPERLINK("https://www.dndbeyond.com/equipment/eberron-dragonshard", "Eberron Dragonshard")</f>
        <v>Eberron Dragonshard</v>
      </c>
      <c r="B110" s="21" t="s">
        <v>133</v>
      </c>
      <c r="C110" s="21">
        <v>0</v>
      </c>
      <c r="D110" s="26"/>
      <c r="E110" s="26" t="s">
        <v>128</v>
      </c>
      <c r="F110" s="26" t="s">
        <v>185</v>
      </c>
    </row>
    <row r="111" spans="1:6" ht="12.75">
      <c r="A111" s="24" t="str">
        <f>HYPERLINK("https://www.dndbeyond.com/equipment/elephant", "Elephant")</f>
        <v>Elephant</v>
      </c>
      <c r="B111" s="16">
        <v>200</v>
      </c>
      <c r="C111" s="21">
        <v>0</v>
      </c>
      <c r="D111" s="26"/>
      <c r="E111" s="26" t="s">
        <v>163</v>
      </c>
      <c r="F111" s="26" t="s">
        <v>186</v>
      </c>
    </row>
    <row r="112" spans="1:6" ht="12.75">
      <c r="A112" s="24" t="str">
        <f>HYPERLINK("https://www.dndbeyond.com/equipment/emblem", "Emblem")</f>
        <v>Emblem</v>
      </c>
      <c r="B112" s="16">
        <v>5</v>
      </c>
      <c r="C112" s="21">
        <v>0</v>
      </c>
      <c r="D112" s="26"/>
      <c r="E112" s="26" t="s">
        <v>135</v>
      </c>
      <c r="F112" s="26" t="s">
        <v>129</v>
      </c>
    </row>
    <row r="113" spans="1:6" ht="12.75">
      <c r="A113" s="24" t="str">
        <f>HYPERLINK("https://www.dndbeyond.com/equipment/emerald", "Emerald")</f>
        <v>Emerald</v>
      </c>
      <c r="B113" s="72">
        <v>1000</v>
      </c>
      <c r="C113" s="21" t="s">
        <v>133</v>
      </c>
      <c r="D113" s="73"/>
      <c r="E113" s="73" t="s">
        <v>134</v>
      </c>
      <c r="F113" s="73"/>
    </row>
    <row r="114" spans="1:6" ht="12.75">
      <c r="A114" s="24" t="str">
        <f>HYPERLINK("https://www.dndbeyond.com/equipment/energy-cell", "Energy Cell")</f>
        <v>Energy Cell</v>
      </c>
      <c r="B114" s="21" t="s">
        <v>133</v>
      </c>
      <c r="C114" s="21">
        <v>0</v>
      </c>
      <c r="D114" s="26"/>
      <c r="E114" s="26" t="s">
        <v>25</v>
      </c>
      <c r="F114" s="26" t="s">
        <v>141</v>
      </c>
    </row>
    <row r="115" spans="1:6" ht="12.75">
      <c r="A115" s="24" t="str">
        <f>HYPERLINK("https://www.dndbeyond.com/equipment/entertainers-pack", "Entertainer's Pack")</f>
        <v>Entertainer's Pack</v>
      </c>
      <c r="B115" s="16">
        <v>40</v>
      </c>
      <c r="C115" s="21">
        <v>38</v>
      </c>
      <c r="D115" s="26"/>
      <c r="E115" s="26" t="s">
        <v>160</v>
      </c>
      <c r="F115" s="26" t="s">
        <v>187</v>
      </c>
    </row>
    <row r="116" spans="1:6" ht="12.75">
      <c r="A116" s="24" t="str">
        <f>HYPERLINK("https://www.dndbeyond.com/equipment/essence-of-ether-inhaled", "Essence Of Ether (Inhaled)")</f>
        <v>Essence Of Ether (Inhaled)</v>
      </c>
      <c r="B116" s="16">
        <v>300</v>
      </c>
      <c r="C116" s="21">
        <v>0</v>
      </c>
      <c r="D116" s="26"/>
      <c r="E116" s="26" t="s">
        <v>142</v>
      </c>
      <c r="F116" s="26" t="s">
        <v>176</v>
      </c>
    </row>
    <row r="117" spans="1:6" ht="12.75">
      <c r="A117" s="24" t="str">
        <f>HYPERLINK("https://www.dndbeyond.com/equipment/explorers-pack", "Explorer's Pack")</f>
        <v>Explorer's Pack</v>
      </c>
      <c r="B117" s="16">
        <v>10</v>
      </c>
      <c r="C117" s="21">
        <v>59</v>
      </c>
      <c r="D117" s="26"/>
      <c r="E117" s="26" t="s">
        <v>160</v>
      </c>
      <c r="F117" s="26" t="s">
        <v>161</v>
      </c>
    </row>
    <row r="118" spans="1:6" ht="12.75">
      <c r="A118" s="24" t="str">
        <f>HYPERLINK("https://www.dndbeyond.com/equipment/eye-agate", "Eye Agate")</f>
        <v>Eye Agate</v>
      </c>
      <c r="B118" s="72">
        <v>10</v>
      </c>
      <c r="C118" s="21" t="s">
        <v>133</v>
      </c>
      <c r="D118" s="73"/>
      <c r="E118" s="73" t="s">
        <v>134</v>
      </c>
      <c r="F118" s="73"/>
    </row>
    <row r="119" spans="1:6" ht="12.75">
      <c r="A119" s="24" t="str">
        <f>HYPERLINK("https://www.dndbeyond.com/equipment/feed-per-day", "Feed (Per Day)")</f>
        <v>Feed (Per Day)</v>
      </c>
      <c r="B119" s="16">
        <v>0.05</v>
      </c>
      <c r="C119" s="21">
        <v>10</v>
      </c>
      <c r="D119" s="26"/>
      <c r="E119" s="26" t="s">
        <v>128</v>
      </c>
      <c r="F119" s="26" t="s">
        <v>188</v>
      </c>
    </row>
    <row r="120" spans="1:6" ht="12.75">
      <c r="A120" s="24" t="str">
        <f>HYPERLINK("https://www.dndbeyond.com/equipment/fire-opal", "Fire Opal")</f>
        <v>Fire Opal</v>
      </c>
      <c r="B120" s="72">
        <v>1000</v>
      </c>
      <c r="C120" s="21" t="s">
        <v>133</v>
      </c>
      <c r="D120" s="73"/>
      <c r="E120" s="73" t="s">
        <v>134</v>
      </c>
      <c r="F120" s="73"/>
    </row>
    <row r="121" spans="1:6" ht="12.75">
      <c r="A121" s="24" t="str">
        <f>HYPERLINK("https://www.dndbeyond.com/equipment/fishing-tackle", "Fishing Tackle")</f>
        <v>Fishing Tackle</v>
      </c>
      <c r="B121" s="16">
        <v>1</v>
      </c>
      <c r="C121" s="21">
        <v>4</v>
      </c>
      <c r="D121" s="26"/>
      <c r="E121" s="26" t="s">
        <v>128</v>
      </c>
      <c r="F121" s="26" t="s">
        <v>152</v>
      </c>
    </row>
    <row r="122" spans="1:6" ht="12.75">
      <c r="A122" s="24" t="str">
        <f>HYPERLINK("https://www.dndbeyond.com/equipment/flail", "Flail")</f>
        <v>Flail</v>
      </c>
      <c r="B122" s="16">
        <v>10</v>
      </c>
      <c r="C122" s="21">
        <v>2</v>
      </c>
      <c r="D122" s="26" t="s">
        <v>155</v>
      </c>
      <c r="E122" s="26" t="s">
        <v>149</v>
      </c>
      <c r="F122" s="26" t="s">
        <v>141</v>
      </c>
    </row>
    <row r="123" spans="1:6" ht="12.75">
      <c r="A123" s="24" t="str">
        <f>HYPERLINK("https://www.dndbeyond.com/equipment/flask-or-tankard", "Flask or Tankard")</f>
        <v>Flask or Tankard</v>
      </c>
      <c r="B123" s="16">
        <v>0.02</v>
      </c>
      <c r="C123" s="21">
        <v>1</v>
      </c>
      <c r="D123" s="26"/>
      <c r="E123" s="26" t="s">
        <v>128</v>
      </c>
      <c r="F123" s="76" t="s">
        <v>144</v>
      </c>
    </row>
    <row r="124" spans="1:6" ht="12.75">
      <c r="A124" s="24" t="str">
        <f>HYPERLINK("https://www.dndbeyond.com/equipment/flute", "Flute")</f>
        <v>Flute</v>
      </c>
      <c r="B124" s="16">
        <v>2</v>
      </c>
      <c r="C124" s="21">
        <v>1</v>
      </c>
      <c r="D124" s="26"/>
      <c r="E124" s="26" t="s">
        <v>132</v>
      </c>
      <c r="F124" s="26" t="s">
        <v>145</v>
      </c>
    </row>
    <row r="125" spans="1:6" ht="12.75">
      <c r="A125" s="24" t="str">
        <f>HYPERLINK("https://www.dndbeyond.com/equipment/forgery-kit", "Forgery Kit")</f>
        <v>Forgery Kit</v>
      </c>
      <c r="B125" s="16">
        <v>15</v>
      </c>
      <c r="C125" s="21">
        <v>5</v>
      </c>
      <c r="D125" s="26"/>
      <c r="E125" s="26" t="s">
        <v>132</v>
      </c>
      <c r="F125" s="26" t="s">
        <v>181</v>
      </c>
    </row>
    <row r="126" spans="1:6" ht="12.75">
      <c r="A126" s="24" t="str">
        <f>HYPERLINK("https://www.dndbeyond.com/equipment/galley", "Galley")</f>
        <v>Galley</v>
      </c>
      <c r="B126" s="16">
        <v>30000</v>
      </c>
      <c r="C126" s="21">
        <v>0</v>
      </c>
      <c r="D126" s="26"/>
      <c r="E126" s="26" t="s">
        <v>189</v>
      </c>
      <c r="F126" s="26" t="s">
        <v>190</v>
      </c>
    </row>
    <row r="127" spans="1:6" ht="12.75">
      <c r="A127" s="24" t="str">
        <f>HYPERLINK("https://www.dndbeyond.com/equipment/garnet", "Garnet")</f>
        <v>Garnet</v>
      </c>
      <c r="B127" s="72">
        <v>100</v>
      </c>
      <c r="C127" s="21" t="s">
        <v>133</v>
      </c>
      <c r="D127" s="73"/>
      <c r="E127" s="73" t="s">
        <v>134</v>
      </c>
      <c r="F127" s="73"/>
    </row>
    <row r="128" spans="1:6" ht="12.75">
      <c r="A128" s="24" t="str">
        <f>HYPERLINK("https://www.dndbeyond.com/equipment/glaive", "Glaive")</f>
        <v>Glaive</v>
      </c>
      <c r="B128" s="16">
        <v>20</v>
      </c>
      <c r="C128" s="21">
        <v>6</v>
      </c>
      <c r="D128" s="26" t="s">
        <v>148</v>
      </c>
      <c r="E128" s="26" t="s">
        <v>149</v>
      </c>
      <c r="F128" s="26" t="s">
        <v>191</v>
      </c>
    </row>
    <row r="129" spans="1:6" ht="12.75">
      <c r="A129" s="24" t="str">
        <f>HYPERLINK("https://www.dndbeyond.com/equipment/glassblowers-tools", "Glassblower's Tools")</f>
        <v>Glassblower's Tools</v>
      </c>
      <c r="B129" s="16">
        <v>30</v>
      </c>
      <c r="C129" s="21">
        <v>5</v>
      </c>
      <c r="D129" s="26"/>
      <c r="E129" s="26" t="s">
        <v>132</v>
      </c>
      <c r="F129" s="26" t="s">
        <v>129</v>
      </c>
    </row>
    <row r="130" spans="1:6" ht="12.75">
      <c r="A130" s="24" t="str">
        <f>HYPERLINK("https://www.dndbeyond.com/equipment/glaur", "Glaur")</f>
        <v>Glaur</v>
      </c>
      <c r="B130" s="16">
        <v>3</v>
      </c>
      <c r="C130" s="21">
        <v>2</v>
      </c>
      <c r="D130" s="26"/>
      <c r="E130" s="26" t="s">
        <v>132</v>
      </c>
      <c r="F130" s="26" t="s">
        <v>145</v>
      </c>
    </row>
    <row r="131" spans="1:6" ht="12.75">
      <c r="A131" s="24" t="str">
        <f>HYPERLINK("https://www.dndbeyond.com/equipment/grappling-hook", "Grappling Hook")</f>
        <v>Grappling Hook</v>
      </c>
      <c r="B131" s="16">
        <v>2</v>
      </c>
      <c r="C131" s="21">
        <v>4</v>
      </c>
      <c r="D131" s="26"/>
      <c r="E131" s="26" t="s">
        <v>128</v>
      </c>
      <c r="F131" s="26" t="s">
        <v>178</v>
      </c>
    </row>
    <row r="132" spans="1:6" ht="12.75">
      <c r="A132" s="24" t="str">
        <f>HYPERLINK("https://www.dndbeyond.com/equipment/greataxe", "Greataxe")</f>
        <v>Greataxe</v>
      </c>
      <c r="B132" s="16">
        <v>30</v>
      </c>
      <c r="C132" s="21">
        <v>6</v>
      </c>
      <c r="D132" s="26" t="s">
        <v>148</v>
      </c>
      <c r="E132" s="26" t="s">
        <v>149</v>
      </c>
      <c r="F132" s="26" t="s">
        <v>141</v>
      </c>
    </row>
    <row r="133" spans="1:6" ht="12.75">
      <c r="A133" s="24" t="str">
        <f>HYPERLINK("https://www.dndbeyond.com/equipment/greatclub", "Greatclub")</f>
        <v>Greatclub</v>
      </c>
      <c r="B133" s="19">
        <v>0.2</v>
      </c>
      <c r="C133" s="21">
        <v>10</v>
      </c>
      <c r="D133" s="26" t="s">
        <v>155</v>
      </c>
      <c r="E133" s="26" t="s">
        <v>174</v>
      </c>
      <c r="F133" s="26" t="s">
        <v>141</v>
      </c>
    </row>
    <row r="134" spans="1:6" ht="12.75">
      <c r="A134" s="24" t="str">
        <f>HYPERLINK("https://www.dndbeyond.com/equipment/greatsword", "Greatsword")</f>
        <v>Greatsword</v>
      </c>
      <c r="B134" s="16">
        <v>50</v>
      </c>
      <c r="C134" s="21">
        <v>6</v>
      </c>
      <c r="D134" s="26" t="s">
        <v>148</v>
      </c>
      <c r="E134" s="26" t="s">
        <v>149</v>
      </c>
      <c r="F134" s="26" t="s">
        <v>141</v>
      </c>
    </row>
    <row r="135" spans="1:6" ht="12.75">
      <c r="A135" s="24" t="str">
        <f>HYPERLINK("https://www.dndbeyond.com/equipment/grenade-launcher", "Grenade Launcher")</f>
        <v>Grenade Launcher</v>
      </c>
      <c r="B135" s="21" t="s">
        <v>133</v>
      </c>
      <c r="C135" s="21">
        <v>7</v>
      </c>
      <c r="D135" s="26"/>
      <c r="E135" s="26" t="s">
        <v>128</v>
      </c>
      <c r="F135" s="26" t="s">
        <v>191</v>
      </c>
    </row>
    <row r="136" spans="1:6" ht="12.75">
      <c r="A136" s="24" t="str">
        <f>HYPERLINK("https://www.dndbeyond.com/equipment/grenade-fragmentation", "Grenade, Fragmentation")</f>
        <v>Grenade, Fragmentation</v>
      </c>
      <c r="B136" s="21" t="s">
        <v>133</v>
      </c>
      <c r="C136" s="21">
        <v>1</v>
      </c>
      <c r="D136" s="26"/>
      <c r="E136" s="26" t="s">
        <v>128</v>
      </c>
      <c r="F136" s="26" t="s">
        <v>141</v>
      </c>
    </row>
    <row r="137" spans="1:6" ht="12.75">
      <c r="A137" s="24" t="str">
        <f>HYPERLINK("https://www.dndbeyond.com/equipment/grenade-smoke", "Grenade, Smoke")</f>
        <v>Grenade, Smoke</v>
      </c>
      <c r="B137" s="21" t="s">
        <v>133</v>
      </c>
      <c r="C137" s="21">
        <v>2</v>
      </c>
      <c r="D137" s="26"/>
      <c r="E137" s="26" t="s">
        <v>128</v>
      </c>
      <c r="F137" s="26" t="s">
        <v>192</v>
      </c>
    </row>
    <row r="138" spans="1:6" ht="12.75">
      <c r="A138" s="24" t="str">
        <f>HYPERLINK("https://www.dndbeyond.com/equipment/gunpowder-keg", "Gunpowder Keg")</f>
        <v>Gunpowder Keg</v>
      </c>
      <c r="B138" s="16">
        <v>250</v>
      </c>
      <c r="C138" s="21">
        <v>20</v>
      </c>
      <c r="D138" s="26"/>
      <c r="E138" s="26" t="s">
        <v>128</v>
      </c>
      <c r="F138" s="26" t="s">
        <v>141</v>
      </c>
    </row>
    <row r="139" spans="1:6" ht="12.75">
      <c r="A139" s="24" t="str">
        <f>HYPERLINK("https://www.dndbeyond.com/equipment/gunpowder-powder-horn", "Gunpowder Powder Horn")</f>
        <v>Gunpowder Powder Horn</v>
      </c>
      <c r="B139" s="16">
        <v>35</v>
      </c>
      <c r="C139" s="21">
        <v>2</v>
      </c>
      <c r="D139" s="26"/>
      <c r="E139" s="26" t="s">
        <v>128</v>
      </c>
      <c r="F139" s="26" t="s">
        <v>141</v>
      </c>
    </row>
    <row r="140" spans="1:6" ht="12.75">
      <c r="A140" s="24" t="str">
        <f>HYPERLINK("https://www.dndbeyond.com/equipment/halberd", "Halberd")</f>
        <v>Halberd</v>
      </c>
      <c r="B140" s="16">
        <v>20</v>
      </c>
      <c r="C140" s="21">
        <v>6</v>
      </c>
      <c r="D140" s="26" t="s">
        <v>148</v>
      </c>
      <c r="E140" s="26" t="s">
        <v>149</v>
      </c>
      <c r="F140" s="26" t="s">
        <v>191</v>
      </c>
    </row>
    <row r="141" spans="1:6" ht="12.75">
      <c r="A141" s="24" t="str">
        <f>HYPERLINK("https://www.dndbeyond.com/equipment/half-plate", "Half Plate")</f>
        <v>Half Plate</v>
      </c>
      <c r="B141" s="16">
        <v>750</v>
      </c>
      <c r="C141" s="21">
        <v>40</v>
      </c>
      <c r="D141" s="26" t="s">
        <v>193</v>
      </c>
      <c r="E141" s="26" t="s">
        <v>158</v>
      </c>
      <c r="F141" s="26" t="s">
        <v>159</v>
      </c>
    </row>
    <row r="142" spans="1:6" ht="12.75">
      <c r="A142" s="24" t="str">
        <f>HYPERLINK("https://www.dndbeyond.com/equipment/hammer", "Hammer")</f>
        <v>Hammer</v>
      </c>
      <c r="B142" s="16">
        <v>1</v>
      </c>
      <c r="C142" s="21">
        <v>3</v>
      </c>
      <c r="D142" s="26"/>
      <c r="E142" s="26" t="s">
        <v>128</v>
      </c>
      <c r="F142" s="26" t="s">
        <v>129</v>
      </c>
    </row>
    <row r="143" spans="1:6" ht="12.75">
      <c r="A143" s="24" t="str">
        <f>HYPERLINK("https://www.dndbeyond.com/equipment/hammer-sledge", "Hammer, Sledge")</f>
        <v>Hammer, Sledge</v>
      </c>
      <c r="B143" s="16">
        <v>2</v>
      </c>
      <c r="C143" s="21">
        <v>10</v>
      </c>
      <c r="D143" s="26"/>
      <c r="E143" s="26" t="s">
        <v>128</v>
      </c>
      <c r="F143" s="26" t="s">
        <v>129</v>
      </c>
    </row>
    <row r="144" spans="1:6" ht="12.75">
      <c r="A144" s="24" t="str">
        <f>HYPERLINK("https://www.dndbeyond.com/equipment/hand-drum", "Hand Drum")</f>
        <v>Hand Drum</v>
      </c>
      <c r="B144" s="16">
        <v>6</v>
      </c>
      <c r="C144" s="21">
        <v>3</v>
      </c>
      <c r="D144" s="26"/>
      <c r="E144" s="26" t="s">
        <v>132</v>
      </c>
      <c r="F144" s="26" t="s">
        <v>145</v>
      </c>
    </row>
    <row r="145" spans="1:6" ht="12.75">
      <c r="A145" s="24" t="str">
        <f>HYPERLINK("https://www.dndbeyond.com/equipment/handaxe", "Handaxe")</f>
        <v>Handaxe</v>
      </c>
      <c r="B145" s="16">
        <v>5</v>
      </c>
      <c r="C145" s="21">
        <v>2</v>
      </c>
      <c r="D145" s="26" t="s">
        <v>148</v>
      </c>
      <c r="E145" s="26" t="s">
        <v>174</v>
      </c>
      <c r="F145" s="26" t="s">
        <v>141</v>
      </c>
    </row>
    <row r="146" spans="1:6" ht="12.75">
      <c r="A146" s="24" t="str">
        <f>HYPERLINK("https://www.dndbeyond.com/equipment/healers-kit", "Healer's Kit")</f>
        <v>Healer's Kit</v>
      </c>
      <c r="B146" s="16">
        <v>5</v>
      </c>
      <c r="C146" s="21">
        <v>3</v>
      </c>
      <c r="D146" s="26"/>
      <c r="E146" s="26" t="s">
        <v>128</v>
      </c>
      <c r="F146" s="26" t="s">
        <v>194</v>
      </c>
    </row>
    <row r="147" spans="1:6" ht="12.75">
      <c r="A147" s="24" t="str">
        <f>HYPERLINK("https://www.dndbeyond.com/equipment/hematite", "Hematite")</f>
        <v>Hematite</v>
      </c>
      <c r="B147" s="72">
        <v>10</v>
      </c>
      <c r="C147" s="21" t="s">
        <v>133</v>
      </c>
      <c r="D147" s="73"/>
      <c r="E147" s="73" t="s">
        <v>134</v>
      </c>
      <c r="F147" s="73"/>
    </row>
    <row r="148" spans="1:6" ht="12.75">
      <c r="A148" s="24" t="str">
        <f>HYPERLINK("https://www.dndbeyond.com/equipment/herbalism-kit", "Herbalism Kit")</f>
        <v>Herbalism Kit</v>
      </c>
      <c r="B148" s="16">
        <v>5</v>
      </c>
      <c r="C148" s="21">
        <v>3</v>
      </c>
      <c r="D148" s="26"/>
      <c r="E148" s="26" t="s">
        <v>132</v>
      </c>
      <c r="F148" s="26" t="s">
        <v>139</v>
      </c>
    </row>
    <row r="149" spans="1:6" ht="12.75">
      <c r="A149" s="24" t="str">
        <f>HYPERLINK("https://www.dndbeyond.com/equipment/hide", "Hide")</f>
        <v>Hide</v>
      </c>
      <c r="B149" s="16">
        <v>10</v>
      </c>
      <c r="C149" s="21">
        <v>12</v>
      </c>
      <c r="D149" s="26" t="s">
        <v>195</v>
      </c>
      <c r="E149" s="26" t="s">
        <v>158</v>
      </c>
      <c r="F149" s="26" t="s">
        <v>159</v>
      </c>
    </row>
    <row r="150" spans="1:6" ht="12.75">
      <c r="A150" s="24" t="str">
        <f>HYPERLINK("https://www.dndbeyond.com/equipment/holy-symbol", "Holy Symbol")</f>
        <v>Holy Symbol</v>
      </c>
      <c r="B150" s="21" t="s">
        <v>133</v>
      </c>
      <c r="C150" s="21">
        <v>0</v>
      </c>
      <c r="D150" s="26"/>
      <c r="E150" s="26" t="s">
        <v>135</v>
      </c>
      <c r="F150" s="26" t="s">
        <v>129</v>
      </c>
    </row>
    <row r="151" spans="1:6" ht="12.75">
      <c r="A151" s="24" t="str">
        <f>HYPERLINK("https://www.dndbeyond.com/equipment/holy-water-flask", "Holy Water (Flask)")</f>
        <v>Holy Water (Flask)</v>
      </c>
      <c r="B151" s="16">
        <v>25</v>
      </c>
      <c r="C151" s="21">
        <v>1</v>
      </c>
      <c r="D151" s="26"/>
      <c r="E151" s="26" t="s">
        <v>128</v>
      </c>
      <c r="F151" s="26" t="s">
        <v>130</v>
      </c>
    </row>
    <row r="152" spans="1:6" ht="12.75">
      <c r="A152" s="24" t="str">
        <f>HYPERLINK("https://www.dndbeyond.com/equipment/horn", "Horn")</f>
        <v>Horn</v>
      </c>
      <c r="B152" s="16">
        <v>3</v>
      </c>
      <c r="C152" s="21">
        <v>2</v>
      </c>
      <c r="D152" s="26"/>
      <c r="E152" s="26" t="s">
        <v>132</v>
      </c>
      <c r="F152" s="26" t="s">
        <v>145</v>
      </c>
    </row>
    <row r="153" spans="1:6" ht="12.75">
      <c r="A153" s="24" t="str">
        <f>HYPERLINK("https://www.dndbeyond.com/equipment/hourglass", "Hourglass")</f>
        <v>Hourglass</v>
      </c>
      <c r="B153" s="16">
        <v>25</v>
      </c>
      <c r="C153" s="21">
        <v>1</v>
      </c>
      <c r="D153" s="26"/>
      <c r="E153" s="26" t="s">
        <v>128</v>
      </c>
      <c r="F153" s="26" t="s">
        <v>129</v>
      </c>
    </row>
    <row r="154" spans="1:6" ht="12.75">
      <c r="A154" s="24" t="str">
        <f>HYPERLINK("https://www.dndbeyond.com/equipment/hunting-trap", "Hunting Trap")</f>
        <v>Hunting Trap</v>
      </c>
      <c r="B154" s="16">
        <v>5</v>
      </c>
      <c r="C154" s="21">
        <v>25</v>
      </c>
      <c r="D154" s="26"/>
      <c r="E154" s="26" t="s">
        <v>128</v>
      </c>
      <c r="F154" s="26" t="s">
        <v>196</v>
      </c>
    </row>
    <row r="155" spans="1:6" ht="12.75">
      <c r="A155" s="24" t="str">
        <f>HYPERLINK("https://www.dndbeyond.com/equipment/ink-1-ounce-bottle", "Ink (1 Ounce Bottle)")</f>
        <v>Ink (1 Ounce Bottle)</v>
      </c>
      <c r="B155" s="16">
        <v>10</v>
      </c>
      <c r="C155" s="21">
        <v>0</v>
      </c>
      <c r="D155" s="26"/>
      <c r="E155" s="26" t="s">
        <v>128</v>
      </c>
      <c r="F155" s="26" t="s">
        <v>197</v>
      </c>
    </row>
    <row r="156" spans="1:6" ht="12.75">
      <c r="A156" s="24" t="str">
        <f>HYPERLINK("https://www.dndbeyond.com/equipment/ink-pen", "Ink Pen")</f>
        <v>Ink Pen</v>
      </c>
      <c r="B156" s="16">
        <v>0.02</v>
      </c>
      <c r="C156" s="21">
        <v>0</v>
      </c>
      <c r="D156" s="26"/>
      <c r="E156" s="26" t="s">
        <v>128</v>
      </c>
      <c r="F156" s="26" t="s">
        <v>198</v>
      </c>
    </row>
    <row r="157" spans="1:6" ht="12.75">
      <c r="A157" s="24" t="str">
        <f>HYPERLINK("https://www.dndbeyond.com/equipment/insect-repellent-incense", "Insect Repellent-Incense")</f>
        <v>Insect Repellent-Incense</v>
      </c>
      <c r="B157" s="16">
        <v>0.1</v>
      </c>
      <c r="C157" s="21">
        <v>0</v>
      </c>
      <c r="D157" s="26"/>
      <c r="E157" s="26" t="s">
        <v>128</v>
      </c>
      <c r="F157" s="26" t="s">
        <v>129</v>
      </c>
    </row>
    <row r="158" spans="1:6" ht="12.75">
      <c r="A158" s="24" t="str">
        <f>HYPERLINK("https://www.dndbeyond.com/equipment/insect-repellent-salve", "Insect Repellent-Salve")</f>
        <v>Insect Repellent-Salve</v>
      </c>
      <c r="B158" s="16">
        <v>1</v>
      </c>
      <c r="C158" s="21">
        <v>0</v>
      </c>
      <c r="D158" s="26"/>
      <c r="E158" s="26" t="s">
        <v>128</v>
      </c>
      <c r="F158" s="26" t="s">
        <v>129</v>
      </c>
    </row>
    <row r="159" spans="1:6" ht="12.75">
      <c r="A159" s="24" t="str">
        <f>HYPERLINK("https://www.dndbeyond.com/equipment/jacinth", "Jacinth")</f>
        <v>Jacinth</v>
      </c>
      <c r="B159" s="72">
        <v>5000</v>
      </c>
      <c r="C159" s="21" t="s">
        <v>133</v>
      </c>
      <c r="D159" s="73"/>
      <c r="E159" s="73" t="s">
        <v>134</v>
      </c>
      <c r="F159" s="73"/>
    </row>
    <row r="160" spans="1:6" ht="12.75">
      <c r="A160" s="24" t="str">
        <f>HYPERLINK("https://www.dndbeyond.com/equipment/jade", "Jade")</f>
        <v>Jade</v>
      </c>
      <c r="B160" s="72">
        <v>100</v>
      </c>
      <c r="C160" s="21" t="s">
        <v>133</v>
      </c>
      <c r="D160" s="73"/>
      <c r="E160" s="73" t="s">
        <v>134</v>
      </c>
      <c r="F160" s="73"/>
    </row>
    <row r="161" spans="1:6" ht="12.75">
      <c r="A161" s="24" t="str">
        <f>HYPERLINK("https://www.dndbeyond.com/equipment/jasper", "Jasper")</f>
        <v>Jasper</v>
      </c>
      <c r="B161" s="72">
        <v>50</v>
      </c>
      <c r="C161" s="21" t="s">
        <v>133</v>
      </c>
      <c r="D161" s="73"/>
      <c r="E161" s="73" t="s">
        <v>134</v>
      </c>
      <c r="F161" s="73"/>
    </row>
    <row r="162" spans="1:6" ht="12.75">
      <c r="A162" s="24" t="str">
        <f>HYPERLINK("https://www.dndbeyond.com/equipment/javelin", "Javelin")</f>
        <v>Javelin</v>
      </c>
      <c r="B162" s="19">
        <v>0.5</v>
      </c>
      <c r="C162" s="21">
        <v>2</v>
      </c>
      <c r="D162" s="26" t="s">
        <v>177</v>
      </c>
      <c r="E162" s="26" t="s">
        <v>174</v>
      </c>
      <c r="F162" s="26" t="s">
        <v>141</v>
      </c>
    </row>
    <row r="163" spans="1:6" ht="12.75">
      <c r="A163" s="24" t="str">
        <f>HYPERLINK("https://www.dndbeyond.com/equipment/jet", "Jet")</f>
        <v>Jet</v>
      </c>
      <c r="B163" s="72">
        <v>100</v>
      </c>
      <c r="C163" s="21" t="s">
        <v>133</v>
      </c>
      <c r="D163" s="73"/>
      <c r="E163" s="73" t="s">
        <v>134</v>
      </c>
      <c r="F163" s="73"/>
    </row>
    <row r="164" spans="1:6" ht="12.75">
      <c r="A164" s="24" t="str">
        <f>HYPERLINK("https://www.dndbeyond.com/equipment/jewelers-tools", "Jeweler's Tools")</f>
        <v>Jeweler's Tools</v>
      </c>
      <c r="B164" s="16">
        <v>25</v>
      </c>
      <c r="C164" s="21">
        <v>2</v>
      </c>
      <c r="D164" s="26"/>
      <c r="E164" s="26" t="s">
        <v>132</v>
      </c>
      <c r="F164" s="26" t="s">
        <v>129</v>
      </c>
    </row>
    <row r="165" spans="1:6" ht="12.75">
      <c r="A165" s="24" t="str">
        <f>HYPERLINK("https://www.dndbeyond.com/equipment/jug-or-pitcher", "Jug or Pitcher")</f>
        <v>Jug or Pitcher</v>
      </c>
      <c r="B165" s="16">
        <v>0.02</v>
      </c>
      <c r="C165" s="21">
        <v>4</v>
      </c>
      <c r="D165" s="26"/>
      <c r="E165" s="26" t="s">
        <v>128</v>
      </c>
      <c r="F165" s="26" t="s">
        <v>144</v>
      </c>
    </row>
    <row r="166" spans="1:6" ht="12.75">
      <c r="A166" s="24" t="str">
        <f>HYPERLINK("https://www.dndbeyond.com/equipment/keelboat", "Keelboat")</f>
        <v>Keelboat</v>
      </c>
      <c r="B166" s="16">
        <v>3000</v>
      </c>
      <c r="C166" s="21">
        <v>0</v>
      </c>
      <c r="D166" s="26"/>
      <c r="E166" s="26" t="s">
        <v>189</v>
      </c>
      <c r="F166" s="26" t="s">
        <v>199</v>
      </c>
    </row>
    <row r="167" spans="1:6" ht="12.75">
      <c r="A167" s="24" t="str">
        <f>HYPERLINK("https://www.dndbeyond.com/equipment/khyber-dragonshard", "Khyber Dragonshard")</f>
        <v>Khyber Dragonshard</v>
      </c>
      <c r="B167" s="21" t="s">
        <v>133</v>
      </c>
      <c r="C167" s="21">
        <v>0</v>
      </c>
      <c r="D167" s="26"/>
      <c r="E167" s="26" t="s">
        <v>128</v>
      </c>
      <c r="F167" s="26" t="s">
        <v>185</v>
      </c>
    </row>
    <row r="168" spans="1:6" ht="12.75">
      <c r="A168" s="24" t="str">
        <f>HYPERLINK("https://www.dndbeyond.com/equipment/ladder-10-foot", "Ladder (10 foot)")</f>
        <v>Ladder (10 foot)</v>
      </c>
      <c r="B168" s="16">
        <v>0.1</v>
      </c>
      <c r="C168" s="21">
        <v>25</v>
      </c>
      <c r="D168" s="26"/>
      <c r="E168" s="26" t="s">
        <v>128</v>
      </c>
      <c r="F168" s="26" t="s">
        <v>178</v>
      </c>
    </row>
    <row r="169" spans="1:6" ht="12.75">
      <c r="A169" s="24" t="str">
        <f>HYPERLINK("https://www.dndbeyond.com/equipment/lamp", "Lamp")</f>
        <v>Lamp</v>
      </c>
      <c r="B169" s="16">
        <v>0.5</v>
      </c>
      <c r="C169" s="21">
        <v>1</v>
      </c>
      <c r="D169" s="26"/>
      <c r="E169" s="26" t="s">
        <v>128</v>
      </c>
      <c r="F169" s="26" t="s">
        <v>178</v>
      </c>
    </row>
    <row r="170" spans="1:6" ht="12.75">
      <c r="A170" s="24" t="str">
        <f>HYPERLINK("https://www.dndbeyond.com/equipment/lance", "Lance")</f>
        <v>Lance</v>
      </c>
      <c r="B170" s="16">
        <v>10</v>
      </c>
      <c r="C170" s="21">
        <v>6</v>
      </c>
      <c r="D170" s="26" t="s">
        <v>177</v>
      </c>
      <c r="E170" s="26" t="s">
        <v>149</v>
      </c>
      <c r="F170" s="26" t="s">
        <v>191</v>
      </c>
    </row>
    <row r="171" spans="1:6" ht="12.75">
      <c r="A171" s="24" t="str">
        <f>HYPERLINK("https://www.dndbeyond.com/equipment/lantern-bullseye", "Lantern, Bullseye")</f>
        <v>Lantern, Bullseye</v>
      </c>
      <c r="B171" s="16">
        <v>10</v>
      </c>
      <c r="C171" s="21">
        <v>2</v>
      </c>
      <c r="D171" s="26"/>
      <c r="E171" s="26" t="s">
        <v>128</v>
      </c>
      <c r="F171" s="26" t="s">
        <v>178</v>
      </c>
    </row>
    <row r="172" spans="1:6" ht="12.75">
      <c r="A172" s="24" t="str">
        <f>HYPERLINK("https://www.dndbeyond.com/equipment/lantern-hooded", "Lantern, Hooded")</f>
        <v>Lantern, Hooded</v>
      </c>
      <c r="B172" s="16">
        <v>5</v>
      </c>
      <c r="C172" s="21">
        <v>2</v>
      </c>
      <c r="D172" s="26"/>
      <c r="E172" s="26" t="s">
        <v>128</v>
      </c>
      <c r="F172" s="26" t="s">
        <v>178</v>
      </c>
    </row>
    <row r="173" spans="1:6" ht="12.75">
      <c r="A173" s="24" t="str">
        <f>HYPERLINK("https://www.dndbeyond.com/equipment/lapis-lazuli", "Lapis Lazuli")</f>
        <v>Lapis Lazuli</v>
      </c>
      <c r="B173" s="72">
        <v>10</v>
      </c>
      <c r="C173" s="21" t="s">
        <v>133</v>
      </c>
      <c r="D173" s="73"/>
      <c r="E173" s="73" t="s">
        <v>134</v>
      </c>
      <c r="F173" s="73"/>
    </row>
    <row r="174" spans="1:6" ht="12.75">
      <c r="A174" s="24" t="str">
        <f>HYPERLINK("https://www.dndbeyond.com/equipment/laser-pistol", "Laser Pistol")</f>
        <v>Laser Pistol</v>
      </c>
      <c r="B174" s="21" t="s">
        <v>133</v>
      </c>
      <c r="C174" s="21">
        <v>2</v>
      </c>
      <c r="D174" s="26" t="s">
        <v>200</v>
      </c>
      <c r="E174" s="26" t="s">
        <v>137</v>
      </c>
      <c r="F174" s="26" t="s">
        <v>201</v>
      </c>
    </row>
    <row r="175" spans="1:6" ht="12.75">
      <c r="A175" s="24" t="str">
        <f>HYPERLINK("https://www.dndbeyond.com/equipment/laser-rifle", "Laser Rifle")</f>
        <v>Laser Rifle</v>
      </c>
      <c r="B175" s="21" t="s">
        <v>133</v>
      </c>
      <c r="C175" s="21">
        <v>7</v>
      </c>
      <c r="D175" s="26" t="s">
        <v>200</v>
      </c>
      <c r="E175" s="26" t="s">
        <v>137</v>
      </c>
      <c r="F175" s="26" t="s">
        <v>202</v>
      </c>
    </row>
    <row r="176" spans="1:6" ht="12.75">
      <c r="A176" s="24" t="str">
        <f>HYPERLINK("https://www.dndbeyond.com/equipment/leather", "Leather")</f>
        <v>Leather</v>
      </c>
      <c r="B176" s="16">
        <v>10</v>
      </c>
      <c r="C176" s="21">
        <v>10</v>
      </c>
      <c r="D176" s="26" t="s">
        <v>203</v>
      </c>
      <c r="E176" s="26" t="s">
        <v>204</v>
      </c>
      <c r="F176" s="26" t="s">
        <v>159</v>
      </c>
    </row>
    <row r="177" spans="1:6" ht="12.75">
      <c r="A177" s="24" t="str">
        <f>HYPERLINK("https://www.dndbeyond.com/equipment/leatherworkers-tools", "Leatherworker's Tools")</f>
        <v>Leatherworker's Tools</v>
      </c>
      <c r="B177" s="16">
        <v>5</v>
      </c>
      <c r="C177" s="21">
        <v>5</v>
      </c>
      <c r="D177" s="26"/>
      <c r="E177" s="26" t="s">
        <v>132</v>
      </c>
      <c r="F177" s="26" t="s">
        <v>129</v>
      </c>
    </row>
    <row r="178" spans="1:6" ht="12.75">
      <c r="A178" s="24" t="str">
        <f>HYPERLINK("https://www.dndbeyond.com/equipment/light-hammer", "Light Hammer")</f>
        <v>Light Hammer</v>
      </c>
      <c r="B178" s="16">
        <v>2</v>
      </c>
      <c r="C178" s="21">
        <v>2</v>
      </c>
      <c r="D178" s="26" t="s">
        <v>155</v>
      </c>
      <c r="E178" s="26" t="s">
        <v>174</v>
      </c>
      <c r="F178" s="26" t="s">
        <v>141</v>
      </c>
    </row>
    <row r="179" spans="1:6" ht="12.75">
      <c r="A179" s="24" t="str">
        <f>HYPERLINK("https://www.dndbeyond.com/equipment/little-bag-of-sand", "Little Bag Of Sand")</f>
        <v>Little Bag Of Sand</v>
      </c>
      <c r="B179" s="21" t="s">
        <v>133</v>
      </c>
      <c r="C179" s="21">
        <v>0</v>
      </c>
      <c r="D179" s="26"/>
      <c r="E179" s="26" t="s">
        <v>128</v>
      </c>
      <c r="F179" s="26" t="s">
        <v>129</v>
      </c>
    </row>
    <row r="180" spans="1:6" ht="12.75">
      <c r="A180" s="24" t="str">
        <f>HYPERLINK("https://www.dndbeyond.com/equipment/lock", "Lock")</f>
        <v>Lock</v>
      </c>
      <c r="B180" s="16">
        <v>10</v>
      </c>
      <c r="C180" s="21">
        <v>1</v>
      </c>
      <c r="D180" s="26"/>
      <c r="E180" s="26" t="s">
        <v>128</v>
      </c>
      <c r="F180" s="26" t="s">
        <v>205</v>
      </c>
    </row>
    <row r="181" spans="1:6" ht="12.75">
      <c r="A181" s="24" t="str">
        <f>HYPERLINK("https://www.dndbeyond.com/equipment/longbow", "Longbow")</f>
        <v>Longbow</v>
      </c>
      <c r="B181" s="16">
        <v>50</v>
      </c>
      <c r="C181" s="21">
        <v>2</v>
      </c>
      <c r="D181" s="26" t="s">
        <v>177</v>
      </c>
      <c r="E181" s="26" t="s">
        <v>154</v>
      </c>
      <c r="F181" s="26" t="s">
        <v>141</v>
      </c>
    </row>
    <row r="182" spans="1:6" ht="12.75">
      <c r="A182" s="24" t="str">
        <f>HYPERLINK("https://www.dndbeyond.com/equipment/longhorn", "Longhorn")</f>
        <v>Longhorn</v>
      </c>
      <c r="B182" s="16">
        <v>2</v>
      </c>
      <c r="C182" s="21">
        <v>1</v>
      </c>
      <c r="D182" s="26"/>
      <c r="E182" s="26" t="s">
        <v>132</v>
      </c>
      <c r="F182" s="26" t="s">
        <v>145</v>
      </c>
    </row>
    <row r="183" spans="1:6" ht="12.75">
      <c r="A183" s="24" t="str">
        <f>HYPERLINK("https://www.dndbeyond.com/equipment/longship", "Longship")</f>
        <v>Longship</v>
      </c>
      <c r="B183" s="16">
        <v>10000</v>
      </c>
      <c r="C183" s="21">
        <v>0</v>
      </c>
      <c r="D183" s="26"/>
      <c r="E183" s="26" t="s">
        <v>189</v>
      </c>
      <c r="F183" s="26" t="s">
        <v>206</v>
      </c>
    </row>
    <row r="184" spans="1:6" ht="12.75">
      <c r="A184" s="24" t="str">
        <f>HYPERLINK("https://www.dndbeyond.com/equipment/longsword", "Longsword")</f>
        <v>Longsword</v>
      </c>
      <c r="B184" s="16">
        <v>15</v>
      </c>
      <c r="C184" s="21">
        <v>3</v>
      </c>
      <c r="D184" s="26" t="s">
        <v>148</v>
      </c>
      <c r="E184" s="26" t="s">
        <v>149</v>
      </c>
      <c r="F184" s="26" t="s">
        <v>141</v>
      </c>
    </row>
    <row r="185" spans="1:6" ht="12.75">
      <c r="A185" s="24" t="str">
        <f>HYPERLINK("https://www.dndbeyond.com/equipment/lute", "Lute")</f>
        <v>Lute</v>
      </c>
      <c r="B185" s="16">
        <v>35</v>
      </c>
      <c r="C185" s="21">
        <v>2</v>
      </c>
      <c r="D185" s="26"/>
      <c r="E185" s="26" t="s">
        <v>132</v>
      </c>
      <c r="F185" s="26" t="s">
        <v>145</v>
      </c>
    </row>
    <row r="186" spans="1:6" ht="12.75">
      <c r="A186" s="24" t="str">
        <f>HYPERLINK("https://www.dndbeyond.com/equipment/lyre", "Lyre")</f>
        <v>Lyre</v>
      </c>
      <c r="B186" s="16">
        <v>30</v>
      </c>
      <c r="C186" s="21">
        <v>2</v>
      </c>
      <c r="D186" s="26"/>
      <c r="E186" s="26" t="s">
        <v>132</v>
      </c>
      <c r="F186" s="26" t="s">
        <v>145</v>
      </c>
    </row>
    <row r="187" spans="1:6" ht="12.75">
      <c r="A187" s="24" t="str">
        <f>HYPERLINK("https://www.dndbeyond.com/equipment/mace", "Mace")</f>
        <v>Mace</v>
      </c>
      <c r="B187" s="16">
        <v>5</v>
      </c>
      <c r="C187" s="21">
        <v>4</v>
      </c>
      <c r="D187" s="26" t="s">
        <v>155</v>
      </c>
      <c r="E187" s="26" t="s">
        <v>174</v>
      </c>
      <c r="F187" s="26" t="s">
        <v>141</v>
      </c>
    </row>
    <row r="188" spans="1:6" ht="12.75">
      <c r="A188" s="24" t="str">
        <f>HYPERLINK("https://www.dndbeyond.com/equipment/magnifying-glass", "Magnifying Glass")</f>
        <v>Magnifying Glass</v>
      </c>
      <c r="B188" s="16">
        <v>100</v>
      </c>
      <c r="C188" s="21">
        <v>0</v>
      </c>
      <c r="D188" s="26"/>
      <c r="E188" s="26" t="s">
        <v>128</v>
      </c>
      <c r="F188" s="26" t="s">
        <v>207</v>
      </c>
    </row>
    <row r="189" spans="1:6" ht="12.75">
      <c r="A189" s="24" t="str">
        <f>HYPERLINK("https://www.dndbeyond.com/equipment/malachite", "Malachite")</f>
        <v>Malachite</v>
      </c>
      <c r="B189" s="75">
        <v>10</v>
      </c>
      <c r="C189" s="21" t="s">
        <v>133</v>
      </c>
      <c r="D189" s="73"/>
      <c r="E189" s="73" t="s">
        <v>134</v>
      </c>
      <c r="F189" s="73"/>
    </row>
    <row r="190" spans="1:6" ht="12.75">
      <c r="A190" s="24" t="str">
        <f>HYPERLINK("https://www.dndbeyond.com/equipment/malice-inhaled", "Malice (Inhaled)")</f>
        <v>Malice (Inhaled)</v>
      </c>
      <c r="B190" s="16">
        <v>250</v>
      </c>
      <c r="C190" s="21">
        <v>0</v>
      </c>
      <c r="D190" s="26"/>
      <c r="E190" s="26" t="s">
        <v>142</v>
      </c>
      <c r="F190" s="26" t="s">
        <v>176</v>
      </c>
    </row>
    <row r="191" spans="1:6" ht="12.75">
      <c r="A191" s="24" t="str">
        <f>HYPERLINK("https://www.dndbeyond.com/equipment/manacles", "Manacles")</f>
        <v>Manacles</v>
      </c>
      <c r="B191" s="72">
        <v>2</v>
      </c>
      <c r="C191" s="21">
        <v>6</v>
      </c>
      <c r="D191" s="73"/>
      <c r="E191" s="73" t="s">
        <v>128</v>
      </c>
      <c r="F191" s="73" t="s">
        <v>208</v>
      </c>
    </row>
    <row r="192" spans="1:6" ht="12.75">
      <c r="A192" s="24" t="str">
        <f>HYPERLINK("https://www.dndbeyond.com/equipment/masons-tools", "Mason's Tools")</f>
        <v>Mason's Tools</v>
      </c>
      <c r="B192" s="16">
        <v>10</v>
      </c>
      <c r="C192" s="21">
        <v>8</v>
      </c>
      <c r="D192" s="26"/>
      <c r="E192" s="26" t="s">
        <v>132</v>
      </c>
      <c r="F192" s="26" t="s">
        <v>129</v>
      </c>
    </row>
    <row r="193" spans="1:6" ht="12.75">
      <c r="A193" s="24" t="str">
        <f>HYPERLINK("https://www.dndbeyond.com/equipment/mastiff", "Mastiff")</f>
        <v>Mastiff</v>
      </c>
      <c r="B193" s="16">
        <v>25</v>
      </c>
      <c r="C193" s="21">
        <v>0</v>
      </c>
      <c r="D193" s="26"/>
      <c r="E193" s="26" t="s">
        <v>163</v>
      </c>
      <c r="F193" s="26" t="s">
        <v>209</v>
      </c>
    </row>
    <row r="194" spans="1:6" ht="12.75">
      <c r="A194" s="24" t="str">
        <f>HYPERLINK("https://www.dndbeyond.com/equipment/maul", "Maul")</f>
        <v>Maul</v>
      </c>
      <c r="B194" s="16">
        <v>10</v>
      </c>
      <c r="C194" s="21">
        <v>10</v>
      </c>
      <c r="D194" s="26" t="s">
        <v>155</v>
      </c>
      <c r="E194" s="26" t="s">
        <v>149</v>
      </c>
      <c r="F194" s="26" t="s">
        <v>141</v>
      </c>
    </row>
    <row r="195" spans="1:6" ht="12.75">
      <c r="A195" s="24" t="str">
        <f>HYPERLINK("https://www.dndbeyond.com/equipment/mess-kit", "Mess Kit")</f>
        <v>Mess Kit</v>
      </c>
      <c r="B195" s="16">
        <v>0.2</v>
      </c>
      <c r="C195" s="21">
        <v>1</v>
      </c>
      <c r="D195" s="26"/>
      <c r="E195" s="26" t="s">
        <v>128</v>
      </c>
      <c r="F195" s="26" t="s">
        <v>152</v>
      </c>
    </row>
    <row r="196" spans="1:6" ht="12.75">
      <c r="A196" s="24" t="str">
        <f>HYPERLINK("https://www.dndbeyond.com/equipment/midnight-tears-ingested", "Midnight Tears (Ingested)")</f>
        <v>Midnight Tears (Ingested)</v>
      </c>
      <c r="B196" s="16">
        <v>1500</v>
      </c>
      <c r="C196" s="21">
        <v>0</v>
      </c>
      <c r="D196" s="26"/>
      <c r="E196" s="26" t="s">
        <v>142</v>
      </c>
      <c r="F196" s="26" t="s">
        <v>143</v>
      </c>
    </row>
    <row r="197" spans="1:6" ht="12.75">
      <c r="A197" s="24" t="str">
        <f>HYPERLINK("https://www.dndbeyond.com/equipment/mirror-steel", "Mirror, Steel")</f>
        <v>Mirror, Steel</v>
      </c>
      <c r="B197" s="16">
        <v>5</v>
      </c>
      <c r="C197" s="21">
        <v>0.5</v>
      </c>
      <c r="D197" s="26"/>
      <c r="E197" s="26" t="s">
        <v>128</v>
      </c>
      <c r="F197" s="26" t="s">
        <v>152</v>
      </c>
    </row>
    <row r="198" spans="1:6" ht="12.75">
      <c r="A198" s="24" t="str">
        <f>HYPERLINK("https://www.dndbeyond.com/equipment/monster-hunters-pack", "Monster Hunter's Pack")</f>
        <v>Monster Hunter's Pack</v>
      </c>
      <c r="B198" s="16">
        <v>33</v>
      </c>
      <c r="C198" s="21">
        <v>49</v>
      </c>
      <c r="D198" s="26"/>
      <c r="E198" s="26" t="s">
        <v>160</v>
      </c>
      <c r="F198" s="26" t="s">
        <v>210</v>
      </c>
    </row>
    <row r="199" spans="1:6" ht="12.75">
      <c r="A199" s="24" t="str">
        <f>HYPERLINK("https://www.dndbeyond.com/equipment/moonstone", "Moonstone")</f>
        <v>Moonstone</v>
      </c>
      <c r="B199" s="72">
        <v>50</v>
      </c>
      <c r="C199" s="21" t="s">
        <v>133</v>
      </c>
      <c r="D199" s="73"/>
      <c r="E199" s="73" t="s">
        <v>134</v>
      </c>
      <c r="F199" s="73"/>
    </row>
    <row r="200" spans="1:6" ht="12.75">
      <c r="A200" s="24" t="str">
        <f>HYPERLINK("https://www.dndbeyond.com/equipment/morningstar", "Morningstar")</f>
        <v>Morningstar</v>
      </c>
      <c r="B200" s="16">
        <v>15</v>
      </c>
      <c r="C200" s="21">
        <v>4</v>
      </c>
      <c r="D200" s="26" t="s">
        <v>177</v>
      </c>
      <c r="E200" s="26" t="s">
        <v>149</v>
      </c>
      <c r="F200" s="26" t="s">
        <v>141</v>
      </c>
    </row>
    <row r="201" spans="1:6" ht="12.75">
      <c r="A201" s="24" t="str">
        <f>HYPERLINK("https://www.dndbeyond.com/equipment/moss-agate", "Moss Agate")</f>
        <v>Moss Agate</v>
      </c>
      <c r="B201" s="72">
        <v>10</v>
      </c>
      <c r="C201" s="21" t="s">
        <v>133</v>
      </c>
      <c r="D201" s="73"/>
      <c r="E201" s="73" t="s">
        <v>134</v>
      </c>
      <c r="F201" s="73"/>
    </row>
    <row r="202" spans="1:6" ht="12.75">
      <c r="A202" s="24" t="str">
        <f>HYPERLINK("https://www.dndbeyond.com/equipment/musket", "Musket")</f>
        <v>Musket</v>
      </c>
      <c r="B202" s="16">
        <v>500</v>
      </c>
      <c r="C202" s="21">
        <v>10</v>
      </c>
      <c r="D202" s="26" t="s">
        <v>177</v>
      </c>
      <c r="E202" s="26" t="s">
        <v>137</v>
      </c>
      <c r="F202" s="26" t="s">
        <v>141</v>
      </c>
    </row>
    <row r="203" spans="1:6" ht="12.75">
      <c r="A203" s="24" t="str">
        <f>HYPERLINK("https://www.dndbeyond.com/equipment/navigators-tools", "Navigator's Tools")</f>
        <v>Navigator's Tools</v>
      </c>
      <c r="B203" s="16">
        <v>25</v>
      </c>
      <c r="C203" s="21">
        <v>2</v>
      </c>
      <c r="D203" s="26"/>
      <c r="E203" s="26" t="s">
        <v>132</v>
      </c>
      <c r="F203" s="26" t="s">
        <v>178</v>
      </c>
    </row>
    <row r="204" spans="1:6" ht="12.75">
      <c r="A204" s="24" t="str">
        <f>HYPERLINK("https://www.dndbeyond.com/equipment/net", "Net")</f>
        <v>Net</v>
      </c>
      <c r="B204" s="16">
        <v>1</v>
      </c>
      <c r="C204" s="21">
        <v>3</v>
      </c>
      <c r="D204" s="26" t="s">
        <v>155</v>
      </c>
      <c r="E204" s="26" t="s">
        <v>154</v>
      </c>
      <c r="F204" s="26" t="s">
        <v>192</v>
      </c>
    </row>
    <row r="205" spans="1:6" ht="12.75">
      <c r="A205" s="24" t="str">
        <f>HYPERLINK("https://www.dndbeyond.com/equipment/obsidian", "Obsidian")</f>
        <v>Obsidian</v>
      </c>
      <c r="B205" s="72">
        <v>10</v>
      </c>
      <c r="C205" s="21" t="s">
        <v>133</v>
      </c>
      <c r="D205" s="73"/>
      <c r="E205" s="73" t="s">
        <v>134</v>
      </c>
      <c r="F205" s="73"/>
    </row>
    <row r="206" spans="1:6" ht="12.75">
      <c r="A206" s="24" t="str">
        <f>HYPERLINK("https://www.dndbeyond.com/equipment/oil-flask", "Oil (Flask)")</f>
        <v>Oil (Flask)</v>
      </c>
      <c r="B206" s="16">
        <v>0.1</v>
      </c>
      <c r="C206" s="21">
        <v>1</v>
      </c>
      <c r="D206" s="26"/>
      <c r="E206" s="26" t="s">
        <v>128</v>
      </c>
      <c r="F206" s="26" t="s">
        <v>130</v>
      </c>
    </row>
    <row r="207" spans="1:6" ht="12.75">
      <c r="A207" s="24" t="str">
        <f>HYPERLINK("https://www.dndbeyond.com/equipment/oil-of-taggit-contact", "Oil Of Taggit (Contact)")</f>
        <v>Oil Of Taggit (Contact)</v>
      </c>
      <c r="B207" s="16">
        <v>400</v>
      </c>
      <c r="C207" s="21">
        <v>0</v>
      </c>
      <c r="D207" s="26"/>
      <c r="E207" s="26" t="s">
        <v>142</v>
      </c>
      <c r="F207" s="26" t="s">
        <v>176</v>
      </c>
    </row>
    <row r="208" spans="1:6" ht="12.75">
      <c r="A208" s="24" t="str">
        <f>HYPERLINK("https://www.dndbeyond.com/equipment/onyx", "Onyx")</f>
        <v>Onyx</v>
      </c>
      <c r="B208" s="72">
        <v>50</v>
      </c>
      <c r="C208" s="21" t="s">
        <v>133</v>
      </c>
      <c r="D208" s="73"/>
      <c r="E208" s="73" t="s">
        <v>134</v>
      </c>
      <c r="F208" s="73"/>
    </row>
    <row r="209" spans="1:6" ht="12.75">
      <c r="A209" s="24" t="str">
        <f>HYPERLINK("https://www.dndbeyond.com/equipment/opal", "Opal")</f>
        <v>Opal</v>
      </c>
      <c r="B209" s="72">
        <v>1000</v>
      </c>
      <c r="C209" s="21" t="s">
        <v>133</v>
      </c>
      <c r="D209" s="73"/>
      <c r="E209" s="73" t="s">
        <v>134</v>
      </c>
      <c r="F209" s="73"/>
    </row>
    <row r="210" spans="1:6" ht="12.75">
      <c r="A210" s="24" t="str">
        <f>HYPERLINK("https://www.dndbeyond.com/equipment/orb", "Orb")</f>
        <v>Orb</v>
      </c>
      <c r="B210" s="16">
        <v>20</v>
      </c>
      <c r="C210" s="21">
        <v>3</v>
      </c>
      <c r="D210" s="26"/>
      <c r="E210" s="26" t="s">
        <v>140</v>
      </c>
      <c r="F210" s="26" t="s">
        <v>129</v>
      </c>
    </row>
    <row r="211" spans="1:6" ht="12.75">
      <c r="A211" s="24" t="str">
        <f>HYPERLINK("https://www.dndbeyond.com/equipment/padded", "Padded")</f>
        <v>Padded</v>
      </c>
      <c r="B211" s="16">
        <v>5</v>
      </c>
      <c r="C211" s="21">
        <v>8</v>
      </c>
      <c r="D211" s="26" t="s">
        <v>203</v>
      </c>
      <c r="E211" s="26" t="s">
        <v>204</v>
      </c>
      <c r="F211" s="26" t="s">
        <v>159</v>
      </c>
    </row>
    <row r="212" spans="1:6" ht="12.75">
      <c r="A212" s="24" t="str">
        <f>HYPERLINK("https://www.dndbeyond.com/equipment/painters-supplies", "Painter's Supplies")</f>
        <v>Painter's Supplies</v>
      </c>
      <c r="B212" s="16">
        <v>10</v>
      </c>
      <c r="C212" s="21">
        <v>5</v>
      </c>
      <c r="D212" s="26"/>
      <c r="E212" s="26" t="s">
        <v>132</v>
      </c>
      <c r="F212" s="26" t="s">
        <v>129</v>
      </c>
    </row>
    <row r="213" spans="1:6" ht="12.75">
      <c r="A213" s="24" t="str">
        <f>HYPERLINK("https://www.dndbeyond.com/equipment/pale-tincture-ingested", "Pale Tincture (Ingested)")</f>
        <v>Pale Tincture (Ingested)</v>
      </c>
      <c r="B213" s="16">
        <v>250</v>
      </c>
      <c r="C213" s="21">
        <v>0</v>
      </c>
      <c r="D213" s="26"/>
      <c r="E213" s="26" t="s">
        <v>142</v>
      </c>
      <c r="F213" s="26" t="s">
        <v>176</v>
      </c>
    </row>
    <row r="214" spans="1:6" ht="12.75">
      <c r="A214" s="24" t="str">
        <f>HYPERLINK("https://www.dndbeyond.com/equipment/pan-flute", "Pan Flute")</f>
        <v>Pan Flute</v>
      </c>
      <c r="B214" s="16">
        <v>12</v>
      </c>
      <c r="C214" s="21">
        <v>2</v>
      </c>
      <c r="D214" s="26"/>
      <c r="E214" s="26" t="s">
        <v>132</v>
      </c>
      <c r="F214" s="26" t="s">
        <v>145</v>
      </c>
    </row>
    <row r="215" spans="1:6" ht="12.75">
      <c r="A215" s="24" t="str">
        <f>HYPERLINK("https://www.dndbeyond.com/equipment/paper-one-sheet", "Paper (One Sheet)")</f>
        <v>Paper (One Sheet)</v>
      </c>
      <c r="B215" s="16">
        <v>0.2</v>
      </c>
      <c r="C215" s="21">
        <v>0</v>
      </c>
      <c r="D215" s="26"/>
      <c r="E215" s="26" t="s">
        <v>128</v>
      </c>
      <c r="F215" s="26" t="s">
        <v>197</v>
      </c>
    </row>
    <row r="216" spans="1:6" ht="12.75">
      <c r="A216" s="24" t="str">
        <f>HYPERLINK("https://www.dndbeyond.com/equipment/parchment-one-sheet", "Parchment (One Sheet)")</f>
        <v>Parchment (One Sheet)</v>
      </c>
      <c r="B216" s="16">
        <v>0.1</v>
      </c>
      <c r="C216" s="21">
        <v>0</v>
      </c>
      <c r="D216" s="26"/>
      <c r="E216" s="26" t="s">
        <v>128</v>
      </c>
      <c r="F216" s="26" t="s">
        <v>197</v>
      </c>
    </row>
    <row r="217" spans="1:6" ht="12.75">
      <c r="A217" s="24" t="str">
        <f>HYPERLINK("https://www.dndbeyond.com/equipment/pearl", "Pearl")</f>
        <v>Pearl</v>
      </c>
      <c r="B217" s="72">
        <v>100</v>
      </c>
      <c r="C217" s="21" t="s">
        <v>133</v>
      </c>
      <c r="D217" s="73"/>
      <c r="E217" s="73" t="s">
        <v>134</v>
      </c>
      <c r="F217" s="73"/>
    </row>
    <row r="218" spans="1:6" ht="12.75">
      <c r="A218" s="24" t="str">
        <f>HYPERLINK("https://www.dndbeyond.com/equipment/perfume-vial", "Perfume (Vial)")</f>
        <v>Perfume (Vial)</v>
      </c>
      <c r="B218" s="16">
        <v>5</v>
      </c>
      <c r="C218" s="21">
        <v>0</v>
      </c>
      <c r="D218" s="26"/>
      <c r="E218" s="26" t="s">
        <v>128</v>
      </c>
      <c r="F218" s="26" t="s">
        <v>211</v>
      </c>
    </row>
    <row r="219" spans="1:6" ht="12.75">
      <c r="A219" s="24" t="str">
        <f>HYPERLINK("https://www.dndbeyond.com/equipment/peridot", "Peridot")</f>
        <v>Peridot</v>
      </c>
      <c r="B219" s="72">
        <v>500</v>
      </c>
      <c r="C219" s="21" t="s">
        <v>133</v>
      </c>
      <c r="D219" s="73"/>
      <c r="E219" s="73" t="s">
        <v>134</v>
      </c>
      <c r="F219" s="73"/>
    </row>
    <row r="220" spans="1:6" ht="12.75">
      <c r="A220" s="24" t="str">
        <f>HYPERLINK("https://www.dndbeyond.com/equipment/pick-miners", "Pick, Miner's")</f>
        <v>Pick, Miner's</v>
      </c>
      <c r="B220" s="16">
        <v>2</v>
      </c>
      <c r="C220" s="21">
        <v>10</v>
      </c>
      <c r="D220" s="26"/>
      <c r="E220" s="26" t="s">
        <v>128</v>
      </c>
      <c r="F220" s="26" t="s">
        <v>129</v>
      </c>
    </row>
    <row r="221" spans="1:6" ht="12.75">
      <c r="A221" s="24" t="str">
        <f>HYPERLINK("https://www.dndbeyond.com/equipment/pike", "Pike")</f>
        <v>Pike</v>
      </c>
      <c r="B221" s="16">
        <v>5</v>
      </c>
      <c r="C221" s="21">
        <v>18</v>
      </c>
      <c r="D221" s="26" t="s">
        <v>177</v>
      </c>
      <c r="E221" s="26" t="s">
        <v>149</v>
      </c>
      <c r="F221" s="26" t="s">
        <v>191</v>
      </c>
    </row>
    <row r="222" spans="1:6" ht="12.75">
      <c r="A222" s="24" t="str">
        <f>HYPERLINK("https://www.dndbeyond.com/equipment/pistol", "Pistol")</f>
        <v>Pistol</v>
      </c>
      <c r="B222" s="16">
        <v>250</v>
      </c>
      <c r="C222" s="21">
        <v>3</v>
      </c>
      <c r="D222" s="26" t="s">
        <v>177</v>
      </c>
      <c r="E222" s="26" t="s">
        <v>137</v>
      </c>
      <c r="F222" s="26" t="s">
        <v>141</v>
      </c>
    </row>
    <row r="223" spans="1:6" ht="12.75">
      <c r="A223" s="24" t="str">
        <f>HYPERLINK("https://www.dndbeyond.com/equipment/pistol-automatic", "Pistol, Automatic")</f>
        <v>Pistol, Automatic</v>
      </c>
      <c r="B223" s="21" t="s">
        <v>133</v>
      </c>
      <c r="C223" s="21">
        <v>3</v>
      </c>
      <c r="D223" s="26" t="s">
        <v>177</v>
      </c>
      <c r="E223" s="26" t="s">
        <v>137</v>
      </c>
      <c r="F223" s="26" t="s">
        <v>212</v>
      </c>
    </row>
    <row r="224" spans="1:6" ht="12.75">
      <c r="A224" s="24" t="str">
        <f>HYPERLINK("https://www.dndbeyond.com/equipment/piton", "Piton")</f>
        <v>Piton</v>
      </c>
      <c r="B224" s="16">
        <v>0.05</v>
      </c>
      <c r="C224" s="21">
        <v>0.25</v>
      </c>
      <c r="D224" s="26"/>
      <c r="E224" s="26" t="s">
        <v>128</v>
      </c>
      <c r="F224" s="26" t="s">
        <v>129</v>
      </c>
    </row>
    <row r="225" spans="1:9" ht="12.75">
      <c r="A225" s="24" t="str">
        <f>HYPERLINK("https://www.dndbeyond.com/equipment/plate", "Plate")</f>
        <v>Plate</v>
      </c>
      <c r="B225" s="16">
        <v>1500</v>
      </c>
      <c r="C225" s="21">
        <v>65</v>
      </c>
      <c r="D225" s="26" t="s">
        <v>213</v>
      </c>
      <c r="E225" s="26" t="s">
        <v>169</v>
      </c>
      <c r="F225" s="26" t="s">
        <v>159</v>
      </c>
    </row>
    <row r="226" spans="1:9" ht="12.75">
      <c r="A226" s="24" t="str">
        <f>HYPERLINK("https://www.dndbeyond.com/equipment/playing-card-set", "Playing Card Set")</f>
        <v>Playing Card Set</v>
      </c>
      <c r="B226" s="16">
        <v>0.5</v>
      </c>
      <c r="C226" s="21">
        <v>0</v>
      </c>
      <c r="D226" s="26"/>
      <c r="E226" s="26" t="s">
        <v>132</v>
      </c>
      <c r="F226" s="26" t="s">
        <v>179</v>
      </c>
    </row>
    <row r="227" spans="1:9" ht="12.75">
      <c r="A227" s="24" t="str">
        <f>HYPERLINK("https://www.dndbeyond.com/equipment/poison-basic-vial", "Poison, Basic (Vial)")</f>
        <v>Poison, Basic (Vial)</v>
      </c>
      <c r="B227" s="16">
        <v>100</v>
      </c>
      <c r="C227" s="21">
        <v>0</v>
      </c>
      <c r="D227" s="26"/>
      <c r="E227" s="26" t="s">
        <v>142</v>
      </c>
      <c r="F227" s="26" t="s">
        <v>214</v>
      </c>
    </row>
    <row r="228" spans="1:9" ht="12.75">
      <c r="A228" s="24" t="str">
        <f>HYPERLINK("https://www.dndbeyond.com/equipment/poisoners-kit", "Poisoner's Kit")</f>
        <v>Poisoner's Kit</v>
      </c>
      <c r="B228" s="16">
        <v>50</v>
      </c>
      <c r="C228" s="21">
        <v>2</v>
      </c>
      <c r="D228" s="26"/>
      <c r="E228" s="26" t="s">
        <v>132</v>
      </c>
      <c r="F228" s="26" t="s">
        <v>129</v>
      </c>
      <c r="I228" s="65" t="s">
        <v>215</v>
      </c>
    </row>
    <row r="229" spans="1:9" ht="12.75">
      <c r="A229" s="24" t="str">
        <f>HYPERLINK("https://www.dndbeyond.com/equipment/pole-10-foot", "Pole (10 foot)")</f>
        <v>Pole (10 foot)</v>
      </c>
      <c r="B229" s="16">
        <v>0.05</v>
      </c>
      <c r="C229" s="21">
        <v>7</v>
      </c>
      <c r="D229" s="26"/>
      <c r="E229" s="26" t="s">
        <v>128</v>
      </c>
      <c r="F229" s="26" t="s">
        <v>178</v>
      </c>
    </row>
    <row r="230" spans="1:9" ht="12.75">
      <c r="A230" s="24" t="str">
        <f>HYPERLINK("https://www.dndbeyond.com/equipment/pony", "Pony")</f>
        <v>Pony</v>
      </c>
      <c r="B230" s="16">
        <v>30</v>
      </c>
      <c r="C230" s="21">
        <v>0</v>
      </c>
      <c r="D230" s="26"/>
      <c r="E230" s="26" t="s">
        <v>163</v>
      </c>
      <c r="F230" s="26" t="s">
        <v>216</v>
      </c>
    </row>
    <row r="231" spans="1:9" ht="12.75">
      <c r="A231" s="24" t="str">
        <f>HYPERLINK("https://www.dndbeyond.com/equipment/pot-iron", "Pot, Iron")</f>
        <v>Pot, Iron</v>
      </c>
      <c r="B231" s="16">
        <v>2</v>
      </c>
      <c r="C231" s="21">
        <v>10</v>
      </c>
      <c r="D231" s="26"/>
      <c r="E231" s="26" t="s">
        <v>128</v>
      </c>
      <c r="F231" s="26" t="s">
        <v>144</v>
      </c>
    </row>
    <row r="232" spans="1:9" ht="12.75">
      <c r="A232" s="24" t="str">
        <f>HYPERLINK("https://www.dndbeyond.com/equipment/potion-of-healing", "Potion Of Healing")</f>
        <v>Potion Of Healing</v>
      </c>
      <c r="B232" s="16">
        <v>50</v>
      </c>
      <c r="C232" s="21">
        <v>0.5</v>
      </c>
      <c r="D232" s="26"/>
      <c r="E232" s="26" t="s">
        <v>72</v>
      </c>
      <c r="F232" s="26" t="s">
        <v>217</v>
      </c>
    </row>
    <row r="233" spans="1:9" ht="12.75">
      <c r="A233" s="24" t="str">
        <f>HYPERLINK("https://www.dndbeyond.com/equipment/potters-tools", "Potter's Tools")</f>
        <v>Potter's Tools</v>
      </c>
      <c r="B233" s="16">
        <v>10</v>
      </c>
      <c r="C233" s="21">
        <v>3</v>
      </c>
      <c r="D233" s="26"/>
      <c r="E233" s="26" t="s">
        <v>132</v>
      </c>
      <c r="F233" s="26" t="s">
        <v>129</v>
      </c>
    </row>
    <row r="234" spans="1:9" ht="12.75">
      <c r="A234" s="24" t="str">
        <f>HYPERLINK("https://www.dndbeyond.com/equipment/pouch", "Pouch")</f>
        <v>Pouch</v>
      </c>
      <c r="B234" s="16">
        <v>0.5</v>
      </c>
      <c r="C234" s="21">
        <v>1</v>
      </c>
      <c r="D234" s="26"/>
      <c r="E234" s="26" t="s">
        <v>128</v>
      </c>
      <c r="F234" s="26" t="s">
        <v>144</v>
      </c>
    </row>
    <row r="235" spans="1:9" ht="12.75">
      <c r="A235" s="24" t="str">
        <f>HYPERLINK("https://www.dndbeyond.com/equipment/priests-pack", "Priest's Pack")</f>
        <v>Priest's Pack</v>
      </c>
      <c r="B235" s="16">
        <v>19</v>
      </c>
      <c r="C235" s="21">
        <v>24</v>
      </c>
      <c r="D235" s="26"/>
      <c r="E235" s="26" t="s">
        <v>160</v>
      </c>
      <c r="F235" s="26" t="s">
        <v>180</v>
      </c>
    </row>
    <row r="236" spans="1:9" ht="12.75">
      <c r="A236" s="24" t="str">
        <f>HYPERLINK("https://www.dndbeyond.com/equipment/purple-worm-poison-injury", "Purple Worm Poison (Injury)")</f>
        <v>Purple Worm Poison (Injury)</v>
      </c>
      <c r="B236" s="16">
        <v>2000</v>
      </c>
      <c r="C236" s="21">
        <v>0</v>
      </c>
      <c r="D236" s="26"/>
      <c r="E236" s="26" t="s">
        <v>142</v>
      </c>
      <c r="F236" s="26" t="s">
        <v>176</v>
      </c>
    </row>
    <row r="237" spans="1:9" ht="12.75">
      <c r="A237" s="24" t="str">
        <f>HYPERLINK("https://www.dndbeyond.com/equipment/quarterstaff", "Quarterstaff")</f>
        <v>Quarterstaff</v>
      </c>
      <c r="B237" s="21" t="s">
        <v>133</v>
      </c>
      <c r="C237" s="21">
        <v>4</v>
      </c>
      <c r="D237" s="26" t="s">
        <v>155</v>
      </c>
      <c r="E237" s="26" t="s">
        <v>174</v>
      </c>
      <c r="F237" s="26"/>
    </row>
    <row r="238" spans="1:9" ht="12.75">
      <c r="A238" s="24" t="str">
        <f>HYPERLINK("https://www.dndbeyond.com/equipment/quartz", "Quartz")</f>
        <v>Quartz</v>
      </c>
      <c r="B238" s="75">
        <v>50</v>
      </c>
      <c r="C238" s="21" t="s">
        <v>133</v>
      </c>
      <c r="D238" s="73"/>
      <c r="E238" s="73" t="s">
        <v>134</v>
      </c>
      <c r="F238" s="73"/>
    </row>
    <row r="239" spans="1:9" ht="12.75">
      <c r="A239" s="24" t="str">
        <f>HYPERLINK("https://www.dndbeyond.com/equipment/quiver", "Quiver")</f>
        <v>Quiver</v>
      </c>
      <c r="B239" s="16">
        <v>1</v>
      </c>
      <c r="C239" s="21">
        <v>1</v>
      </c>
      <c r="D239" s="26"/>
      <c r="E239" s="26" t="s">
        <v>128</v>
      </c>
      <c r="F239" s="26" t="s">
        <v>144</v>
      </c>
    </row>
    <row r="240" spans="1:9" ht="12.75">
      <c r="A240" s="24" t="str">
        <f>HYPERLINK("https://www.dndbeyond.com/equipment/rain-catcher", "Rain Catcher")</f>
        <v>Rain Catcher</v>
      </c>
      <c r="B240" s="16">
        <v>1</v>
      </c>
      <c r="C240" s="21">
        <v>5</v>
      </c>
      <c r="D240" s="26"/>
      <c r="E240" s="26" t="s">
        <v>128</v>
      </c>
      <c r="F240" s="26" t="s">
        <v>129</v>
      </c>
    </row>
    <row r="241" spans="1:6" ht="12.75">
      <c r="A241" s="24" t="str">
        <f>HYPERLINK("https://www.dndbeyond.com/equipment/ram-portable", "Ram, Portable")</f>
        <v>Ram, Portable</v>
      </c>
      <c r="B241" s="16">
        <v>4</v>
      </c>
      <c r="C241" s="21">
        <v>35</v>
      </c>
      <c r="D241" s="26"/>
      <c r="E241" s="26" t="s">
        <v>128</v>
      </c>
      <c r="F241" s="10" t="s">
        <v>178</v>
      </c>
    </row>
    <row r="242" spans="1:6" ht="12.75">
      <c r="A242" s="24" t="str">
        <f>HYPERLINK("https://www.dndbeyond.com/equipment/rapier", "Rapier")</f>
        <v>Rapier</v>
      </c>
      <c r="B242" s="16">
        <v>25</v>
      </c>
      <c r="C242" s="21">
        <v>2</v>
      </c>
      <c r="D242" s="26" t="s">
        <v>177</v>
      </c>
      <c r="E242" s="26" t="s">
        <v>149</v>
      </c>
      <c r="F242" s="26" t="s">
        <v>141</v>
      </c>
    </row>
    <row r="243" spans="1:6" ht="12.75">
      <c r="A243" s="24" t="str">
        <f>HYPERLINK("https://www.dndbeyond.com/equipment/rations-1-day", "Rations (1 Day)")</f>
        <v>Rations (1 Day)</v>
      </c>
      <c r="B243" s="16">
        <v>0.5</v>
      </c>
      <c r="C243" s="21">
        <v>2</v>
      </c>
      <c r="D243" s="26"/>
      <c r="E243" s="26" t="s">
        <v>128</v>
      </c>
      <c r="F243" s="26" t="s">
        <v>211</v>
      </c>
    </row>
    <row r="244" spans="1:6" ht="12.75">
      <c r="A244" s="24" t="str">
        <f>HYPERLINK("https://www.dndbeyond.com/equipment/reliquary", "Reliquary")</f>
        <v>Reliquary</v>
      </c>
      <c r="B244" s="72">
        <v>5</v>
      </c>
      <c r="C244" s="77">
        <v>2</v>
      </c>
      <c r="D244" s="26"/>
      <c r="E244" s="26" t="s">
        <v>135</v>
      </c>
      <c r="F244" s="26" t="s">
        <v>129</v>
      </c>
    </row>
    <row r="245" spans="1:6" ht="12.75">
      <c r="A245" s="24" t="str">
        <f>HYPERLINK("https://www.dndbeyond.com/equipment/revolver", "Revolver")</f>
        <v>Revolver</v>
      </c>
      <c r="B245" s="21" t="s">
        <v>133</v>
      </c>
      <c r="C245" s="21">
        <v>3</v>
      </c>
      <c r="D245" s="26" t="s">
        <v>177</v>
      </c>
      <c r="E245" s="26" t="s">
        <v>137</v>
      </c>
      <c r="F245" s="26" t="s">
        <v>218</v>
      </c>
    </row>
    <row r="246" spans="1:6" ht="12.75">
      <c r="A246" s="24" t="str">
        <f>HYPERLINK("https://www.dndbeyond.com/equipment/rhodochrosite", "Rhodochrosite")</f>
        <v>Rhodochrosite</v>
      </c>
      <c r="B246" s="72">
        <v>10</v>
      </c>
      <c r="C246" s="21" t="s">
        <v>133</v>
      </c>
      <c r="D246" s="73"/>
      <c r="E246" s="73" t="s">
        <v>134</v>
      </c>
      <c r="F246" s="73"/>
    </row>
    <row r="247" spans="1:6" ht="12.75">
      <c r="A247" s="24" t="str">
        <f>HYPERLINK("https://www.dndbeyond.com/equipment/riding-horse", "Riding Horse")</f>
        <v>Riding Horse</v>
      </c>
      <c r="B247" s="16">
        <v>75</v>
      </c>
      <c r="C247" s="21">
        <v>0</v>
      </c>
      <c r="D247" s="26"/>
      <c r="E247" s="26" t="s">
        <v>163</v>
      </c>
      <c r="F247" s="26" t="s">
        <v>219</v>
      </c>
    </row>
    <row r="248" spans="1:6" ht="12.75">
      <c r="A248" s="24" t="str">
        <f>HYPERLINK("https://www.dndbeyond.com/equipment/rifle-automatic", "Rifle, Automatic")</f>
        <v>Rifle, Automatic</v>
      </c>
      <c r="B248" s="21" t="s">
        <v>133</v>
      </c>
      <c r="C248" s="21">
        <v>8</v>
      </c>
      <c r="D248" s="26" t="s">
        <v>177</v>
      </c>
      <c r="E248" s="26" t="s">
        <v>137</v>
      </c>
      <c r="F248" s="26" t="s">
        <v>202</v>
      </c>
    </row>
    <row r="249" spans="1:6" ht="12.75">
      <c r="A249" s="24" t="str">
        <f>HYPERLINK("https://www.dndbeyond.com/equipment/rifle-hunting", "Rifle, Hunting")</f>
        <v>Rifle, Hunting</v>
      </c>
      <c r="B249" s="21" t="s">
        <v>133</v>
      </c>
      <c r="C249" s="21">
        <v>8</v>
      </c>
      <c r="D249" s="26" t="s">
        <v>177</v>
      </c>
      <c r="E249" s="26" t="s">
        <v>137</v>
      </c>
      <c r="F249" s="26" t="s">
        <v>220</v>
      </c>
    </row>
    <row r="250" spans="1:6" ht="12.75">
      <c r="A250" s="24" t="str">
        <f>HYPERLINK("https://www.dndbeyond.com/equipment/ring-mail", "Ring Mail")</f>
        <v>Ring Mail</v>
      </c>
      <c r="B250" s="16">
        <v>30</v>
      </c>
      <c r="C250" s="21">
        <v>40</v>
      </c>
      <c r="D250" s="26" t="s">
        <v>157</v>
      </c>
      <c r="E250" s="26" t="s">
        <v>169</v>
      </c>
      <c r="F250" s="26" t="s">
        <v>159</v>
      </c>
    </row>
    <row r="251" spans="1:6" ht="12.75">
      <c r="A251" s="24" t="str">
        <f>HYPERLINK("https://www.dndbeyond.com/equipment/robes", "Robes")</f>
        <v>Robes</v>
      </c>
      <c r="B251" s="16">
        <v>1</v>
      </c>
      <c r="C251" s="21">
        <v>4</v>
      </c>
      <c r="D251" s="26"/>
      <c r="E251" s="26" t="s">
        <v>128</v>
      </c>
      <c r="F251" s="26" t="s">
        <v>221</v>
      </c>
    </row>
    <row r="252" spans="1:6" ht="12.75">
      <c r="A252" s="24" t="str">
        <f>HYPERLINK("https://www.dndbeyond.com/equipment/rod", "Rod")</f>
        <v>Rod</v>
      </c>
      <c r="B252" s="16">
        <v>10</v>
      </c>
      <c r="C252" s="21">
        <v>2</v>
      </c>
      <c r="D252" s="26"/>
      <c r="E252" s="26" t="s">
        <v>140</v>
      </c>
      <c r="F252" s="26" t="s">
        <v>129</v>
      </c>
    </row>
    <row r="253" spans="1:6" ht="12.75">
      <c r="A253" s="24" t="str">
        <f>HYPERLINK("https://www.dndbeyond.com/equipment/rope-hempen-50-feet", "Rope, Hempen (50 feet)")</f>
        <v>Rope, Hempen (50 feet)</v>
      </c>
      <c r="B253" s="16">
        <v>1</v>
      </c>
      <c r="C253" s="21">
        <v>10</v>
      </c>
      <c r="D253" s="26"/>
      <c r="E253" s="26" t="s">
        <v>128</v>
      </c>
      <c r="F253" s="26" t="s">
        <v>178</v>
      </c>
    </row>
    <row r="254" spans="1:6" ht="12.75">
      <c r="A254" s="24" t="str">
        <f>HYPERLINK("https://www.dndbeyond.com/equipment/rope-silk-50-feet", "Rope, Silk (50 feet)")</f>
        <v>Rope, Silk (50 feet)</v>
      </c>
      <c r="B254" s="16">
        <v>10</v>
      </c>
      <c r="C254" s="21">
        <v>5</v>
      </c>
      <c r="D254" s="26"/>
      <c r="E254" s="26" t="s">
        <v>128</v>
      </c>
      <c r="F254" s="26" t="s">
        <v>178</v>
      </c>
    </row>
    <row r="255" spans="1:6" ht="12.75">
      <c r="A255" s="24" t="str">
        <f>HYPERLINK("https://www.dndbeyond.com/equipment/rowboat", "Rowboat")</f>
        <v>Rowboat</v>
      </c>
      <c r="B255" s="16">
        <v>50</v>
      </c>
      <c r="C255" s="21">
        <v>100</v>
      </c>
      <c r="D255" s="26"/>
      <c r="E255" s="26" t="s">
        <v>189</v>
      </c>
      <c r="F255" s="26" t="s">
        <v>222</v>
      </c>
    </row>
    <row r="256" spans="1:6" ht="12.75">
      <c r="A256" s="24" t="str">
        <f>HYPERLINK("https://www.dndbeyond.com/equipment/ruby", "Ruby")</f>
        <v>Ruby</v>
      </c>
      <c r="B256" s="72">
        <v>5000</v>
      </c>
      <c r="C256" s="21" t="s">
        <v>133</v>
      </c>
      <c r="D256" s="73"/>
      <c r="E256" s="73" t="s">
        <v>134</v>
      </c>
      <c r="F256" s="73"/>
    </row>
    <row r="257" spans="1:6" ht="12.75">
      <c r="A257" s="24" t="str">
        <f>HYPERLINK("https://www.dndbeyond.com/equipment/sack", "Sack")</f>
        <v>Sack</v>
      </c>
      <c r="B257" s="16">
        <v>0.01</v>
      </c>
      <c r="C257" s="21">
        <v>0.5</v>
      </c>
      <c r="D257" s="26"/>
      <c r="E257" s="26" t="s">
        <v>128</v>
      </c>
      <c r="F257" s="26" t="s">
        <v>144</v>
      </c>
    </row>
    <row r="258" spans="1:6" ht="12.75">
      <c r="A258" s="74" t="s">
        <v>223</v>
      </c>
      <c r="B258" s="16">
        <v>60</v>
      </c>
      <c r="C258" s="21">
        <v>40</v>
      </c>
      <c r="D258" s="26"/>
      <c r="E258" s="26" t="s">
        <v>128</v>
      </c>
      <c r="F258" s="26" t="s">
        <v>129</v>
      </c>
    </row>
    <row r="259" spans="1:6" ht="12.75">
      <c r="A259" s="24" t="str">
        <f>HYPERLINK("https://www.dndbeyond.com/equipment/saddle-exotic", "Saddle, Exotic")</f>
        <v>Saddle, Exotic</v>
      </c>
      <c r="B259" s="16">
        <v>20</v>
      </c>
      <c r="C259" s="21">
        <v>30</v>
      </c>
      <c r="D259" s="26"/>
      <c r="E259" s="26" t="s">
        <v>128</v>
      </c>
      <c r="F259" s="26" t="s">
        <v>129</v>
      </c>
    </row>
    <row r="260" spans="1:6" ht="12.75">
      <c r="A260" s="24" t="str">
        <f>HYPERLINK("https://www.dndbeyond.com/equipment/saddle-military", "Saddle, Military")</f>
        <v>Saddle, Military</v>
      </c>
      <c r="B260" s="16">
        <v>5</v>
      </c>
      <c r="C260" s="21">
        <v>15</v>
      </c>
      <c r="D260" s="26"/>
      <c r="E260" s="26" t="s">
        <v>128</v>
      </c>
      <c r="F260" s="26" t="s">
        <v>129</v>
      </c>
    </row>
    <row r="261" spans="1:6" ht="12.75">
      <c r="A261" s="24" t="str">
        <f>HYPERLINK("https://www.dndbeyond.com/equipment/saddle-pack", "Saddle, Pack")</f>
        <v>Saddle, Pack</v>
      </c>
      <c r="B261" s="16">
        <v>10</v>
      </c>
      <c r="C261" s="21">
        <v>25</v>
      </c>
      <c r="D261" s="26"/>
      <c r="E261" s="26" t="s">
        <v>128</v>
      </c>
      <c r="F261" s="26" t="s">
        <v>129</v>
      </c>
    </row>
    <row r="262" spans="1:6" ht="12.75">
      <c r="A262" s="24" t="str">
        <f>HYPERLINK("https://www.dndbeyond.com/equipment/saddle-riding", "Saddle, Riding")</f>
        <v>Saddle, Riding</v>
      </c>
      <c r="B262" s="16">
        <v>4</v>
      </c>
      <c r="C262" s="21">
        <v>8</v>
      </c>
      <c r="D262" s="26"/>
      <c r="E262" s="26" t="s">
        <v>128</v>
      </c>
      <c r="F262" s="26" t="s">
        <v>175</v>
      </c>
    </row>
    <row r="263" spans="1:6" ht="12.75">
      <c r="A263" s="24" t="str">
        <f>HYPERLINK("https://www.dndbeyond.com/equipment/saddlebags", "Saddlebags")</f>
        <v>Saddlebags</v>
      </c>
      <c r="B263" s="72">
        <v>4</v>
      </c>
      <c r="C263" s="21">
        <v>8</v>
      </c>
      <c r="D263" s="73"/>
      <c r="E263" s="73" t="s">
        <v>128</v>
      </c>
      <c r="F263" s="73" t="s">
        <v>224</v>
      </c>
    </row>
    <row r="264" spans="1:6" ht="12.75">
      <c r="A264" s="24" t="str">
        <f>HYPERLINK("https://www.dndbeyond.com/equipment/sailing-ship", "Sailing Ship")</f>
        <v>Sailing Ship</v>
      </c>
      <c r="B264" s="16">
        <v>10000</v>
      </c>
      <c r="C264" s="21">
        <v>0</v>
      </c>
      <c r="D264" s="26"/>
      <c r="E264" s="26" t="s">
        <v>189</v>
      </c>
      <c r="F264" s="26" t="s">
        <v>225</v>
      </c>
    </row>
    <row r="265" spans="1:6" ht="12.75">
      <c r="A265" s="24" t="str">
        <f>HYPERLINK("https://www.dndbeyond.com/equipment/sardonyx", "Sardonyx")</f>
        <v>Sardonyx</v>
      </c>
      <c r="B265" s="75">
        <v>50</v>
      </c>
      <c r="C265" s="21" t="s">
        <v>133</v>
      </c>
      <c r="D265" s="73"/>
      <c r="E265" s="73" t="s">
        <v>134</v>
      </c>
      <c r="F265" s="73"/>
    </row>
    <row r="266" spans="1:6" ht="12.75">
      <c r="A266" s="24" t="str">
        <f>HYPERLINK("https://www.dndbeyond.com/equipment/scale-mail", "Scale Mail")</f>
        <v>Scale Mail</v>
      </c>
      <c r="B266" s="16">
        <v>50</v>
      </c>
      <c r="C266" s="21">
        <v>45</v>
      </c>
      <c r="D266" s="26" t="s">
        <v>157</v>
      </c>
      <c r="E266" s="26" t="s">
        <v>158</v>
      </c>
      <c r="F266" s="26" t="s">
        <v>159</v>
      </c>
    </row>
    <row r="267" spans="1:6" ht="12.75">
      <c r="A267" s="24" t="str">
        <f>HYPERLINK("https://www.dndbeyond.com/equipment/scale-merchants", "Scale, Merchant's")</f>
        <v>Scale, Merchant's</v>
      </c>
      <c r="B267" s="16">
        <v>5</v>
      </c>
      <c r="C267" s="21">
        <v>3</v>
      </c>
      <c r="D267" s="26"/>
      <c r="E267" s="26" t="s">
        <v>128</v>
      </c>
      <c r="F267" s="26" t="s">
        <v>152</v>
      </c>
    </row>
    <row r="268" spans="1:6" ht="12.75">
      <c r="A268" s="24" t="str">
        <f>HYPERLINK("https://www.dndbeyond.com/equipment/scholars-pack", "Scholar's Pack")</f>
        <v>Scholar's Pack</v>
      </c>
      <c r="B268" s="16">
        <v>40</v>
      </c>
      <c r="C268" s="21">
        <v>10</v>
      </c>
      <c r="D268" s="26"/>
      <c r="E268" s="26" t="s">
        <v>160</v>
      </c>
      <c r="F268" s="26" t="s">
        <v>226</v>
      </c>
    </row>
    <row r="269" spans="1:6" ht="12.75">
      <c r="A269" s="24" t="str">
        <f>HYPERLINK("https://www.dndbeyond.com/equipment/scimitar", "Scimitar")</f>
        <v>Scimitar</v>
      </c>
      <c r="B269" s="16">
        <v>25</v>
      </c>
      <c r="C269" s="21">
        <v>3</v>
      </c>
      <c r="D269" s="26"/>
      <c r="E269" s="26" t="s">
        <v>149</v>
      </c>
      <c r="F269" s="26" t="s">
        <v>141</v>
      </c>
    </row>
    <row r="270" spans="1:6" ht="12.75">
      <c r="A270" s="24" t="str">
        <f>HYPERLINK("https://www.dndbeyond.com/equipment/sealing-wax", "Sealing Wax")</f>
        <v>Sealing Wax</v>
      </c>
      <c r="B270" s="16">
        <v>0.5</v>
      </c>
      <c r="C270" s="21">
        <v>0</v>
      </c>
      <c r="D270" s="26"/>
      <c r="E270" s="26" t="s">
        <v>128</v>
      </c>
      <c r="F270" s="26" t="s">
        <v>197</v>
      </c>
    </row>
    <row r="271" spans="1:6" ht="12.75">
      <c r="A271" s="24" t="str">
        <f>HYPERLINK("https://www.dndbeyond.com/equipment/serpent-venom-injury", "Serpent Venom (Injury)")</f>
        <v>Serpent Venom (Injury)</v>
      </c>
      <c r="B271" s="16">
        <v>200</v>
      </c>
      <c r="C271" s="21">
        <v>0</v>
      </c>
      <c r="D271" s="26"/>
      <c r="E271" s="26" t="s">
        <v>142</v>
      </c>
      <c r="F271" s="26" t="s">
        <v>176</v>
      </c>
    </row>
    <row r="272" spans="1:6" ht="12.75">
      <c r="A272" s="24" t="str">
        <f>HYPERLINK("https://www.dndbeyond.com/equipment/shawm", "Shawm")</f>
        <v>Shawm</v>
      </c>
      <c r="B272" s="16">
        <v>2</v>
      </c>
      <c r="C272" s="21">
        <v>1</v>
      </c>
      <c r="D272" s="26"/>
      <c r="E272" s="26" t="s">
        <v>132</v>
      </c>
      <c r="F272" s="26" t="s">
        <v>145</v>
      </c>
    </row>
    <row r="273" spans="1:6" ht="12.75">
      <c r="A273" s="24" t="str">
        <f>HYPERLINK("https://www.dndbeyond.com/equipment/shield", "Shield")</f>
        <v>Shield</v>
      </c>
      <c r="B273" s="16">
        <v>10</v>
      </c>
      <c r="C273" s="21">
        <v>6</v>
      </c>
      <c r="D273" s="26" t="s">
        <v>227</v>
      </c>
      <c r="E273" s="26" t="s">
        <v>228</v>
      </c>
      <c r="F273" s="26" t="s">
        <v>159</v>
      </c>
    </row>
    <row r="274" spans="1:6" ht="12.75">
      <c r="A274" s="24" t="str">
        <f>HYPERLINK("https://www.dndbeyond.com/equipment/shortbow", "Shortbow")</f>
        <v>Shortbow</v>
      </c>
      <c r="B274" s="16">
        <v>25</v>
      </c>
      <c r="C274" s="21">
        <v>2</v>
      </c>
      <c r="D274" s="26" t="s">
        <v>177</v>
      </c>
      <c r="E274" s="26" t="s">
        <v>156</v>
      </c>
      <c r="F274" s="26" t="s">
        <v>141</v>
      </c>
    </row>
    <row r="275" spans="1:6" ht="12.75">
      <c r="A275" s="24" t="str">
        <f>HYPERLINK("https://www.dndbeyond.com/equipment/shortsword", "Shortsword")</f>
        <v>Shortsword</v>
      </c>
      <c r="B275" s="16">
        <v>10</v>
      </c>
      <c r="C275" s="21">
        <v>2</v>
      </c>
      <c r="D275" s="26" t="s">
        <v>177</v>
      </c>
      <c r="E275" s="26" t="s">
        <v>149</v>
      </c>
      <c r="F275" s="26" t="s">
        <v>141</v>
      </c>
    </row>
    <row r="276" spans="1:6" ht="12.75">
      <c r="A276" s="24" t="str">
        <f>HYPERLINK("https://www.dndbeyond.com/equipment/shotgun", "Shotgun")</f>
        <v>Shotgun</v>
      </c>
      <c r="B276" s="21" t="s">
        <v>133</v>
      </c>
      <c r="C276" s="21">
        <v>7</v>
      </c>
      <c r="D276" s="26" t="s">
        <v>177</v>
      </c>
      <c r="E276" s="26" t="s">
        <v>137</v>
      </c>
      <c r="F276" s="26" t="s">
        <v>138</v>
      </c>
    </row>
    <row r="277" spans="1:6" ht="12.75">
      <c r="A277" s="24" t="str">
        <f>HYPERLINK("https://www.dndbeyond.com/equipment/shovel", "Shovel")</f>
        <v>Shovel</v>
      </c>
      <c r="B277" s="16">
        <v>2</v>
      </c>
      <c r="C277" s="21">
        <v>5</v>
      </c>
      <c r="D277" s="26"/>
      <c r="E277" s="26" t="s">
        <v>128</v>
      </c>
      <c r="F277" s="26" t="s">
        <v>129</v>
      </c>
    </row>
    <row r="278" spans="1:6" ht="12.75">
      <c r="A278" s="24" t="str">
        <f>HYPERLINK("https://www.dndbeyond.com/equipment/siberys-dragonshard", "Siberys Dragonshard")</f>
        <v>Siberys Dragonshard</v>
      </c>
      <c r="B278" s="21" t="s">
        <v>133</v>
      </c>
      <c r="C278" s="21">
        <v>0</v>
      </c>
      <c r="D278" s="26"/>
      <c r="E278" s="26" t="s">
        <v>128</v>
      </c>
      <c r="F278" s="26" t="s">
        <v>185</v>
      </c>
    </row>
    <row r="279" spans="1:6" ht="12.75">
      <c r="A279" s="24" t="str">
        <f>HYPERLINK("https://www.dndbeyond.com/equipment/sickle", "Sickle")</f>
        <v>Sickle</v>
      </c>
      <c r="B279" s="16">
        <v>1</v>
      </c>
      <c r="C279" s="21">
        <v>2</v>
      </c>
      <c r="D279" s="26" t="s">
        <v>148</v>
      </c>
      <c r="E279" s="26" t="s">
        <v>174</v>
      </c>
      <c r="F279" s="26" t="s">
        <v>141</v>
      </c>
    </row>
    <row r="280" spans="1:6" ht="12.75">
      <c r="A280" s="24" t="str">
        <f>HYPERLINK("https://www.dndbeyond.com/equipment/signal-whistle", "Signal Whistle")</f>
        <v>Signal Whistle</v>
      </c>
      <c r="B280" s="19">
        <v>0.05</v>
      </c>
      <c r="C280" s="21">
        <v>0</v>
      </c>
      <c r="D280" s="26"/>
      <c r="E280" s="26" t="s">
        <v>128</v>
      </c>
      <c r="F280" s="26" t="s">
        <v>150</v>
      </c>
    </row>
    <row r="281" spans="1:6" ht="12.75">
      <c r="A281" s="24" t="str">
        <f>HYPERLINK("https://www.dndbeyond.com/equipment/signet-ring", "Signet Ring")</f>
        <v>Signet Ring</v>
      </c>
      <c r="B281" s="16">
        <v>5</v>
      </c>
      <c r="C281" s="21">
        <v>0</v>
      </c>
      <c r="D281" s="26"/>
      <c r="E281" s="26" t="s">
        <v>128</v>
      </c>
      <c r="F281" s="26" t="s">
        <v>198</v>
      </c>
    </row>
    <row r="282" spans="1:6" ht="12.75">
      <c r="A282" s="24" t="str">
        <f>HYPERLINK("https://www.dndbeyond.com/equipment/sled", "Sled")</f>
        <v>Sled</v>
      </c>
      <c r="B282" s="16">
        <v>20</v>
      </c>
      <c r="C282" s="21">
        <v>300</v>
      </c>
      <c r="D282" s="26"/>
      <c r="E282" s="26" t="s">
        <v>166</v>
      </c>
      <c r="F282" s="26" t="s">
        <v>198</v>
      </c>
    </row>
    <row r="283" spans="1:6" ht="12.75">
      <c r="A283" s="24" t="str">
        <f>HYPERLINK("https://www.dndbeyond.com/equipment/sling", "Sling")</f>
        <v>Sling</v>
      </c>
      <c r="B283" s="16">
        <v>0.1</v>
      </c>
      <c r="C283" s="21">
        <v>0</v>
      </c>
      <c r="D283" s="26" t="s">
        <v>155</v>
      </c>
      <c r="E283" s="26" t="s">
        <v>156</v>
      </c>
      <c r="F283" s="26" t="s">
        <v>151</v>
      </c>
    </row>
    <row r="284" spans="1:6" ht="12.75">
      <c r="A284" s="24" t="str">
        <f>HYPERLINK("https://www.dndbeyond.com/equipment/sling-bullets", "Sling Bullets")</f>
        <v>Sling Bullets</v>
      </c>
      <c r="B284" s="16">
        <v>0.04</v>
      </c>
      <c r="C284" s="21">
        <v>1.5</v>
      </c>
      <c r="D284" s="26"/>
      <c r="E284" s="26" t="s">
        <v>25</v>
      </c>
      <c r="F284" s="26" t="s">
        <v>141</v>
      </c>
    </row>
    <row r="285" spans="1:6" ht="12.75">
      <c r="A285" s="24" t="str">
        <f>HYPERLINK("https://www.dndbeyond.com/equipment/small-knife", "Small Knife")</f>
        <v>Small Knife</v>
      </c>
      <c r="B285" s="21" t="s">
        <v>133</v>
      </c>
      <c r="C285" s="21">
        <v>0</v>
      </c>
      <c r="D285" s="26"/>
      <c r="E285" s="26" t="s">
        <v>128</v>
      </c>
      <c r="F285" s="26" t="s">
        <v>129</v>
      </c>
    </row>
    <row r="286" spans="1:6" ht="12.75">
      <c r="A286" s="24" t="str">
        <f>HYPERLINK("https://www.dndbeyond.com/equipment/smiths-tools", "Smiths Tools")</f>
        <v>Smiths Tools</v>
      </c>
      <c r="B286" s="16">
        <v>20</v>
      </c>
      <c r="C286" s="21">
        <v>8</v>
      </c>
      <c r="D286" s="26"/>
      <c r="E286" s="26" t="s">
        <v>132</v>
      </c>
      <c r="F286" s="73" t="s">
        <v>129</v>
      </c>
    </row>
    <row r="287" spans="1:6" ht="12.75">
      <c r="A287" s="24" t="str">
        <f>HYPERLINK("https://www.dndbeyond.com/equipment/soap", "Soap")</f>
        <v>Soap</v>
      </c>
      <c r="B287" s="16">
        <v>0.02</v>
      </c>
      <c r="C287" s="21">
        <v>0</v>
      </c>
      <c r="D287" s="26"/>
      <c r="E287" s="26" t="s">
        <v>128</v>
      </c>
      <c r="F287" s="26" t="s">
        <v>211</v>
      </c>
    </row>
    <row r="288" spans="1:6" ht="12.75">
      <c r="A288" s="24" t="str">
        <f>HYPERLINK("https://www.dndbeyond.com/equipment/songhorn", "Songhorn")</f>
        <v>Songhorn</v>
      </c>
      <c r="B288" s="16">
        <v>2</v>
      </c>
      <c r="C288" s="21">
        <v>1</v>
      </c>
      <c r="D288" s="26"/>
      <c r="E288" s="26" t="s">
        <v>132</v>
      </c>
      <c r="F288" s="26" t="s">
        <v>145</v>
      </c>
    </row>
    <row r="289" spans="1:6" ht="12.75">
      <c r="A289" s="24" t="str">
        <f>HYPERLINK("https://www.dndbeyond.com/equipment/spear", "Spear")</f>
        <v>Spear</v>
      </c>
      <c r="B289" s="16">
        <v>1</v>
      </c>
      <c r="C289" s="21">
        <v>3</v>
      </c>
      <c r="D289" s="26" t="s">
        <v>177</v>
      </c>
      <c r="E289" s="26" t="s">
        <v>174</v>
      </c>
      <c r="F289" s="26" t="s">
        <v>141</v>
      </c>
    </row>
    <row r="290" spans="1:6" ht="12.75">
      <c r="A290" s="24" t="str">
        <f>HYPERLINK("https://www.dndbeyond.com/equipment/spellbook", "Spellbook")</f>
        <v>Spellbook</v>
      </c>
      <c r="B290" s="16">
        <v>50</v>
      </c>
      <c r="C290" s="21">
        <v>3</v>
      </c>
      <c r="D290" s="26"/>
      <c r="E290" s="26" t="s">
        <v>128</v>
      </c>
      <c r="F290" s="26" t="s">
        <v>129</v>
      </c>
    </row>
    <row r="291" spans="1:6" ht="12.75">
      <c r="A291" s="78" t="str">
        <f>HYPERLINK("https://www.dndbeyond.com/equipment/spiked-armor", "Spiked Armor")</f>
        <v>Spiked Armor</v>
      </c>
      <c r="B291" s="16">
        <v>75</v>
      </c>
      <c r="C291" s="21">
        <v>45</v>
      </c>
      <c r="D291" s="10" t="s">
        <v>157</v>
      </c>
      <c r="E291" s="10" t="s">
        <v>158</v>
      </c>
      <c r="F291" s="10" t="s">
        <v>229</v>
      </c>
    </row>
    <row r="292" spans="1:6" ht="12.75">
      <c r="A292" s="78" t="str">
        <f>HYPERLINK("https://www.dndbeyond.com/equipment/spikes-iron-10", "Spikes Iron (10)")</f>
        <v>Spikes Iron (10)</v>
      </c>
      <c r="B292" s="16">
        <v>1</v>
      </c>
      <c r="C292" s="21">
        <v>5</v>
      </c>
      <c r="D292" s="10"/>
      <c r="E292" s="10" t="s">
        <v>128</v>
      </c>
      <c r="F292" s="10" t="s">
        <v>129</v>
      </c>
    </row>
    <row r="293" spans="1:6" ht="12.75">
      <c r="A293" s="78" t="str">
        <f>HYPERLINK("https://www.dndbeyond.com/equipment/spinel", "Spinel")</f>
        <v>Spinel</v>
      </c>
      <c r="B293" s="79">
        <v>100</v>
      </c>
      <c r="C293" s="21" t="s">
        <v>133</v>
      </c>
      <c r="D293" s="80"/>
      <c r="E293" s="80" t="s">
        <v>134</v>
      </c>
      <c r="F293" s="80"/>
    </row>
    <row r="294" spans="1:6" ht="12.75">
      <c r="A294" s="78" t="str">
        <f>HYPERLINK("https://www.dndbeyond.com/equipment/splint", "Splint")</f>
        <v>Splint</v>
      </c>
      <c r="B294" s="16">
        <v>200</v>
      </c>
      <c r="C294" s="21">
        <v>60</v>
      </c>
      <c r="D294" s="10" t="s">
        <v>230</v>
      </c>
      <c r="E294" s="10" t="s">
        <v>169</v>
      </c>
      <c r="F294" s="10" t="s">
        <v>159</v>
      </c>
    </row>
    <row r="295" spans="1:6" ht="12.75">
      <c r="A295" s="78" t="str">
        <f>HYPERLINK("https://www.dndbeyond.com/equipment/sprig-of-mistletoe", "Sprig Of Mistletoe")</f>
        <v>Sprig Of Mistletoe</v>
      </c>
      <c r="B295" s="16">
        <v>1</v>
      </c>
      <c r="C295" s="21">
        <v>0</v>
      </c>
      <c r="D295" s="10"/>
      <c r="E295" s="10" t="s">
        <v>184</v>
      </c>
      <c r="F295" s="10" t="s">
        <v>129</v>
      </c>
    </row>
    <row r="296" spans="1:6" ht="12.75">
      <c r="A296" s="78" t="str">
        <f>HYPERLINK("https://www.dndbeyond.com/equipment/spyglass", "Spyglass")</f>
        <v>Spyglass</v>
      </c>
      <c r="B296" s="16">
        <v>1000</v>
      </c>
      <c r="C296" s="21">
        <v>1</v>
      </c>
      <c r="D296" s="10"/>
      <c r="E296" s="10" t="s">
        <v>128</v>
      </c>
      <c r="F296" s="10" t="s">
        <v>231</v>
      </c>
    </row>
    <row r="297" spans="1:6" ht="12.75">
      <c r="A297" s="78" t="str">
        <f>HYPERLINK("https://www.dndbeyond.com/equipment/staff", "Staff")</f>
        <v>Staff</v>
      </c>
      <c r="B297" s="16">
        <v>5</v>
      </c>
      <c r="C297" s="21">
        <v>4</v>
      </c>
      <c r="D297" s="10"/>
      <c r="E297" s="10" t="s">
        <v>140</v>
      </c>
      <c r="F297" s="10" t="s">
        <v>129</v>
      </c>
    </row>
    <row r="298" spans="1:6" ht="12.75">
      <c r="A298" s="78" t="str">
        <f>HYPERLINK("https://www.dndbeyond.com/equipment/stake-wooden", "Stake (Wooden)")</f>
        <v>Stake (Wooden)</v>
      </c>
      <c r="B298" s="21" t="s">
        <v>133</v>
      </c>
      <c r="C298" s="21">
        <v>0</v>
      </c>
      <c r="D298" s="10"/>
      <c r="E298" s="10" t="s">
        <v>128</v>
      </c>
      <c r="F298" s="10" t="s">
        <v>129</v>
      </c>
    </row>
    <row r="299" spans="1:6" ht="12.75">
      <c r="A299" s="78" t="str">
        <f>HYPERLINK("https://www.dndbeyond.com/equipment/star-rose-quartz", "Star Rose Quartz")</f>
        <v>Star Rose Quartz</v>
      </c>
      <c r="B299" s="79">
        <v>50</v>
      </c>
      <c r="C299" s="21" t="s">
        <v>133</v>
      </c>
      <c r="D299" s="80"/>
      <c r="E299" s="80" t="s">
        <v>134</v>
      </c>
      <c r="F299" s="80"/>
    </row>
    <row r="300" spans="1:6" ht="12.75">
      <c r="A300" s="78" t="str">
        <f>HYPERLINK("https://www.dndbeyond.com/equipment/star-ruby", "Star Ruby")</f>
        <v>Star Ruby</v>
      </c>
      <c r="B300" s="79">
        <v>1000</v>
      </c>
      <c r="C300" s="21" t="s">
        <v>133</v>
      </c>
      <c r="D300" s="80"/>
      <c r="E300" s="80" t="s">
        <v>134</v>
      </c>
      <c r="F300" s="80"/>
    </row>
    <row r="301" spans="1:6" ht="12.75">
      <c r="A301" s="78" t="str">
        <f>HYPERLINK("https://www.dndbeyond.com/equipment/star-sapphire", "Star Sapphire")</f>
        <v>Star Sapphire</v>
      </c>
      <c r="B301" s="79">
        <v>1000</v>
      </c>
      <c r="C301" s="21" t="s">
        <v>133</v>
      </c>
      <c r="D301" s="80"/>
      <c r="E301" s="80" t="s">
        <v>134</v>
      </c>
      <c r="F301" s="80"/>
    </row>
    <row r="302" spans="1:6" ht="12.75">
      <c r="A302" s="78" t="str">
        <f>HYPERLINK("https://www.dndbeyond.com/equipment/string", "String")</f>
        <v>String</v>
      </c>
      <c r="B302" s="21" t="s">
        <v>133</v>
      </c>
      <c r="C302" s="21">
        <v>0</v>
      </c>
      <c r="D302" s="10"/>
      <c r="E302" s="10" t="s">
        <v>128</v>
      </c>
      <c r="F302" s="10" t="s">
        <v>129</v>
      </c>
    </row>
    <row r="303" spans="1:6" ht="12.75">
      <c r="A303" s="78" t="str">
        <f>HYPERLINK("https://www.dndbeyond.com/equipment/studded-leather", "Studded Leather")</f>
        <v>Studded Leather</v>
      </c>
      <c r="B303" s="16">
        <v>45</v>
      </c>
      <c r="C303" s="21">
        <v>13</v>
      </c>
      <c r="D303" s="10" t="s">
        <v>195</v>
      </c>
      <c r="E303" s="10" t="s">
        <v>204</v>
      </c>
      <c r="F303" s="10" t="s">
        <v>159</v>
      </c>
    </row>
    <row r="304" spans="1:6" ht="12.75">
      <c r="A304" s="78" t="str">
        <f>HYPERLINK("https://www.dndbeyond.com/equipment/tangler-grenade", "Tangler Grenade")</f>
        <v>Tangler Grenade</v>
      </c>
      <c r="B304" s="21" t="s">
        <v>133</v>
      </c>
      <c r="C304" s="21">
        <v>0</v>
      </c>
      <c r="D304" s="10"/>
      <c r="E304" s="10" t="s">
        <v>128</v>
      </c>
      <c r="F304" s="10" t="s">
        <v>232</v>
      </c>
    </row>
    <row r="305" spans="1:6" ht="12.75">
      <c r="A305" s="78" t="str">
        <f>HYPERLINK("https://www.dndbeyond.com/equipment/tantan", "Tantan")</f>
        <v>Tantan</v>
      </c>
      <c r="B305" s="16">
        <v>6</v>
      </c>
      <c r="C305" s="21">
        <v>3</v>
      </c>
      <c r="D305" s="10"/>
      <c r="E305" s="10" t="s">
        <v>132</v>
      </c>
      <c r="F305" s="10" t="s">
        <v>145</v>
      </c>
    </row>
    <row r="306" spans="1:6" ht="12.75">
      <c r="A306" s="78" t="str">
        <f>HYPERLINK("https://www.dndbeyond.com/equipment/tej", "Tej")</f>
        <v>Tej</v>
      </c>
      <c r="B306" s="21" t="s">
        <v>133</v>
      </c>
      <c r="C306" s="21">
        <v>0</v>
      </c>
      <c r="D306" s="10"/>
      <c r="E306" s="10" t="s">
        <v>128</v>
      </c>
      <c r="F306" s="10"/>
    </row>
    <row r="307" spans="1:6" ht="12.75">
      <c r="A307" s="78" t="str">
        <f>HYPERLINK("https://www.dndbeyond.com/equipment/tent-two-person", "Tent, Two-Person")</f>
        <v>Tent, Two-Person</v>
      </c>
      <c r="B307" s="16">
        <v>2</v>
      </c>
      <c r="C307" s="21">
        <v>20</v>
      </c>
      <c r="D307" s="10"/>
      <c r="E307" s="10" t="s">
        <v>128</v>
      </c>
      <c r="F307" s="10" t="s">
        <v>231</v>
      </c>
    </row>
    <row r="308" spans="1:6" ht="12.75">
      <c r="A308" s="78" t="str">
        <f>HYPERLINK("https://www.dndbeyond.com/equipment/thelarr", "Thelarr")</f>
        <v>Thelarr</v>
      </c>
      <c r="B308" s="16">
        <v>2</v>
      </c>
      <c r="C308" s="21">
        <v>1</v>
      </c>
      <c r="D308" s="10"/>
      <c r="E308" s="10" t="s">
        <v>132</v>
      </c>
      <c r="F308" s="10" t="s">
        <v>145</v>
      </c>
    </row>
    <row r="309" spans="1:6" ht="12.75">
      <c r="A309" s="78" t="str">
        <f>HYPERLINK("https://www.dndbeyond.com/equipment/thieves-tools", "Thieves' Tools")</f>
        <v>Thieves' Tools</v>
      </c>
      <c r="B309" s="16">
        <v>25</v>
      </c>
      <c r="C309" s="21">
        <v>1</v>
      </c>
      <c r="D309" s="10"/>
      <c r="E309" s="10" t="s">
        <v>132</v>
      </c>
      <c r="F309" s="10" t="s">
        <v>178</v>
      </c>
    </row>
    <row r="310" spans="1:6" ht="12.75">
      <c r="A310" s="78" t="str">
        <f>HYPERLINK("https://www.dndbeyond.com/equipment/three-dragon-ante-set", "Three-Dragon Ante Set")</f>
        <v>Three-Dragon Ante Set</v>
      </c>
      <c r="B310" s="16">
        <v>1</v>
      </c>
      <c r="C310" s="21">
        <v>0</v>
      </c>
      <c r="D310" s="10"/>
      <c r="E310" s="10" t="s">
        <v>132</v>
      </c>
      <c r="F310" s="10" t="s">
        <v>179</v>
      </c>
    </row>
    <row r="311" spans="1:6" ht="12.75">
      <c r="A311" s="78" t="str">
        <f>HYPERLINK("https://www.dndbeyond.com/equipment/tiger-eye", "Tiger Eye")</f>
        <v>Tiger Eye</v>
      </c>
      <c r="B311" s="79">
        <v>10</v>
      </c>
      <c r="C311" s="21" t="s">
        <v>133</v>
      </c>
      <c r="D311" s="80"/>
      <c r="E311" s="80" t="s">
        <v>134</v>
      </c>
      <c r="F311" s="80"/>
    </row>
    <row r="312" spans="1:6" ht="12.75">
      <c r="A312" s="78" t="str">
        <f>HYPERLINK("https://www.dndbeyond.com/equipment/tinderbox", "Tinderbox")</f>
        <v>Tinderbox</v>
      </c>
      <c r="B312" s="33">
        <v>0.5</v>
      </c>
      <c r="C312" s="21">
        <v>1</v>
      </c>
      <c r="D312" s="10"/>
      <c r="E312" s="10" t="s">
        <v>128</v>
      </c>
      <c r="F312" s="10" t="s">
        <v>178</v>
      </c>
    </row>
    <row r="313" spans="1:6" ht="12.75">
      <c r="A313" s="78" t="str">
        <f>HYPERLINK("https://www.dndbeyond.com/equipment/tinkers-tools", "Tinker's Tools")</f>
        <v>Tinker's Tools</v>
      </c>
      <c r="B313" s="16">
        <v>50</v>
      </c>
      <c r="C313" s="21">
        <v>10</v>
      </c>
      <c r="D313" s="10"/>
      <c r="E313" s="10" t="s">
        <v>132</v>
      </c>
      <c r="F313" s="10" t="s">
        <v>129</v>
      </c>
    </row>
    <row r="314" spans="1:6" ht="12.75">
      <c r="A314" s="78" t="str">
        <f>HYPERLINK("https://www.dndbeyond.com/equipment/tocken", "Tocken")</f>
        <v>Tocken</v>
      </c>
      <c r="B314" s="16">
        <v>6</v>
      </c>
      <c r="C314" s="21">
        <v>3</v>
      </c>
      <c r="D314" s="10"/>
      <c r="E314" s="10" t="s">
        <v>132</v>
      </c>
      <c r="F314" s="10" t="s">
        <v>145</v>
      </c>
    </row>
    <row r="315" spans="1:6" ht="12.75">
      <c r="A315" s="78" t="str">
        <f>HYPERLINK("https://www.dndbeyond.com/equipment/topaz", "Topaz")</f>
        <v>Topaz</v>
      </c>
      <c r="B315" s="79">
        <v>500</v>
      </c>
      <c r="C315" s="21" t="s">
        <v>133</v>
      </c>
      <c r="D315" s="80"/>
      <c r="E315" s="80" t="s">
        <v>134</v>
      </c>
      <c r="F315" s="80"/>
    </row>
    <row r="316" spans="1:6" ht="12.75">
      <c r="A316" s="78" t="str">
        <f>HYPERLINK("https://www.dndbeyond.com/equipment/torch", "Torch")</f>
        <v>Torch</v>
      </c>
      <c r="B316" s="33">
        <v>0.01</v>
      </c>
      <c r="C316" s="21">
        <v>1</v>
      </c>
      <c r="D316" s="10"/>
      <c r="E316" s="10" t="s">
        <v>128</v>
      </c>
      <c r="F316" s="10" t="s">
        <v>233</v>
      </c>
    </row>
    <row r="317" spans="1:6" ht="12.75">
      <c r="A317" s="78" t="str">
        <f>HYPERLINK("https://www.dndbeyond.com/equipment/torpor-ingested", "Torpor (Ingested)")</f>
        <v>Torpor (Ingested)</v>
      </c>
      <c r="B317" s="16">
        <v>600</v>
      </c>
      <c r="C317" s="21">
        <v>0</v>
      </c>
      <c r="D317" s="10"/>
      <c r="E317" s="10" t="s">
        <v>142</v>
      </c>
      <c r="F317" s="10" t="s">
        <v>176</v>
      </c>
    </row>
    <row r="318" spans="1:6" ht="12.75">
      <c r="A318" s="78" t="str">
        <f>HYPERLINK("https://www.dndbeyond.com/equipment/totem", "Totem")</f>
        <v>Totem</v>
      </c>
      <c r="B318" s="16">
        <v>1</v>
      </c>
      <c r="C318" s="21">
        <v>0</v>
      </c>
      <c r="D318" s="10"/>
      <c r="E318" s="10" t="s">
        <v>184</v>
      </c>
      <c r="F318" s="10" t="s">
        <v>129</v>
      </c>
    </row>
    <row r="319" spans="1:6" ht="12.75">
      <c r="A319" s="78" t="str">
        <f>HYPERLINK("https://www.dndbeyond.com/equipment/tourmaline", "Tourmaline")</f>
        <v>Tourmaline</v>
      </c>
      <c r="B319" s="79">
        <v>100</v>
      </c>
      <c r="C319" s="21" t="s">
        <v>133</v>
      </c>
      <c r="D319" s="80"/>
      <c r="E319" s="80" t="s">
        <v>134</v>
      </c>
      <c r="F319" s="80"/>
    </row>
    <row r="320" spans="1:6" ht="12.75">
      <c r="A320" s="78" t="str">
        <f>HYPERLINK("https://www.dndbeyond.com/equipment/trident", "Trident")</f>
        <v>Trident</v>
      </c>
      <c r="B320" s="16">
        <v>5</v>
      </c>
      <c r="C320" s="21">
        <v>4</v>
      </c>
      <c r="D320" s="10" t="s">
        <v>177</v>
      </c>
      <c r="E320" s="10" t="s">
        <v>149</v>
      </c>
      <c r="F320" s="10" t="s">
        <v>141</v>
      </c>
    </row>
    <row r="321" spans="1:6" ht="12.75">
      <c r="A321" s="78" t="str">
        <f>HYPERLINK("https://www.dndbeyond.com/equipment/truth-serum-ingested", "Truth Serum (Ingested)")</f>
        <v>Truth Serum (Ingested)</v>
      </c>
      <c r="B321" s="16">
        <v>150</v>
      </c>
      <c r="C321" s="21">
        <v>0</v>
      </c>
      <c r="D321" s="10"/>
      <c r="E321" s="10" t="s">
        <v>142</v>
      </c>
      <c r="F321" s="10" t="s">
        <v>234</v>
      </c>
    </row>
    <row r="322" spans="1:6" ht="12.75">
      <c r="A322" s="78" t="str">
        <f>HYPERLINK("https://www.dndbeyond.com/equipment/turquoise", "Turquoise")</f>
        <v>Turquoise</v>
      </c>
      <c r="B322" s="79">
        <v>10</v>
      </c>
      <c r="C322" s="21" t="s">
        <v>133</v>
      </c>
      <c r="D322" s="80"/>
      <c r="E322" s="80" t="s">
        <v>134</v>
      </c>
      <c r="F322" s="80"/>
    </row>
    <row r="323" spans="1:6" ht="12.75">
      <c r="A323" s="78" t="str">
        <f>HYPERLINK("https://www.dndbeyond.com/equipment/vestments", "Vestments")</f>
        <v>Vestments</v>
      </c>
      <c r="B323" s="21" t="s">
        <v>133</v>
      </c>
      <c r="C323" s="21">
        <v>0</v>
      </c>
      <c r="D323" s="10"/>
      <c r="E323" s="10" t="s">
        <v>128</v>
      </c>
      <c r="F323" s="10" t="s">
        <v>152</v>
      </c>
    </row>
    <row r="324" spans="1:6" ht="12.75">
      <c r="A324" s="78" t="str">
        <f>HYPERLINK("https://www.dndbeyond.com/equipment/vial", "Vial")</f>
        <v>Vial</v>
      </c>
      <c r="B324" s="16">
        <v>1</v>
      </c>
      <c r="C324" s="21">
        <v>0</v>
      </c>
      <c r="D324" s="10"/>
      <c r="E324" s="10" t="s">
        <v>128</v>
      </c>
      <c r="F324" s="10" t="s">
        <v>144</v>
      </c>
    </row>
    <row r="325" spans="1:6" ht="12.75">
      <c r="A325" s="78" t="str">
        <f>HYPERLINK("https://www.dndbeyond.com/equipment/viol", "Viol")</f>
        <v>Viol</v>
      </c>
      <c r="B325" s="16">
        <v>30</v>
      </c>
      <c r="C325" s="21">
        <v>1</v>
      </c>
      <c r="D325" s="10"/>
      <c r="E325" s="10" t="s">
        <v>132</v>
      </c>
      <c r="F325" s="10" t="s">
        <v>145</v>
      </c>
    </row>
    <row r="326" spans="1:6" ht="12.75">
      <c r="A326" s="78" t="str">
        <f>HYPERLINK("https://www.dndbeyond.com/equipment/wagon", "Wagon")</f>
        <v>Wagon</v>
      </c>
      <c r="B326" s="16">
        <v>25</v>
      </c>
      <c r="C326" s="21">
        <v>400</v>
      </c>
      <c r="D326" s="10"/>
      <c r="E326" s="10" t="s">
        <v>166</v>
      </c>
      <c r="F326" s="10" t="s">
        <v>151</v>
      </c>
    </row>
    <row r="327" spans="1:6" ht="12.75">
      <c r="A327" s="78" t="str">
        <f>HYPERLINK("https://www.dndbeyond.com/equipment/wand", "Wand")</f>
        <v>Wand</v>
      </c>
      <c r="B327" s="16">
        <v>10</v>
      </c>
      <c r="C327" s="21">
        <v>1</v>
      </c>
      <c r="D327" s="10"/>
      <c r="E327" s="10" t="s">
        <v>140</v>
      </c>
      <c r="F327" s="10" t="s">
        <v>129</v>
      </c>
    </row>
    <row r="328" spans="1:6" ht="12.75">
      <c r="A328" s="78" t="str">
        <f>HYPERLINK("https://www.dndbeyond.com/equipment/war-pick", "War Pick")</f>
        <v>War Pick</v>
      </c>
      <c r="B328" s="16">
        <v>5</v>
      </c>
      <c r="C328" s="21">
        <v>2</v>
      </c>
      <c r="D328" s="10" t="s">
        <v>177</v>
      </c>
      <c r="E328" s="10" t="s">
        <v>149</v>
      </c>
      <c r="F328" s="10" t="s">
        <v>141</v>
      </c>
    </row>
    <row r="329" spans="1:6" ht="12.75">
      <c r="A329" s="78" t="str">
        <f>HYPERLINK("https://www.dndbeyond.com/equipment/wargong", "Wargong")</f>
        <v>Wargong</v>
      </c>
      <c r="B329" s="16">
        <v>30</v>
      </c>
      <c r="C329" s="21">
        <v>6</v>
      </c>
      <c r="D329" s="10"/>
      <c r="E329" s="10" t="s">
        <v>132</v>
      </c>
      <c r="F329" s="10" t="s">
        <v>145</v>
      </c>
    </row>
    <row r="330" spans="1:6" ht="12.75">
      <c r="A330" s="78" t="str">
        <f>HYPERLINK("https://www.dndbeyond.com/equipment/warhammer", "Warhammer")</f>
        <v>Warhammer</v>
      </c>
      <c r="B330" s="16">
        <v>15</v>
      </c>
      <c r="C330" s="21">
        <v>2</v>
      </c>
      <c r="D330" s="10" t="s">
        <v>155</v>
      </c>
      <c r="E330" s="10" t="s">
        <v>149</v>
      </c>
      <c r="F330" s="10" t="s">
        <v>141</v>
      </c>
    </row>
    <row r="331" spans="1:6" ht="12.75">
      <c r="A331" s="78" t="str">
        <f>HYPERLINK("https://www.dndbeyond.com/equipment/warhorse", "Warhorse")</f>
        <v>Warhorse</v>
      </c>
      <c r="B331" s="16">
        <v>400</v>
      </c>
      <c r="C331" s="21">
        <v>0</v>
      </c>
      <c r="D331" s="10"/>
      <c r="E331" s="10" t="s">
        <v>163</v>
      </c>
      <c r="F331" s="10" t="s">
        <v>235</v>
      </c>
    </row>
    <row r="332" spans="1:6" ht="12.75">
      <c r="A332" s="78" t="str">
        <f>HYPERLINK("https://www.dndbeyond.com/equipment/warship", "Warship")</f>
        <v>Warship</v>
      </c>
      <c r="B332" s="16">
        <v>25000</v>
      </c>
      <c r="C332" s="21">
        <v>0</v>
      </c>
      <c r="D332" s="10"/>
      <c r="E332" s="10" t="s">
        <v>189</v>
      </c>
      <c r="F332" s="10" t="s">
        <v>236</v>
      </c>
    </row>
    <row r="333" spans="1:6" ht="12.75">
      <c r="A333" s="78" t="str">
        <f>HYPERLINK("https://www.dndbeyond.com/equipment/waterskin", "Waterskin")</f>
        <v>Waterskin</v>
      </c>
      <c r="B333" s="33">
        <v>0.2</v>
      </c>
      <c r="C333" s="21">
        <v>5</v>
      </c>
      <c r="D333" s="10"/>
      <c r="E333" s="10" t="s">
        <v>128</v>
      </c>
      <c r="F333" s="10" t="s">
        <v>144</v>
      </c>
    </row>
    <row r="334" spans="1:6" ht="12.75">
      <c r="A334" s="78" t="str">
        <f>HYPERLINK("https://www.dndbeyond.com/equipment/weavers-tools", "Weaver's Tools")</f>
        <v>Weaver's Tools</v>
      </c>
      <c r="B334" s="16">
        <v>1</v>
      </c>
      <c r="C334" s="21">
        <v>5</v>
      </c>
      <c r="D334" s="10"/>
      <c r="E334" s="10" t="s">
        <v>132</v>
      </c>
      <c r="F334" s="10" t="s">
        <v>129</v>
      </c>
    </row>
    <row r="335" spans="1:6" ht="12.75">
      <c r="A335" s="78" t="str">
        <f>HYPERLINK("https://www.dndbeyond.com/equipment/whetstone", "Whetstone")</f>
        <v>Whetstone</v>
      </c>
      <c r="B335" s="33">
        <v>0.01</v>
      </c>
      <c r="C335" s="21">
        <v>1</v>
      </c>
      <c r="D335" s="10"/>
      <c r="E335" s="10" t="s">
        <v>128</v>
      </c>
      <c r="F335" s="10" t="s">
        <v>129</v>
      </c>
    </row>
    <row r="336" spans="1:6" ht="12.75">
      <c r="A336" s="78" t="str">
        <f>HYPERLINK("https://www.dndbeyond.com/equipment/whip", "Whip")</f>
        <v>Whip</v>
      </c>
      <c r="B336" s="16">
        <v>2</v>
      </c>
      <c r="C336" s="21">
        <v>3</v>
      </c>
      <c r="D336" s="10" t="s">
        <v>148</v>
      </c>
      <c r="E336" s="10" t="s">
        <v>149</v>
      </c>
      <c r="F336" s="10" t="s">
        <v>191</v>
      </c>
    </row>
    <row r="337" spans="1:6" ht="12.75">
      <c r="A337" s="78" t="str">
        <f>HYPERLINK("https://www.dndbeyond.com/equipment/woodcarvers-tools", "Woodcarver's Tools")</f>
        <v>Woodcarver's Tools</v>
      </c>
      <c r="B337" s="16">
        <v>1</v>
      </c>
      <c r="C337" s="21">
        <v>5</v>
      </c>
      <c r="D337" s="10"/>
      <c r="E337" s="10" t="s">
        <v>132</v>
      </c>
      <c r="F337" s="10" t="s">
        <v>129</v>
      </c>
    </row>
    <row r="338" spans="1:6" ht="12.75">
      <c r="A338" s="78" t="str">
        <f>HYPERLINK("https://www.dndbeyond.com/equipment/wooden-staff", "Wooden Staff")</f>
        <v>Wooden Staff</v>
      </c>
      <c r="B338" s="16">
        <v>5</v>
      </c>
      <c r="C338" s="21">
        <v>4</v>
      </c>
      <c r="D338" s="10"/>
      <c r="E338" s="10" t="s">
        <v>184</v>
      </c>
      <c r="F338" s="10" t="s">
        <v>129</v>
      </c>
    </row>
    <row r="339" spans="1:6" ht="12.75">
      <c r="A339" s="78" t="str">
        <f>HYPERLINK("https://www.dndbeyond.com/equipment/wyvern-poison-injury", "Wyvern Poison (Injury)")</f>
        <v>Wyvern Poison (Injury)</v>
      </c>
      <c r="B339" s="16">
        <v>1200</v>
      </c>
      <c r="C339" s="21">
        <v>0</v>
      </c>
      <c r="D339" s="10"/>
      <c r="E339" s="10" t="s">
        <v>142</v>
      </c>
      <c r="F339" s="10" t="s">
        <v>176</v>
      </c>
    </row>
    <row r="340" spans="1:6" ht="12.75">
      <c r="A340" s="78" t="str">
        <f>HYPERLINK("https://www.dndbeyond.com/equipment/yarting", "Yarting")</f>
        <v>Yarting</v>
      </c>
      <c r="B340" s="16">
        <v>35</v>
      </c>
      <c r="C340" s="21">
        <v>2</v>
      </c>
      <c r="D340" s="10"/>
      <c r="E340" s="10" t="s">
        <v>132</v>
      </c>
      <c r="F340" s="10" t="s">
        <v>145</v>
      </c>
    </row>
    <row r="341" spans="1:6" ht="12.75">
      <c r="A341" s="78" t="str">
        <f>HYPERLINK("https://www.dndbeyond.com/equipment/yellow-sapphire", "Yellow Sapphire")</f>
        <v>Yellow Sapphire</v>
      </c>
      <c r="B341" s="79">
        <v>1000</v>
      </c>
      <c r="C341" s="21" t="s">
        <v>133</v>
      </c>
      <c r="D341" s="80"/>
      <c r="E341" s="80" t="s">
        <v>134</v>
      </c>
      <c r="F341" s="80"/>
    </row>
    <row r="342" spans="1:6" ht="12.75">
      <c r="A342" s="78" t="str">
        <f>HYPERLINK("https://www.dndbeyond.com/equipment/yew-wand", "Yew Wand")</f>
        <v>Yew Wand</v>
      </c>
      <c r="B342" s="16">
        <v>10</v>
      </c>
      <c r="C342" s="21">
        <v>1</v>
      </c>
      <c r="D342" s="10"/>
      <c r="E342" s="10" t="s">
        <v>184</v>
      </c>
      <c r="F342" s="10" t="s">
        <v>129</v>
      </c>
    </row>
    <row r="343" spans="1:6" ht="12.75">
      <c r="A343" s="78" t="str">
        <f>HYPERLINK("https://www.dndbeyond.com/equipment/yklwa", "Yklwa")</f>
        <v>Yklwa</v>
      </c>
      <c r="B343" s="16">
        <v>1</v>
      </c>
      <c r="C343" s="21">
        <v>2</v>
      </c>
      <c r="D343" s="10" t="s">
        <v>177</v>
      </c>
      <c r="E343" s="10" t="s">
        <v>174</v>
      </c>
      <c r="F343" s="10" t="s">
        <v>141</v>
      </c>
    </row>
    <row r="344" spans="1:6" ht="12.75">
      <c r="A344" s="78" t="str">
        <f>HYPERLINK("https://www.dndbeyond.com/equipment/zircon", "Zircon")</f>
        <v>Zircon</v>
      </c>
      <c r="B344" s="79">
        <v>10</v>
      </c>
      <c r="C344" s="21" t="s">
        <v>133</v>
      </c>
      <c r="D344" s="80"/>
      <c r="E344" s="80" t="s">
        <v>134</v>
      </c>
      <c r="F344" s="80"/>
    </row>
    <row r="345" spans="1:6" ht="12.75">
      <c r="A345" s="78" t="str">
        <f>HYPERLINK("https://www.dndbeyond.com/equipment/zulkoon", "Zulkoon")</f>
        <v>Zulkoon</v>
      </c>
      <c r="B345" s="16">
        <v>30</v>
      </c>
      <c r="C345" s="21">
        <v>6</v>
      </c>
      <c r="D345" s="10"/>
      <c r="E345" s="10" t="s">
        <v>132</v>
      </c>
      <c r="F345" s="10" t="s">
        <v>145</v>
      </c>
    </row>
  </sheetData>
  <autoFilter ref="A1:F34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2"/>
  <sheetViews>
    <sheetView workbookViewId="0"/>
  </sheetViews>
  <sheetFormatPr defaultColWidth="14.42578125" defaultRowHeight="15.75" customHeight="1"/>
  <cols>
    <col min="1" max="1" width="36.140625" customWidth="1"/>
    <col min="2" max="2" width="7.5703125" customWidth="1"/>
    <col min="3" max="3" width="9" customWidth="1"/>
    <col min="4" max="4" width="5.7109375" customWidth="1"/>
    <col min="5" max="5" width="23.28515625" customWidth="1"/>
  </cols>
  <sheetData>
    <row r="1" spans="1:7" ht="15.75" customHeight="1">
      <c r="A1" s="81" t="s">
        <v>0</v>
      </c>
      <c r="B1" s="81" t="s">
        <v>237</v>
      </c>
      <c r="C1" s="81" t="s">
        <v>6</v>
      </c>
      <c r="D1" s="81" t="s">
        <v>7</v>
      </c>
      <c r="E1" s="81" t="s">
        <v>238</v>
      </c>
      <c r="F1" s="65" t="s">
        <v>239</v>
      </c>
      <c r="G1" s="71" t="s">
        <v>240</v>
      </c>
    </row>
    <row r="2" spans="1:7" ht="15.75" customHeight="1">
      <c r="A2" s="82" t="s">
        <v>241</v>
      </c>
      <c r="B2" s="83">
        <v>3</v>
      </c>
      <c r="C2" s="83" t="s">
        <v>242</v>
      </c>
      <c r="D2" s="83">
        <v>7</v>
      </c>
      <c r="E2" s="83" t="s">
        <v>243</v>
      </c>
    </row>
    <row r="3" spans="1:7" ht="15.75" customHeight="1">
      <c r="A3" s="82" t="s">
        <v>244</v>
      </c>
      <c r="B3" s="83">
        <v>2</v>
      </c>
      <c r="C3" s="83" t="s">
        <v>242</v>
      </c>
      <c r="D3" s="83">
        <v>7</v>
      </c>
      <c r="E3" s="83" t="s">
        <v>243</v>
      </c>
    </row>
    <row r="4" spans="1:7" ht="15.75" customHeight="1">
      <c r="A4" s="82" t="s">
        <v>245</v>
      </c>
      <c r="B4" s="83">
        <v>8</v>
      </c>
      <c r="C4" s="83" t="s">
        <v>242</v>
      </c>
      <c r="D4" s="83">
        <v>7</v>
      </c>
      <c r="E4" s="83" t="s">
        <v>243</v>
      </c>
    </row>
    <row r="5" spans="1:7" ht="15.75" customHeight="1">
      <c r="A5" s="82" t="s">
        <v>246</v>
      </c>
      <c r="B5" s="83">
        <v>8</v>
      </c>
      <c r="C5" s="83" t="s">
        <v>242</v>
      </c>
      <c r="D5" s="83">
        <v>7</v>
      </c>
      <c r="E5" s="83" t="s">
        <v>243</v>
      </c>
    </row>
    <row r="6" spans="1:7" ht="15.75" customHeight="1">
      <c r="A6" s="82" t="s">
        <v>247</v>
      </c>
      <c r="B6" s="83">
        <v>12</v>
      </c>
      <c r="C6" s="83" t="s">
        <v>242</v>
      </c>
      <c r="D6" s="83">
        <v>7</v>
      </c>
      <c r="E6" s="83" t="s">
        <v>243</v>
      </c>
    </row>
    <row r="7" spans="1:7" ht="15.75" customHeight="1">
      <c r="A7" s="82" t="s">
        <v>248</v>
      </c>
      <c r="B7" s="83">
        <v>10</v>
      </c>
      <c r="C7" s="83" t="s">
        <v>242</v>
      </c>
      <c r="D7" s="83">
        <v>8</v>
      </c>
      <c r="E7" s="83" t="s">
        <v>243</v>
      </c>
    </row>
    <row r="8" spans="1:7" ht="15.75" customHeight="1">
      <c r="A8" s="82" t="s">
        <v>249</v>
      </c>
      <c r="B8" s="84"/>
      <c r="C8" s="83" t="s">
        <v>242</v>
      </c>
      <c r="D8" s="83">
        <v>8</v>
      </c>
      <c r="E8" s="83" t="s">
        <v>243</v>
      </c>
    </row>
    <row r="9" spans="1:7" ht="15.75" customHeight="1">
      <c r="A9" s="82" t="s">
        <v>250</v>
      </c>
      <c r="B9" s="83">
        <v>10</v>
      </c>
      <c r="C9" s="83" t="s">
        <v>242</v>
      </c>
      <c r="D9" s="83">
        <v>8</v>
      </c>
      <c r="E9" s="83" t="s">
        <v>243</v>
      </c>
    </row>
    <row r="10" spans="1:7" ht="15.75" customHeight="1">
      <c r="A10" s="82" t="s">
        <v>251</v>
      </c>
      <c r="B10" s="83">
        <v>25</v>
      </c>
      <c r="C10" s="83" t="s">
        <v>242</v>
      </c>
      <c r="D10" s="83">
        <v>8</v>
      </c>
      <c r="E10" s="83" t="s">
        <v>243</v>
      </c>
    </row>
    <row r="11" spans="1:7" ht="15.75" customHeight="1">
      <c r="A11" s="82" t="s">
        <v>252</v>
      </c>
      <c r="B11" s="83">
        <v>10</v>
      </c>
      <c r="C11" s="83" t="s">
        <v>242</v>
      </c>
      <c r="D11" s="83">
        <v>9</v>
      </c>
      <c r="E11" s="83" t="s">
        <v>243</v>
      </c>
    </row>
    <row r="12" spans="1:7" ht="15.75" customHeight="1">
      <c r="A12" s="82" t="s">
        <v>253</v>
      </c>
      <c r="B12" s="83">
        <v>1</v>
      </c>
      <c r="C12" s="83" t="s">
        <v>242</v>
      </c>
      <c r="D12" s="83">
        <v>9</v>
      </c>
      <c r="E12" s="83" t="s">
        <v>243</v>
      </c>
    </row>
    <row r="13" spans="1:7" ht="15.75" customHeight="1">
      <c r="A13" s="82" t="s">
        <v>254</v>
      </c>
      <c r="B13" s="83">
        <v>3</v>
      </c>
      <c r="C13" s="83" t="s">
        <v>242</v>
      </c>
      <c r="D13" s="83">
        <v>9</v>
      </c>
      <c r="E13" s="83" t="s">
        <v>243</v>
      </c>
    </row>
    <row r="14" spans="1:7" ht="15.75" customHeight="1">
      <c r="A14" s="82" t="s">
        <v>255</v>
      </c>
      <c r="B14" s="83">
        <v>12</v>
      </c>
      <c r="C14" s="83" t="s">
        <v>242</v>
      </c>
      <c r="D14" s="83">
        <v>9</v>
      </c>
      <c r="E14" s="83" t="s">
        <v>243</v>
      </c>
    </row>
    <row r="15" spans="1:7" ht="15.75" customHeight="1">
      <c r="A15" s="82" t="s">
        <v>256</v>
      </c>
      <c r="B15" s="83">
        <v>4</v>
      </c>
      <c r="C15" s="83" t="s">
        <v>242</v>
      </c>
      <c r="D15" s="83">
        <v>10</v>
      </c>
      <c r="E15" s="83" t="s">
        <v>243</v>
      </c>
    </row>
    <row r="16" spans="1:7" ht="15.75" customHeight="1">
      <c r="A16" s="82" t="s">
        <v>257</v>
      </c>
      <c r="B16" s="83">
        <v>7</v>
      </c>
      <c r="C16" s="83" t="s">
        <v>242</v>
      </c>
      <c r="D16" s="83">
        <v>10</v>
      </c>
      <c r="E16" s="83" t="s">
        <v>243</v>
      </c>
    </row>
    <row r="17" spans="1:5" ht="15.75" customHeight="1">
      <c r="A17" s="82" t="s">
        <v>258</v>
      </c>
      <c r="B17" s="83">
        <v>12</v>
      </c>
      <c r="C17" s="83" t="s">
        <v>242</v>
      </c>
      <c r="D17" s="83">
        <v>10</v>
      </c>
      <c r="E17" s="83" t="s">
        <v>243</v>
      </c>
    </row>
    <row r="18" spans="1:5" ht="15.75" customHeight="1">
      <c r="A18" s="82" t="s">
        <v>259</v>
      </c>
      <c r="B18" s="83">
        <v>0.2</v>
      </c>
      <c r="C18" s="83" t="s">
        <v>242</v>
      </c>
      <c r="D18" s="83">
        <v>10</v>
      </c>
      <c r="E18" s="83" t="s">
        <v>243</v>
      </c>
    </row>
    <row r="19" spans="1:5" ht="15.75" customHeight="1">
      <c r="A19" s="82" t="s">
        <v>260</v>
      </c>
      <c r="B19" s="83">
        <v>0.4</v>
      </c>
      <c r="C19" s="83" t="s">
        <v>242</v>
      </c>
      <c r="D19" s="83">
        <v>10</v>
      </c>
      <c r="E19" s="83" t="s">
        <v>243</v>
      </c>
    </row>
    <row r="20" spans="1:5" ht="15.75" customHeight="1">
      <c r="A20" s="82" t="s">
        <v>261</v>
      </c>
      <c r="B20" s="83">
        <v>0.5</v>
      </c>
      <c r="C20" s="83" t="s">
        <v>242</v>
      </c>
      <c r="D20" s="83">
        <v>10</v>
      </c>
      <c r="E20" s="83" t="s">
        <v>243</v>
      </c>
    </row>
    <row r="21" spans="1:5" ht="15.75" customHeight="1">
      <c r="A21" s="82" t="s">
        <v>262</v>
      </c>
      <c r="B21" s="83">
        <v>0.6</v>
      </c>
      <c r="C21" s="83" t="s">
        <v>242</v>
      </c>
      <c r="D21" s="83">
        <v>10</v>
      </c>
      <c r="E21" s="83" t="s">
        <v>243</v>
      </c>
    </row>
    <row r="22" spans="1:5" ht="15.75" customHeight="1">
      <c r="A22" s="82" t="s">
        <v>263</v>
      </c>
      <c r="B22" s="83">
        <v>0.8</v>
      </c>
      <c r="C22" s="83" t="s">
        <v>242</v>
      </c>
      <c r="D22" s="83">
        <v>10</v>
      </c>
      <c r="E22" s="83" t="s">
        <v>243</v>
      </c>
    </row>
    <row r="23" spans="1:5" ht="15.75" customHeight="1">
      <c r="A23" s="82" t="s">
        <v>264</v>
      </c>
      <c r="B23" s="83">
        <v>3</v>
      </c>
      <c r="C23" s="83" t="s">
        <v>242</v>
      </c>
      <c r="D23" s="83">
        <v>10</v>
      </c>
      <c r="E23" s="83" t="s">
        <v>243</v>
      </c>
    </row>
    <row r="24" spans="1:5" ht="15.75" customHeight="1">
      <c r="A24" s="82" t="s">
        <v>265</v>
      </c>
      <c r="B24" s="83">
        <v>0.1</v>
      </c>
      <c r="C24" s="83" t="s">
        <v>242</v>
      </c>
      <c r="D24" s="83">
        <v>10</v>
      </c>
      <c r="E24" s="83" t="s">
        <v>243</v>
      </c>
    </row>
    <row r="25" spans="1:5" ht="15.75" customHeight="1">
      <c r="A25" s="82" t="s">
        <v>266</v>
      </c>
      <c r="B25" s="84"/>
      <c r="C25" s="83" t="s">
        <v>242</v>
      </c>
      <c r="D25" s="83">
        <v>11</v>
      </c>
      <c r="E25" s="83" t="s">
        <v>243</v>
      </c>
    </row>
    <row r="26" spans="1:5" ht="15.75" customHeight="1">
      <c r="A26" s="82" t="s">
        <v>267</v>
      </c>
      <c r="B26" s="83">
        <v>0.1</v>
      </c>
      <c r="C26" s="83" t="s">
        <v>242</v>
      </c>
      <c r="D26" s="83">
        <v>11</v>
      </c>
      <c r="E26" s="83" t="s">
        <v>243</v>
      </c>
    </row>
    <row r="27" spans="1:5" ht="15.75" customHeight="1">
      <c r="A27" s="82" t="s">
        <v>268</v>
      </c>
      <c r="B27" s="83">
        <v>0.3</v>
      </c>
      <c r="C27" s="83" t="s">
        <v>242</v>
      </c>
      <c r="D27" s="83">
        <v>11</v>
      </c>
      <c r="E27" s="83" t="s">
        <v>243</v>
      </c>
    </row>
    <row r="28" spans="1:5" ht="15.75" customHeight="1">
      <c r="A28" s="82" t="s">
        <v>269</v>
      </c>
      <c r="B28" s="83">
        <v>5</v>
      </c>
      <c r="C28" s="83" t="s">
        <v>242</v>
      </c>
      <c r="D28" s="83">
        <v>11</v>
      </c>
      <c r="E28" s="83" t="s">
        <v>243</v>
      </c>
    </row>
    <row r="29" spans="1:5" ht="15.75" customHeight="1">
      <c r="A29" s="82" t="s">
        <v>270</v>
      </c>
      <c r="B29" s="83">
        <v>8</v>
      </c>
      <c r="C29" s="83" t="s">
        <v>242</v>
      </c>
      <c r="D29" s="83">
        <v>11</v>
      </c>
      <c r="E29" s="83" t="s">
        <v>243</v>
      </c>
    </row>
    <row r="30" spans="1:5" ht="15.75" customHeight="1">
      <c r="A30" s="82" t="s">
        <v>271</v>
      </c>
      <c r="B30" s="83">
        <v>2</v>
      </c>
      <c r="C30" s="83" t="s">
        <v>242</v>
      </c>
      <c r="D30" s="83">
        <v>11</v>
      </c>
      <c r="E30" s="83" t="s">
        <v>243</v>
      </c>
    </row>
    <row r="31" spans="1:5" ht="15.75" customHeight="1">
      <c r="A31" s="82" t="s">
        <v>272</v>
      </c>
      <c r="B31" s="83">
        <v>15</v>
      </c>
      <c r="C31" s="83" t="s">
        <v>242</v>
      </c>
      <c r="D31" s="83">
        <v>11</v>
      </c>
      <c r="E31" s="83" t="s">
        <v>243</v>
      </c>
    </row>
    <row r="32" spans="1:5" ht="15.75" customHeight="1">
      <c r="A32" s="82" t="s">
        <v>273</v>
      </c>
      <c r="B32" s="83">
        <v>1</v>
      </c>
      <c r="C32" s="83" t="s">
        <v>242</v>
      </c>
      <c r="D32" s="83">
        <v>12</v>
      </c>
      <c r="E32" s="83" t="s">
        <v>243</v>
      </c>
    </row>
    <row r="33" spans="1:5" ht="15.75" customHeight="1">
      <c r="A33" s="82" t="s">
        <v>274</v>
      </c>
      <c r="B33" s="83">
        <v>0.1</v>
      </c>
      <c r="C33" s="83" t="s">
        <v>242</v>
      </c>
      <c r="D33" s="83">
        <v>13</v>
      </c>
      <c r="E33" s="83" t="s">
        <v>275</v>
      </c>
    </row>
    <row r="34" spans="1:5" ht="15.75" customHeight="1">
      <c r="A34" s="82" t="s">
        <v>276</v>
      </c>
      <c r="B34" s="83">
        <v>0.1</v>
      </c>
      <c r="C34" s="83" t="s">
        <v>242</v>
      </c>
      <c r="D34" s="83">
        <v>13</v>
      </c>
      <c r="E34" s="83" t="s">
        <v>275</v>
      </c>
    </row>
    <row r="35" spans="1:5" ht="15.75" customHeight="1">
      <c r="A35" s="82" t="s">
        <v>277</v>
      </c>
      <c r="B35" s="83">
        <v>0.05</v>
      </c>
      <c r="C35" s="83" t="s">
        <v>242</v>
      </c>
      <c r="D35" s="83">
        <v>13</v>
      </c>
      <c r="E35" s="83" t="s">
        <v>275</v>
      </c>
    </row>
    <row r="36" spans="1:5" ht="15.75" customHeight="1">
      <c r="A36" s="82" t="s">
        <v>278</v>
      </c>
      <c r="B36" s="83">
        <v>10</v>
      </c>
      <c r="C36" s="83" t="s">
        <v>242</v>
      </c>
      <c r="D36" s="83">
        <v>13</v>
      </c>
      <c r="E36" s="83" t="s">
        <v>275</v>
      </c>
    </row>
    <row r="37" spans="1:5" ht="12.75">
      <c r="A37" s="82" t="s">
        <v>279</v>
      </c>
      <c r="B37" s="83">
        <v>5</v>
      </c>
      <c r="C37" s="83" t="s">
        <v>242</v>
      </c>
      <c r="D37" s="83">
        <v>13</v>
      </c>
      <c r="E37" s="83" t="s">
        <v>275</v>
      </c>
    </row>
    <row r="38" spans="1:5" ht="12.75">
      <c r="A38" s="82" t="s">
        <v>280</v>
      </c>
      <c r="B38" s="83">
        <v>3</v>
      </c>
      <c r="C38" s="83" t="s">
        <v>242</v>
      </c>
      <c r="D38" s="83">
        <v>13</v>
      </c>
      <c r="E38" s="83" t="s">
        <v>275</v>
      </c>
    </row>
    <row r="39" spans="1:5" ht="12.75">
      <c r="A39" s="82" t="s">
        <v>281</v>
      </c>
      <c r="B39" s="83">
        <v>0.3</v>
      </c>
      <c r="C39" s="83" t="s">
        <v>242</v>
      </c>
      <c r="D39" s="83">
        <v>13</v>
      </c>
      <c r="E39" s="83" t="s">
        <v>275</v>
      </c>
    </row>
    <row r="40" spans="1:5" ht="12.75">
      <c r="A40" s="82" t="s">
        <v>282</v>
      </c>
      <c r="B40" s="83">
        <v>2</v>
      </c>
      <c r="C40" s="83" t="s">
        <v>242</v>
      </c>
      <c r="D40" s="83">
        <v>14</v>
      </c>
      <c r="E40" s="83" t="s">
        <v>275</v>
      </c>
    </row>
    <row r="41" spans="1:5" ht="12.75">
      <c r="A41" s="82" t="s">
        <v>283</v>
      </c>
      <c r="B41" s="83">
        <v>5</v>
      </c>
      <c r="C41" s="83" t="s">
        <v>242</v>
      </c>
      <c r="D41" s="83">
        <v>14</v>
      </c>
      <c r="E41" s="83" t="s">
        <v>275</v>
      </c>
    </row>
    <row r="42" spans="1:5" ht="12.75">
      <c r="A42" s="82" t="s">
        <v>284</v>
      </c>
      <c r="B42" s="83">
        <v>20</v>
      </c>
      <c r="C42" s="83" t="s">
        <v>242</v>
      </c>
      <c r="D42" s="83">
        <v>14</v>
      </c>
      <c r="E42" s="83" t="s">
        <v>275</v>
      </c>
    </row>
    <row r="43" spans="1:5" ht="12.75">
      <c r="A43" s="82" t="s">
        <v>285</v>
      </c>
      <c r="B43" s="83">
        <v>30</v>
      </c>
      <c r="C43" s="83" t="s">
        <v>242</v>
      </c>
      <c r="D43" s="83">
        <v>14</v>
      </c>
      <c r="E43" s="83" t="s">
        <v>275</v>
      </c>
    </row>
    <row r="44" spans="1:5" ht="12.75">
      <c r="A44" s="82" t="s">
        <v>286</v>
      </c>
      <c r="B44" s="83">
        <v>40</v>
      </c>
      <c r="C44" s="83" t="s">
        <v>242</v>
      </c>
      <c r="D44" s="83">
        <v>14</v>
      </c>
      <c r="E44" s="83" t="s">
        <v>275</v>
      </c>
    </row>
    <row r="45" spans="1:5" ht="12.75">
      <c r="A45" s="82" t="s">
        <v>287</v>
      </c>
      <c r="B45" s="84"/>
      <c r="C45" s="83" t="s">
        <v>242</v>
      </c>
      <c r="D45" s="83">
        <v>15</v>
      </c>
      <c r="E45" s="83" t="s">
        <v>275</v>
      </c>
    </row>
    <row r="46" spans="1:5" ht="12.75">
      <c r="A46" s="82" t="s">
        <v>288</v>
      </c>
      <c r="B46" s="83">
        <v>5</v>
      </c>
      <c r="C46" s="83" t="s">
        <v>242</v>
      </c>
      <c r="D46" s="83">
        <v>15</v>
      </c>
      <c r="E46" s="83" t="s">
        <v>275</v>
      </c>
    </row>
    <row r="47" spans="1:5" ht="12.75">
      <c r="A47" s="82" t="s">
        <v>289</v>
      </c>
      <c r="B47" s="83">
        <v>10</v>
      </c>
      <c r="C47" s="83" t="s">
        <v>242</v>
      </c>
      <c r="D47" s="83">
        <v>15</v>
      </c>
      <c r="E47" s="83" t="s">
        <v>275</v>
      </c>
    </row>
    <row r="48" spans="1:5" ht="12.75">
      <c r="A48" s="82" t="s">
        <v>290</v>
      </c>
      <c r="B48" s="83">
        <v>20</v>
      </c>
      <c r="C48" s="83" t="s">
        <v>242</v>
      </c>
      <c r="D48" s="83">
        <v>15</v>
      </c>
      <c r="E48" s="83" t="s">
        <v>275</v>
      </c>
    </row>
    <row r="49" spans="1:5" ht="12.75">
      <c r="A49" s="82" t="s">
        <v>291</v>
      </c>
      <c r="B49" s="83">
        <v>5</v>
      </c>
      <c r="C49" s="83" t="s">
        <v>242</v>
      </c>
      <c r="D49" s="83">
        <v>15</v>
      </c>
      <c r="E49" s="83" t="s">
        <v>275</v>
      </c>
    </row>
    <row r="50" spans="1:5" ht="12.75">
      <c r="A50" s="82" t="s">
        <v>292</v>
      </c>
      <c r="B50" s="83">
        <v>3</v>
      </c>
      <c r="C50" s="83" t="s">
        <v>242</v>
      </c>
      <c r="D50" s="83">
        <v>16</v>
      </c>
      <c r="E50" s="83" t="s">
        <v>275</v>
      </c>
    </row>
    <row r="51" spans="1:5" ht="12.75">
      <c r="A51" s="82" t="s">
        <v>293</v>
      </c>
      <c r="B51" s="83">
        <v>10</v>
      </c>
      <c r="C51" s="83" t="s">
        <v>242</v>
      </c>
      <c r="D51" s="83">
        <v>16</v>
      </c>
      <c r="E51" s="83" t="s">
        <v>275</v>
      </c>
    </row>
    <row r="52" spans="1:5" ht="12.75">
      <c r="A52" s="82" t="s">
        <v>294</v>
      </c>
      <c r="B52" s="83">
        <v>10</v>
      </c>
      <c r="C52" s="83" t="s">
        <v>242</v>
      </c>
      <c r="D52" s="83">
        <v>16</v>
      </c>
      <c r="E52" s="83" t="s">
        <v>275</v>
      </c>
    </row>
    <row r="53" spans="1:5" ht="12.75">
      <c r="A53" s="82" t="s">
        <v>295</v>
      </c>
      <c r="B53" s="83">
        <v>10</v>
      </c>
      <c r="C53" s="83" t="s">
        <v>242</v>
      </c>
      <c r="D53" s="83">
        <v>16</v>
      </c>
      <c r="E53" s="83" t="s">
        <v>275</v>
      </c>
    </row>
    <row r="54" spans="1:5" ht="12.75">
      <c r="A54" s="82" t="s">
        <v>296</v>
      </c>
      <c r="B54" s="83">
        <v>12</v>
      </c>
      <c r="C54" s="83" t="s">
        <v>242</v>
      </c>
      <c r="D54" s="83">
        <v>16</v>
      </c>
      <c r="E54" s="83" t="s">
        <v>275</v>
      </c>
    </row>
    <row r="55" spans="1:5" ht="12.75">
      <c r="A55" s="82" t="s">
        <v>297</v>
      </c>
      <c r="B55" s="83">
        <v>3</v>
      </c>
      <c r="C55" s="83" t="s">
        <v>242</v>
      </c>
      <c r="D55" s="83">
        <v>16</v>
      </c>
      <c r="E55" s="83" t="s">
        <v>275</v>
      </c>
    </row>
    <row r="56" spans="1:5" ht="12.75">
      <c r="A56" s="82" t="s">
        <v>298</v>
      </c>
      <c r="B56" s="83">
        <v>3</v>
      </c>
      <c r="C56" s="83" t="s">
        <v>242</v>
      </c>
      <c r="D56" s="83">
        <v>16</v>
      </c>
      <c r="E56" s="83" t="s">
        <v>275</v>
      </c>
    </row>
    <row r="57" spans="1:5" ht="12.75">
      <c r="A57" s="82" t="s">
        <v>299</v>
      </c>
      <c r="B57" s="83">
        <v>10</v>
      </c>
      <c r="C57" s="83" t="s">
        <v>242</v>
      </c>
      <c r="D57" s="83">
        <v>17</v>
      </c>
      <c r="E57" s="83" t="s">
        <v>275</v>
      </c>
    </row>
    <row r="58" spans="1:5" ht="12.75">
      <c r="A58" s="82" t="s">
        <v>300</v>
      </c>
      <c r="B58" s="83">
        <v>25</v>
      </c>
      <c r="C58" s="83" t="s">
        <v>242</v>
      </c>
      <c r="D58" s="83">
        <v>17</v>
      </c>
      <c r="E58" s="83" t="s">
        <v>275</v>
      </c>
    </row>
    <row r="59" spans="1:5" ht="12.75">
      <c r="A59" s="82" t="s">
        <v>301</v>
      </c>
      <c r="B59" s="83">
        <v>25</v>
      </c>
      <c r="C59" s="83" t="s">
        <v>242</v>
      </c>
      <c r="D59" s="83">
        <v>17</v>
      </c>
      <c r="E59" s="83" t="s">
        <v>275</v>
      </c>
    </row>
    <row r="60" spans="1:5" ht="12.75">
      <c r="A60" s="82" t="s">
        <v>302</v>
      </c>
      <c r="B60" s="84"/>
      <c r="C60" s="83" t="s">
        <v>242</v>
      </c>
      <c r="D60" s="83">
        <v>17</v>
      </c>
      <c r="E60" s="83" t="s">
        <v>275</v>
      </c>
    </row>
    <row r="61" spans="1:5" ht="12.75">
      <c r="A61" s="82" t="s">
        <v>303</v>
      </c>
      <c r="B61" s="83">
        <v>40</v>
      </c>
      <c r="C61" s="83" t="s">
        <v>242</v>
      </c>
      <c r="D61" s="83">
        <v>17</v>
      </c>
      <c r="E61" s="83" t="s">
        <v>275</v>
      </c>
    </row>
    <row r="62" spans="1:5" ht="12.75">
      <c r="A62" s="82" t="s">
        <v>304</v>
      </c>
      <c r="B62" s="84"/>
      <c r="C62" s="83" t="s">
        <v>242</v>
      </c>
      <c r="D62" s="83">
        <v>18</v>
      </c>
      <c r="E62" s="83" t="s">
        <v>275</v>
      </c>
    </row>
    <row r="63" spans="1:5" ht="12.75">
      <c r="A63" s="82" t="s">
        <v>305</v>
      </c>
      <c r="B63" s="83">
        <v>15</v>
      </c>
      <c r="C63" s="83" t="s">
        <v>242</v>
      </c>
      <c r="D63" s="83">
        <v>18</v>
      </c>
      <c r="E63" s="83" t="s">
        <v>275</v>
      </c>
    </row>
    <row r="64" spans="1:5" ht="12.75">
      <c r="A64" s="82" t="s">
        <v>306</v>
      </c>
      <c r="B64" s="83">
        <v>0.1</v>
      </c>
      <c r="C64" s="83" t="s">
        <v>242</v>
      </c>
      <c r="D64" s="83">
        <v>18</v>
      </c>
      <c r="E64" s="83" t="s">
        <v>275</v>
      </c>
    </row>
    <row r="65" spans="1:5" ht="12.75">
      <c r="A65" s="82" t="s">
        <v>307</v>
      </c>
      <c r="B65" s="84"/>
      <c r="C65" s="83" t="s">
        <v>242</v>
      </c>
      <c r="D65" s="83">
        <v>18</v>
      </c>
      <c r="E65" s="83" t="s">
        <v>275</v>
      </c>
    </row>
    <row r="66" spans="1:5" ht="12.75">
      <c r="A66" s="82" t="s">
        <v>308</v>
      </c>
      <c r="B66" s="84"/>
      <c r="C66" s="83" t="s">
        <v>242</v>
      </c>
      <c r="D66" s="83">
        <v>18</v>
      </c>
      <c r="E66" s="83" t="s">
        <v>275</v>
      </c>
    </row>
    <row r="67" spans="1:5" ht="12.75">
      <c r="A67" s="82" t="s">
        <v>142</v>
      </c>
      <c r="B67" s="84"/>
      <c r="C67" s="83" t="s">
        <v>242</v>
      </c>
      <c r="D67" s="83">
        <v>19</v>
      </c>
      <c r="E67" s="83" t="s">
        <v>275</v>
      </c>
    </row>
    <row r="68" spans="1:5" ht="12.75">
      <c r="A68" s="82" t="s">
        <v>309</v>
      </c>
      <c r="B68" s="83">
        <v>2</v>
      </c>
      <c r="C68" s="83" t="s">
        <v>242</v>
      </c>
      <c r="D68" s="83">
        <v>19</v>
      </c>
      <c r="E68" s="83" t="s">
        <v>275</v>
      </c>
    </row>
    <row r="69" spans="1:5" ht="12.75">
      <c r="A69" s="82" t="s">
        <v>310</v>
      </c>
      <c r="B69" s="83">
        <v>0.8</v>
      </c>
      <c r="C69" s="83" t="s">
        <v>242</v>
      </c>
      <c r="D69" s="83">
        <v>19</v>
      </c>
      <c r="E69" s="83" t="s">
        <v>275</v>
      </c>
    </row>
    <row r="70" spans="1:5" ht="12.75">
      <c r="A70" s="82" t="s">
        <v>311</v>
      </c>
      <c r="B70" s="83">
        <v>1</v>
      </c>
      <c r="C70" s="83" t="s">
        <v>242</v>
      </c>
      <c r="D70" s="83">
        <v>19</v>
      </c>
      <c r="E70" s="83" t="s">
        <v>275</v>
      </c>
    </row>
    <row r="71" spans="1:5" ht="12.75">
      <c r="A71" s="82" t="s">
        <v>312</v>
      </c>
      <c r="B71" s="83">
        <v>5</v>
      </c>
      <c r="C71" s="83" t="s">
        <v>242</v>
      </c>
      <c r="D71" s="83">
        <v>19</v>
      </c>
      <c r="E71" s="83" t="s">
        <v>275</v>
      </c>
    </row>
    <row r="72" spans="1:5" ht="12.75">
      <c r="A72" s="82" t="s">
        <v>313</v>
      </c>
      <c r="B72" s="83">
        <v>5</v>
      </c>
      <c r="C72" s="83" t="s">
        <v>242</v>
      </c>
      <c r="D72" s="83">
        <v>19</v>
      </c>
      <c r="E72" s="83" t="s">
        <v>275</v>
      </c>
    </row>
    <row r="73" spans="1:5" ht="12.75">
      <c r="A73" s="82" t="s">
        <v>314</v>
      </c>
      <c r="B73" s="83">
        <v>5</v>
      </c>
      <c r="C73" s="83" t="s">
        <v>242</v>
      </c>
      <c r="D73" s="83">
        <v>19</v>
      </c>
      <c r="E73" s="83" t="s">
        <v>275</v>
      </c>
    </row>
    <row r="74" spans="1:5" ht="12.75">
      <c r="A74" s="82" t="s">
        <v>315</v>
      </c>
      <c r="B74" s="83">
        <v>20</v>
      </c>
      <c r="C74" s="83" t="s">
        <v>242</v>
      </c>
      <c r="D74" s="83">
        <v>20</v>
      </c>
      <c r="E74" s="83" t="s">
        <v>275</v>
      </c>
    </row>
    <row r="75" spans="1:5" ht="12.75">
      <c r="A75" s="82" t="s">
        <v>316</v>
      </c>
      <c r="B75" s="83">
        <v>3</v>
      </c>
      <c r="C75" s="83" t="s">
        <v>242</v>
      </c>
      <c r="D75" s="83">
        <v>20</v>
      </c>
      <c r="E75" s="83" t="s">
        <v>275</v>
      </c>
    </row>
    <row r="76" spans="1:5" ht="12.75">
      <c r="A76" s="82" t="s">
        <v>317</v>
      </c>
      <c r="B76" s="83">
        <v>5</v>
      </c>
      <c r="C76" s="83" t="s">
        <v>242</v>
      </c>
      <c r="D76" s="83">
        <v>20</v>
      </c>
      <c r="E76" s="83" t="s">
        <v>275</v>
      </c>
    </row>
    <row r="77" spans="1:5" ht="12.75">
      <c r="A77" s="82" t="s">
        <v>318</v>
      </c>
      <c r="B77" s="83">
        <v>3</v>
      </c>
      <c r="C77" s="83" t="s">
        <v>242</v>
      </c>
      <c r="D77" s="83">
        <v>20</v>
      </c>
      <c r="E77" s="83" t="s">
        <v>275</v>
      </c>
    </row>
    <row r="78" spans="1:5" ht="12.75">
      <c r="A78" s="82" t="s">
        <v>319</v>
      </c>
      <c r="B78" s="83" t="s">
        <v>320</v>
      </c>
      <c r="C78" s="83" t="s">
        <v>242</v>
      </c>
      <c r="D78" s="83">
        <v>20</v>
      </c>
      <c r="E78" s="83" t="s">
        <v>275</v>
      </c>
    </row>
    <row r="79" spans="1:5" ht="12.75">
      <c r="A79" s="82" t="s">
        <v>321</v>
      </c>
      <c r="B79" s="83">
        <v>65</v>
      </c>
      <c r="C79" s="83" t="s">
        <v>242</v>
      </c>
      <c r="D79" s="83">
        <v>21</v>
      </c>
      <c r="E79" s="83" t="s">
        <v>322</v>
      </c>
    </row>
    <row r="80" spans="1:5" ht="12.75">
      <c r="A80" s="82" t="s">
        <v>323</v>
      </c>
      <c r="B80" s="83">
        <v>65</v>
      </c>
      <c r="C80" s="83" t="s">
        <v>242</v>
      </c>
      <c r="D80" s="83">
        <v>21</v>
      </c>
      <c r="E80" s="83" t="s">
        <v>322</v>
      </c>
    </row>
    <row r="81" spans="1:5" ht="12.75">
      <c r="A81" s="82" t="s">
        <v>324</v>
      </c>
      <c r="B81" s="83">
        <v>60</v>
      </c>
      <c r="C81" s="83" t="s">
        <v>242</v>
      </c>
      <c r="D81" s="83">
        <v>21</v>
      </c>
      <c r="E81" s="83" t="s">
        <v>322</v>
      </c>
    </row>
    <row r="82" spans="1:5" ht="12.75">
      <c r="A82" s="82" t="s">
        <v>325</v>
      </c>
      <c r="B82" s="83">
        <v>45</v>
      </c>
      <c r="C82" s="83" t="s">
        <v>242</v>
      </c>
      <c r="D82" s="83">
        <v>21</v>
      </c>
      <c r="E82" s="83" t="s">
        <v>322</v>
      </c>
    </row>
    <row r="83" spans="1:5" ht="12.75">
      <c r="A83" s="82" t="s">
        <v>326</v>
      </c>
      <c r="B83" s="83">
        <v>50</v>
      </c>
      <c r="C83" s="83" t="s">
        <v>242</v>
      </c>
      <c r="D83" s="83">
        <v>21</v>
      </c>
      <c r="E83" s="83" t="s">
        <v>322</v>
      </c>
    </row>
    <row r="84" spans="1:5" ht="12.75">
      <c r="A84" s="82" t="s">
        <v>327</v>
      </c>
      <c r="B84" s="83">
        <v>45</v>
      </c>
      <c r="C84" s="83" t="s">
        <v>242</v>
      </c>
      <c r="D84" s="83">
        <v>21</v>
      </c>
      <c r="E84" s="83" t="s">
        <v>322</v>
      </c>
    </row>
    <row r="85" spans="1:5" ht="12.75">
      <c r="A85" s="82" t="s">
        <v>328</v>
      </c>
      <c r="B85" s="83">
        <v>40</v>
      </c>
      <c r="C85" s="83" t="s">
        <v>242</v>
      </c>
      <c r="D85" s="83">
        <v>21</v>
      </c>
      <c r="E85" s="83" t="s">
        <v>322</v>
      </c>
    </row>
    <row r="86" spans="1:5" ht="12.75">
      <c r="A86" s="82" t="s">
        <v>329</v>
      </c>
      <c r="B86" s="83">
        <v>35</v>
      </c>
      <c r="C86" s="83" t="s">
        <v>242</v>
      </c>
      <c r="D86" s="83">
        <v>21</v>
      </c>
      <c r="E86" s="83" t="s">
        <v>322</v>
      </c>
    </row>
    <row r="87" spans="1:5" ht="12.75">
      <c r="A87" s="82" t="s">
        <v>330</v>
      </c>
      <c r="B87" s="83">
        <v>40</v>
      </c>
      <c r="C87" s="83" t="s">
        <v>242</v>
      </c>
      <c r="D87" s="83">
        <v>22</v>
      </c>
      <c r="E87" s="83" t="s">
        <v>322</v>
      </c>
    </row>
    <row r="88" spans="1:5" ht="12.75">
      <c r="A88" s="82" t="s">
        <v>331</v>
      </c>
      <c r="B88" s="83">
        <v>65</v>
      </c>
      <c r="C88" s="83" t="s">
        <v>242</v>
      </c>
      <c r="D88" s="83">
        <v>22</v>
      </c>
      <c r="E88" s="83" t="s">
        <v>322</v>
      </c>
    </row>
    <row r="89" spans="1:5" ht="12.75">
      <c r="A89" s="82" t="s">
        <v>332</v>
      </c>
      <c r="B89" s="83">
        <v>60</v>
      </c>
      <c r="C89" s="83" t="s">
        <v>242</v>
      </c>
      <c r="D89" s="83">
        <v>22</v>
      </c>
      <c r="E89" s="83" t="s">
        <v>322</v>
      </c>
    </row>
    <row r="90" spans="1:5" ht="12.75">
      <c r="A90" s="82" t="s">
        <v>333</v>
      </c>
      <c r="B90" s="83">
        <v>40</v>
      </c>
      <c r="C90" s="83" t="s">
        <v>242</v>
      </c>
      <c r="D90" s="83">
        <v>22</v>
      </c>
      <c r="E90" s="83" t="s">
        <v>322</v>
      </c>
    </row>
    <row r="91" spans="1:5" ht="12.75">
      <c r="A91" s="82" t="s">
        <v>334</v>
      </c>
      <c r="B91" s="83">
        <v>65</v>
      </c>
      <c r="C91" s="83" t="s">
        <v>242</v>
      </c>
      <c r="D91" s="83">
        <v>22</v>
      </c>
      <c r="E91" s="83" t="s">
        <v>322</v>
      </c>
    </row>
    <row r="92" spans="1:5" ht="12.75">
      <c r="A92" s="82" t="s">
        <v>335</v>
      </c>
      <c r="B92" s="83">
        <v>75</v>
      </c>
      <c r="C92" s="83" t="s">
        <v>242</v>
      </c>
      <c r="D92" s="83">
        <v>22</v>
      </c>
      <c r="E92" s="83" t="s">
        <v>322</v>
      </c>
    </row>
    <row r="93" spans="1:5" ht="12.75">
      <c r="A93" s="82" t="s">
        <v>336</v>
      </c>
      <c r="B93" s="83">
        <v>50</v>
      </c>
      <c r="C93" s="83" t="s">
        <v>242</v>
      </c>
      <c r="D93" s="83">
        <v>22</v>
      </c>
      <c r="E93" s="83" t="s">
        <v>322</v>
      </c>
    </row>
    <row r="94" spans="1:5" ht="12.75">
      <c r="A94" s="82" t="s">
        <v>337</v>
      </c>
      <c r="B94" s="83">
        <v>120</v>
      </c>
      <c r="C94" s="83" t="s">
        <v>242</v>
      </c>
      <c r="D94" s="83">
        <v>22</v>
      </c>
      <c r="E94" s="83" t="s">
        <v>322</v>
      </c>
    </row>
    <row r="95" spans="1:5" ht="12.75">
      <c r="A95" s="82" t="s">
        <v>338</v>
      </c>
      <c r="B95" s="83">
        <v>30</v>
      </c>
      <c r="C95" s="83" t="s">
        <v>242</v>
      </c>
      <c r="D95" s="83">
        <v>22</v>
      </c>
      <c r="E95" s="83" t="s">
        <v>322</v>
      </c>
    </row>
    <row r="96" spans="1:5" ht="12.75">
      <c r="A96" s="82" t="s">
        <v>339</v>
      </c>
      <c r="B96" s="83">
        <v>75</v>
      </c>
      <c r="C96" s="83" t="s">
        <v>242</v>
      </c>
      <c r="D96" s="83">
        <v>22</v>
      </c>
      <c r="E96" s="83" t="s">
        <v>322</v>
      </c>
    </row>
    <row r="97" spans="1:5" ht="12.75">
      <c r="A97" s="82" t="s">
        <v>340</v>
      </c>
      <c r="B97" s="83">
        <v>40</v>
      </c>
      <c r="C97" s="83" t="s">
        <v>242</v>
      </c>
      <c r="D97" s="83">
        <v>22</v>
      </c>
      <c r="E97" s="83" t="s">
        <v>322</v>
      </c>
    </row>
    <row r="98" spans="1:5" ht="12.75">
      <c r="A98" s="82" t="s">
        <v>341</v>
      </c>
      <c r="B98" s="83" t="s">
        <v>320</v>
      </c>
      <c r="C98" s="83" t="s">
        <v>242</v>
      </c>
      <c r="D98" s="83">
        <v>22</v>
      </c>
      <c r="E98" s="83" t="s">
        <v>322</v>
      </c>
    </row>
    <row r="99" spans="1:5" ht="12.75">
      <c r="A99" s="82" t="s">
        <v>342</v>
      </c>
      <c r="B99" s="83">
        <v>65</v>
      </c>
      <c r="C99" s="83" t="s">
        <v>242</v>
      </c>
      <c r="D99" s="83">
        <v>22</v>
      </c>
      <c r="E99" s="83" t="s">
        <v>322</v>
      </c>
    </row>
    <row r="100" spans="1:5" ht="12.75">
      <c r="A100" s="82" t="s">
        <v>343</v>
      </c>
      <c r="B100" s="83">
        <v>55</v>
      </c>
      <c r="C100" s="83" t="s">
        <v>242</v>
      </c>
      <c r="D100" s="83">
        <v>22</v>
      </c>
      <c r="E100" s="83" t="s">
        <v>322</v>
      </c>
    </row>
    <row r="101" spans="1:5" ht="12.75">
      <c r="A101" s="82" t="s">
        <v>344</v>
      </c>
      <c r="B101" s="83">
        <v>70</v>
      </c>
      <c r="C101" s="83" t="s">
        <v>242</v>
      </c>
      <c r="D101" s="83">
        <v>22</v>
      </c>
      <c r="E101" s="83" t="s">
        <v>322</v>
      </c>
    </row>
    <row r="102" spans="1:5" ht="12.75">
      <c r="A102" s="82" t="s">
        <v>345</v>
      </c>
      <c r="B102" s="83">
        <v>20</v>
      </c>
      <c r="C102" s="83" t="s">
        <v>242</v>
      </c>
      <c r="D102" s="83">
        <v>22</v>
      </c>
      <c r="E102" s="83" t="s">
        <v>322</v>
      </c>
    </row>
    <row r="103" spans="1:5" ht="12.75">
      <c r="A103" s="82" t="s">
        <v>346</v>
      </c>
      <c r="B103" s="83">
        <v>35</v>
      </c>
      <c r="C103" s="83" t="s">
        <v>242</v>
      </c>
      <c r="D103" s="83">
        <v>24</v>
      </c>
      <c r="E103" s="83" t="s">
        <v>322</v>
      </c>
    </row>
    <row r="104" spans="1:5" ht="12.75">
      <c r="A104" s="82" t="s">
        <v>347</v>
      </c>
      <c r="B104" s="83">
        <v>40</v>
      </c>
      <c r="C104" s="83" t="s">
        <v>242</v>
      </c>
      <c r="D104" s="83">
        <v>24</v>
      </c>
      <c r="E104" s="83" t="s">
        <v>322</v>
      </c>
    </row>
    <row r="105" spans="1:5" ht="12.75">
      <c r="A105" s="82" t="s">
        <v>348</v>
      </c>
      <c r="B105" s="83">
        <v>120</v>
      </c>
      <c r="C105" s="83" t="s">
        <v>242</v>
      </c>
      <c r="D105" s="83">
        <v>24</v>
      </c>
      <c r="E105" s="83" t="s">
        <v>322</v>
      </c>
    </row>
    <row r="106" spans="1:5" ht="12.75">
      <c r="A106" s="82" t="s">
        <v>349</v>
      </c>
      <c r="B106" s="83">
        <v>250</v>
      </c>
      <c r="C106" s="83" t="s">
        <v>242</v>
      </c>
      <c r="D106" s="83">
        <v>24</v>
      </c>
      <c r="E106" s="83" t="s">
        <v>322</v>
      </c>
    </row>
    <row r="107" spans="1:5" ht="12.75">
      <c r="A107" s="82" t="s">
        <v>350</v>
      </c>
      <c r="B107" s="83">
        <v>75</v>
      </c>
      <c r="C107" s="83" t="s">
        <v>242</v>
      </c>
      <c r="D107" s="83">
        <v>24</v>
      </c>
      <c r="E107" s="83" t="s">
        <v>322</v>
      </c>
    </row>
    <row r="108" spans="1:5" ht="12.75">
      <c r="A108" s="82" t="s">
        <v>351</v>
      </c>
      <c r="B108" s="83">
        <v>20</v>
      </c>
      <c r="C108" s="83" t="s">
        <v>242</v>
      </c>
      <c r="D108" s="83">
        <v>24</v>
      </c>
      <c r="E108" s="83" t="s">
        <v>322</v>
      </c>
    </row>
    <row r="109" spans="1:5" ht="12.75">
      <c r="A109" s="82" t="s">
        <v>352</v>
      </c>
      <c r="B109" s="83">
        <v>35</v>
      </c>
      <c r="C109" s="83" t="s">
        <v>242</v>
      </c>
      <c r="D109" s="83">
        <v>24</v>
      </c>
      <c r="E109" s="83" t="s">
        <v>322</v>
      </c>
    </row>
    <row r="110" spans="1:5" ht="12.75">
      <c r="A110" s="82" t="s">
        <v>353</v>
      </c>
      <c r="B110" s="83">
        <v>35</v>
      </c>
      <c r="C110" s="83" t="s">
        <v>242</v>
      </c>
      <c r="D110" s="83">
        <v>24</v>
      </c>
      <c r="E110" s="83" t="s">
        <v>322</v>
      </c>
    </row>
    <row r="111" spans="1:5" ht="12.75">
      <c r="A111" s="82" t="s">
        <v>354</v>
      </c>
      <c r="B111" s="83">
        <v>30</v>
      </c>
      <c r="C111" s="83" t="s">
        <v>242</v>
      </c>
      <c r="D111" s="83">
        <v>24</v>
      </c>
      <c r="E111" s="83" t="s">
        <v>322</v>
      </c>
    </row>
    <row r="112" spans="1:5" ht="12.75">
      <c r="A112" s="82" t="s">
        <v>355</v>
      </c>
      <c r="B112" s="83">
        <v>15</v>
      </c>
      <c r="C112" s="83" t="s">
        <v>242</v>
      </c>
      <c r="D112" s="83">
        <v>24</v>
      </c>
      <c r="E112" s="83" t="s">
        <v>322</v>
      </c>
    </row>
    <row r="113" spans="1:5" ht="12.75">
      <c r="A113" s="82" t="s">
        <v>356</v>
      </c>
      <c r="B113" s="83">
        <v>15</v>
      </c>
      <c r="C113" s="83" t="s">
        <v>242</v>
      </c>
      <c r="D113" s="83">
        <v>24</v>
      </c>
      <c r="E113" s="83" t="s">
        <v>322</v>
      </c>
    </row>
    <row r="114" spans="1:5" ht="12.75">
      <c r="A114" s="82" t="s">
        <v>357</v>
      </c>
      <c r="B114" s="83">
        <v>35</v>
      </c>
      <c r="C114" s="83" t="s">
        <v>242</v>
      </c>
      <c r="D114" s="83">
        <v>24</v>
      </c>
      <c r="E114" s="83" t="s">
        <v>322</v>
      </c>
    </row>
    <row r="115" spans="1:5" ht="12.75">
      <c r="A115" s="82" t="s">
        <v>358</v>
      </c>
      <c r="B115" s="83">
        <v>10</v>
      </c>
      <c r="C115" s="83" t="s">
        <v>242</v>
      </c>
      <c r="D115" s="83">
        <v>24</v>
      </c>
      <c r="E115" s="83" t="s">
        <v>322</v>
      </c>
    </row>
    <row r="116" spans="1:5" ht="12.75">
      <c r="A116" s="82" t="s">
        <v>359</v>
      </c>
      <c r="B116" s="83">
        <v>15</v>
      </c>
      <c r="C116" s="83" t="s">
        <v>242</v>
      </c>
      <c r="D116" s="83">
        <v>24</v>
      </c>
      <c r="E116" s="83" t="s">
        <v>322</v>
      </c>
    </row>
    <row r="117" spans="1:5" ht="12.75">
      <c r="A117" s="82" t="s">
        <v>360</v>
      </c>
      <c r="B117" s="83">
        <v>45</v>
      </c>
      <c r="C117" s="83" t="s">
        <v>242</v>
      </c>
      <c r="D117" s="83">
        <v>24</v>
      </c>
      <c r="E117" s="83" t="s">
        <v>322</v>
      </c>
    </row>
    <row r="118" spans="1:5" ht="12.75">
      <c r="A118" s="82" t="s">
        <v>361</v>
      </c>
      <c r="B118" s="83">
        <v>22</v>
      </c>
      <c r="C118" s="83" t="s">
        <v>242</v>
      </c>
      <c r="D118" s="83">
        <v>25</v>
      </c>
      <c r="E118" s="83" t="s">
        <v>322</v>
      </c>
    </row>
    <row r="119" spans="1:5" ht="12.75">
      <c r="A119" s="82" t="s">
        <v>362</v>
      </c>
      <c r="B119" s="83">
        <v>15</v>
      </c>
      <c r="C119" s="83" t="s">
        <v>242</v>
      </c>
      <c r="D119" s="83">
        <v>25</v>
      </c>
      <c r="E119" s="83" t="s">
        <v>322</v>
      </c>
    </row>
    <row r="120" spans="1:5" ht="12.75">
      <c r="A120" s="82" t="s">
        <v>363</v>
      </c>
      <c r="B120" s="83">
        <v>15</v>
      </c>
      <c r="C120" s="83" t="s">
        <v>242</v>
      </c>
      <c r="D120" s="83">
        <v>25</v>
      </c>
      <c r="E120" s="83" t="s">
        <v>322</v>
      </c>
    </row>
    <row r="121" spans="1:5" ht="12.75">
      <c r="A121" s="82" t="s">
        <v>364</v>
      </c>
      <c r="B121" s="83">
        <v>6</v>
      </c>
      <c r="C121" s="83" t="s">
        <v>242</v>
      </c>
      <c r="D121" s="83">
        <v>25</v>
      </c>
      <c r="E121" s="83" t="s">
        <v>322</v>
      </c>
    </row>
    <row r="122" spans="1:5" ht="12.75">
      <c r="A122" s="82" t="s">
        <v>365</v>
      </c>
      <c r="B122" s="83">
        <v>25</v>
      </c>
      <c r="C122" s="83" t="s">
        <v>242</v>
      </c>
      <c r="D122" s="83">
        <v>25</v>
      </c>
      <c r="E122" s="83" t="s">
        <v>322</v>
      </c>
    </row>
    <row r="123" spans="1:5" ht="12.75">
      <c r="A123" s="82" t="s">
        <v>366</v>
      </c>
      <c r="B123" s="83">
        <v>95</v>
      </c>
      <c r="C123" s="83" t="s">
        <v>242</v>
      </c>
      <c r="D123" s="83">
        <v>25</v>
      </c>
      <c r="E123" s="83" t="s">
        <v>322</v>
      </c>
    </row>
    <row r="124" spans="1:5" ht="12.75">
      <c r="A124" s="82" t="s">
        <v>367</v>
      </c>
      <c r="B124" s="83">
        <v>75</v>
      </c>
      <c r="C124" s="83" t="s">
        <v>242</v>
      </c>
      <c r="D124" s="83">
        <v>26</v>
      </c>
      <c r="E124" s="83" t="s">
        <v>322</v>
      </c>
    </row>
    <row r="125" spans="1:5" ht="12.75">
      <c r="A125" s="82" t="s">
        <v>368</v>
      </c>
      <c r="B125" s="83">
        <v>5</v>
      </c>
      <c r="C125" s="83" t="s">
        <v>242</v>
      </c>
      <c r="D125" s="83">
        <v>26</v>
      </c>
      <c r="E125" s="83" t="s">
        <v>322</v>
      </c>
    </row>
    <row r="126" spans="1:5" ht="12.75">
      <c r="A126" s="82" t="s">
        <v>369</v>
      </c>
      <c r="B126" s="83">
        <v>20</v>
      </c>
      <c r="C126" s="83" t="s">
        <v>242</v>
      </c>
      <c r="D126" s="83">
        <v>26</v>
      </c>
      <c r="E126" s="83" t="s">
        <v>322</v>
      </c>
    </row>
    <row r="127" spans="1:5" ht="12.75">
      <c r="A127" s="82" t="s">
        <v>370</v>
      </c>
      <c r="B127" s="83">
        <v>5</v>
      </c>
      <c r="C127" s="83" t="s">
        <v>242</v>
      </c>
      <c r="D127" s="83">
        <v>26</v>
      </c>
      <c r="E127" s="83" t="s">
        <v>322</v>
      </c>
    </row>
    <row r="128" spans="1:5" ht="12.75">
      <c r="A128" s="82" t="s">
        <v>371</v>
      </c>
      <c r="B128" s="83">
        <v>7</v>
      </c>
      <c r="C128" s="83" t="s">
        <v>242</v>
      </c>
      <c r="D128" s="83">
        <v>26</v>
      </c>
      <c r="E128" s="83" t="s">
        <v>322</v>
      </c>
    </row>
    <row r="129" spans="1:5" ht="12.75">
      <c r="A129" s="82" t="s">
        <v>372</v>
      </c>
      <c r="B129" s="83">
        <v>10</v>
      </c>
      <c r="C129" s="83" t="s">
        <v>242</v>
      </c>
      <c r="D129" s="83">
        <v>26</v>
      </c>
      <c r="E129" s="83" t="s">
        <v>322</v>
      </c>
    </row>
    <row r="130" spans="1:5" ht="12.75">
      <c r="A130" s="82" t="s">
        <v>373</v>
      </c>
      <c r="B130" s="83">
        <v>12</v>
      </c>
      <c r="C130" s="83" t="s">
        <v>242</v>
      </c>
      <c r="D130" s="83">
        <v>26</v>
      </c>
      <c r="E130" s="83" t="s">
        <v>322</v>
      </c>
    </row>
    <row r="131" spans="1:5" ht="12.75">
      <c r="A131" s="82" t="s">
        <v>374</v>
      </c>
      <c r="B131" s="83">
        <v>25</v>
      </c>
      <c r="C131" s="83" t="s">
        <v>242</v>
      </c>
      <c r="D131" s="83">
        <v>26</v>
      </c>
      <c r="E131" s="83" t="s">
        <v>322</v>
      </c>
    </row>
    <row r="132" spans="1:5" ht="12.75">
      <c r="A132" s="82" t="s">
        <v>375</v>
      </c>
      <c r="B132" s="83" t="s">
        <v>320</v>
      </c>
      <c r="C132" s="83" t="s">
        <v>242</v>
      </c>
      <c r="D132" s="83">
        <v>26</v>
      </c>
      <c r="E132" s="83" t="s">
        <v>322</v>
      </c>
    </row>
    <row r="133" spans="1:5" ht="12.75">
      <c r="A133" s="82" t="s">
        <v>376</v>
      </c>
      <c r="B133" s="83">
        <v>5</v>
      </c>
      <c r="C133" s="83" t="s">
        <v>242</v>
      </c>
      <c r="D133" s="83">
        <v>27</v>
      </c>
      <c r="E133" s="83" t="s">
        <v>322</v>
      </c>
    </row>
    <row r="134" spans="1:5" ht="12.75">
      <c r="A134" s="82" t="s">
        <v>377</v>
      </c>
      <c r="B134" s="83">
        <v>3</v>
      </c>
      <c r="C134" s="83" t="s">
        <v>242</v>
      </c>
      <c r="D134" s="83">
        <v>27</v>
      </c>
      <c r="E134" s="83" t="s">
        <v>322</v>
      </c>
    </row>
    <row r="135" spans="1:5" ht="12.75">
      <c r="A135" s="82" t="s">
        <v>378</v>
      </c>
      <c r="B135" s="83">
        <v>1</v>
      </c>
      <c r="C135" s="83" t="s">
        <v>242</v>
      </c>
      <c r="D135" s="83">
        <v>27</v>
      </c>
      <c r="E135" s="83" t="s">
        <v>322</v>
      </c>
    </row>
    <row r="136" spans="1:5" ht="12.75">
      <c r="A136" s="82" t="s">
        <v>379</v>
      </c>
      <c r="B136" s="83">
        <v>0.5</v>
      </c>
      <c r="C136" s="83" t="s">
        <v>242</v>
      </c>
      <c r="D136" s="83">
        <v>27</v>
      </c>
      <c r="E136" s="83" t="s">
        <v>322</v>
      </c>
    </row>
    <row r="137" spans="1:5" ht="12.75">
      <c r="A137" s="82" t="s">
        <v>380</v>
      </c>
      <c r="B137" s="83">
        <v>7</v>
      </c>
      <c r="C137" s="83" t="s">
        <v>242</v>
      </c>
      <c r="D137" s="83">
        <v>27</v>
      </c>
      <c r="E137" s="83" t="s">
        <v>322</v>
      </c>
    </row>
    <row r="138" spans="1:5" ht="12.75">
      <c r="A138" s="82" t="s">
        <v>381</v>
      </c>
      <c r="B138" s="83">
        <v>8</v>
      </c>
      <c r="C138" s="83" t="s">
        <v>242</v>
      </c>
      <c r="D138" s="83">
        <v>27</v>
      </c>
      <c r="E138" s="83" t="s">
        <v>322</v>
      </c>
    </row>
    <row r="139" spans="1:5" ht="12.75">
      <c r="A139" s="82" t="s">
        <v>382</v>
      </c>
      <c r="B139" s="83">
        <v>3</v>
      </c>
      <c r="C139" s="83" t="s">
        <v>242</v>
      </c>
      <c r="D139" s="83">
        <v>27</v>
      </c>
      <c r="E139" s="83" t="s">
        <v>322</v>
      </c>
    </row>
    <row r="140" spans="1:5" ht="12.75">
      <c r="A140" s="82" t="s">
        <v>383</v>
      </c>
      <c r="B140" s="83">
        <v>1</v>
      </c>
      <c r="C140" s="83" t="s">
        <v>242</v>
      </c>
      <c r="D140" s="83">
        <v>27</v>
      </c>
      <c r="E140" s="83" t="s">
        <v>322</v>
      </c>
    </row>
    <row r="141" spans="1:5" ht="12.75">
      <c r="A141" s="82" t="s">
        <v>384</v>
      </c>
      <c r="B141" s="83">
        <v>10</v>
      </c>
      <c r="C141" s="83" t="s">
        <v>242</v>
      </c>
      <c r="D141" s="83">
        <v>27</v>
      </c>
      <c r="E141" s="83" t="s">
        <v>322</v>
      </c>
    </row>
    <row r="142" spans="1:5" ht="12.75">
      <c r="A142" s="82" t="s">
        <v>385</v>
      </c>
      <c r="B142" s="83">
        <v>0.7</v>
      </c>
      <c r="C142" s="83" t="s">
        <v>242</v>
      </c>
      <c r="D142" s="83">
        <v>27</v>
      </c>
      <c r="E142" s="83" t="s">
        <v>322</v>
      </c>
    </row>
    <row r="143" spans="1:5" ht="12.75">
      <c r="A143" s="82" t="s">
        <v>386</v>
      </c>
      <c r="B143" s="83">
        <v>8</v>
      </c>
      <c r="C143" s="83" t="s">
        <v>242</v>
      </c>
      <c r="D143" s="83">
        <v>27</v>
      </c>
      <c r="E143" s="83" t="s">
        <v>322</v>
      </c>
    </row>
    <row r="144" spans="1:5" ht="12.75">
      <c r="A144" s="82" t="s">
        <v>387</v>
      </c>
      <c r="B144" s="83">
        <v>0.8</v>
      </c>
      <c r="C144" s="83" t="s">
        <v>242</v>
      </c>
      <c r="D144" s="83">
        <v>27</v>
      </c>
      <c r="E144" s="83" t="s">
        <v>322</v>
      </c>
    </row>
    <row r="145" spans="1:5" ht="12.75">
      <c r="A145" s="82" t="s">
        <v>388</v>
      </c>
      <c r="B145" s="83">
        <v>12</v>
      </c>
      <c r="C145" s="83" t="s">
        <v>242</v>
      </c>
      <c r="D145" s="83">
        <v>27</v>
      </c>
      <c r="E145" s="83" t="s">
        <v>322</v>
      </c>
    </row>
    <row r="146" spans="1:5" ht="12.75">
      <c r="A146" s="82" t="s">
        <v>389</v>
      </c>
      <c r="B146" s="83">
        <v>0.5</v>
      </c>
      <c r="C146" s="83" t="s">
        <v>242</v>
      </c>
      <c r="D146" s="83">
        <v>28</v>
      </c>
      <c r="E146" s="83" t="s">
        <v>322</v>
      </c>
    </row>
    <row r="147" spans="1:5" ht="12.75">
      <c r="A147" s="82" t="s">
        <v>390</v>
      </c>
      <c r="B147" s="83">
        <v>7.0000000000000007E-2</v>
      </c>
      <c r="C147" s="83" t="s">
        <v>242</v>
      </c>
      <c r="D147" s="83">
        <v>28</v>
      </c>
      <c r="E147" s="83" t="s">
        <v>322</v>
      </c>
    </row>
    <row r="148" spans="1:5" ht="12.75">
      <c r="A148" s="82" t="s">
        <v>391</v>
      </c>
      <c r="B148" s="83">
        <v>1</v>
      </c>
      <c r="C148" s="83" t="s">
        <v>242</v>
      </c>
      <c r="D148" s="83">
        <v>28</v>
      </c>
      <c r="E148" s="83" t="s">
        <v>322</v>
      </c>
    </row>
    <row r="149" spans="1:5" ht="12.75">
      <c r="A149" s="82" t="s">
        <v>392</v>
      </c>
      <c r="B149" s="83">
        <v>7.0000000000000007E-2</v>
      </c>
      <c r="C149" s="83" t="s">
        <v>242</v>
      </c>
      <c r="D149" s="83">
        <v>28</v>
      </c>
      <c r="E149" s="83" t="s">
        <v>322</v>
      </c>
    </row>
    <row r="150" spans="1:5" ht="12.75">
      <c r="A150" s="82" t="s">
        <v>393</v>
      </c>
      <c r="B150" s="83">
        <v>0.4</v>
      </c>
      <c r="C150" s="83" t="s">
        <v>242</v>
      </c>
      <c r="D150" s="83">
        <v>28</v>
      </c>
      <c r="E150" s="83" t="s">
        <v>322</v>
      </c>
    </row>
    <row r="151" spans="1:5" ht="12.75">
      <c r="A151" s="82" t="s">
        <v>394</v>
      </c>
      <c r="B151" s="83">
        <v>2</v>
      </c>
      <c r="C151" s="83" t="s">
        <v>242</v>
      </c>
      <c r="D151" s="83">
        <v>28</v>
      </c>
      <c r="E151" s="83" t="s">
        <v>322</v>
      </c>
    </row>
    <row r="152" spans="1:5" ht="12.75">
      <c r="A152" s="82" t="s">
        <v>395</v>
      </c>
      <c r="B152" s="84"/>
      <c r="C152" s="83" t="s">
        <v>242</v>
      </c>
      <c r="D152" s="83">
        <v>28</v>
      </c>
      <c r="E152" s="83" t="s">
        <v>322</v>
      </c>
    </row>
    <row r="153" spans="1:5" ht="12.75">
      <c r="A153" s="82" t="s">
        <v>396</v>
      </c>
      <c r="B153" s="83">
        <v>5</v>
      </c>
      <c r="C153" s="83" t="s">
        <v>242</v>
      </c>
      <c r="D153" s="83">
        <v>28</v>
      </c>
      <c r="E153" s="83" t="s">
        <v>322</v>
      </c>
    </row>
    <row r="154" spans="1:5" ht="12.75">
      <c r="A154" s="82" t="s">
        <v>397</v>
      </c>
      <c r="B154" s="83">
        <v>1</v>
      </c>
      <c r="C154" s="83" t="s">
        <v>242</v>
      </c>
      <c r="D154" s="83">
        <v>28</v>
      </c>
      <c r="E154" s="83" t="s">
        <v>322</v>
      </c>
    </row>
    <row r="155" spans="1:5" ht="12.75">
      <c r="A155" s="82" t="s">
        <v>398</v>
      </c>
      <c r="B155" s="83">
        <v>8</v>
      </c>
      <c r="C155" s="83" t="s">
        <v>242</v>
      </c>
      <c r="D155" s="83">
        <v>28</v>
      </c>
      <c r="E155" s="83" t="s">
        <v>322</v>
      </c>
    </row>
    <row r="156" spans="1:5" ht="12.75">
      <c r="A156" s="82" t="s">
        <v>399</v>
      </c>
      <c r="B156" s="83" t="s">
        <v>320</v>
      </c>
      <c r="C156" s="83" t="s">
        <v>242</v>
      </c>
      <c r="D156" s="83">
        <v>28</v>
      </c>
      <c r="E156" s="83" t="s">
        <v>322</v>
      </c>
    </row>
    <row r="157" spans="1:5" ht="12.75">
      <c r="A157" s="82" t="s">
        <v>400</v>
      </c>
      <c r="B157" s="83">
        <v>0.03</v>
      </c>
      <c r="C157" s="83" t="s">
        <v>242</v>
      </c>
      <c r="D157" s="83">
        <v>29</v>
      </c>
      <c r="E157" s="83" t="s">
        <v>322</v>
      </c>
    </row>
    <row r="158" spans="1:5" ht="12.75">
      <c r="A158" s="82" t="s">
        <v>401</v>
      </c>
      <c r="B158" s="83">
        <v>0.2</v>
      </c>
      <c r="C158" s="83" t="s">
        <v>242</v>
      </c>
      <c r="D158" s="83">
        <v>29</v>
      </c>
      <c r="E158" s="83" t="s">
        <v>322</v>
      </c>
    </row>
    <row r="159" spans="1:5" ht="12.75">
      <c r="A159" s="82" t="s">
        <v>402</v>
      </c>
      <c r="B159" s="83">
        <v>0.1</v>
      </c>
      <c r="C159" s="83" t="s">
        <v>242</v>
      </c>
      <c r="D159" s="83">
        <v>29</v>
      </c>
      <c r="E159" s="83" t="s">
        <v>322</v>
      </c>
    </row>
    <row r="160" spans="1:5" ht="12.75">
      <c r="A160" s="82" t="s">
        <v>403</v>
      </c>
      <c r="B160" s="83">
        <v>3</v>
      </c>
      <c r="C160" s="83" t="s">
        <v>242</v>
      </c>
      <c r="D160" s="83">
        <v>29</v>
      </c>
      <c r="E160" s="83" t="s">
        <v>322</v>
      </c>
    </row>
    <row r="161" spans="1:5" ht="12.75">
      <c r="A161" s="82" t="s">
        <v>404</v>
      </c>
      <c r="B161" s="83">
        <v>4</v>
      </c>
      <c r="C161" s="83" t="s">
        <v>242</v>
      </c>
      <c r="D161" s="83">
        <v>29</v>
      </c>
      <c r="E161" s="83" t="s">
        <v>322</v>
      </c>
    </row>
    <row r="162" spans="1:5" ht="12.75">
      <c r="A162" s="82" t="s">
        <v>405</v>
      </c>
      <c r="B162" s="83">
        <v>3</v>
      </c>
      <c r="C162" s="83" t="s">
        <v>242</v>
      </c>
      <c r="D162" s="83">
        <v>29</v>
      </c>
      <c r="E162" s="83" t="s">
        <v>322</v>
      </c>
    </row>
    <row r="163" spans="1:5" ht="12.75">
      <c r="A163" s="82" t="s">
        <v>406</v>
      </c>
      <c r="B163" s="83">
        <v>1</v>
      </c>
      <c r="C163" s="83" t="s">
        <v>242</v>
      </c>
      <c r="D163" s="83">
        <v>29</v>
      </c>
      <c r="E163" s="83" t="s">
        <v>322</v>
      </c>
    </row>
    <row r="164" spans="1:5" ht="12.75">
      <c r="A164" s="82" t="s">
        <v>407</v>
      </c>
      <c r="B164" s="83">
        <v>4</v>
      </c>
      <c r="C164" s="83" t="s">
        <v>242</v>
      </c>
      <c r="D164" s="83">
        <v>29</v>
      </c>
      <c r="E164" s="83" t="s">
        <v>322</v>
      </c>
    </row>
    <row r="165" spans="1:5" ht="12.75">
      <c r="A165" s="82" t="s">
        <v>408</v>
      </c>
      <c r="B165" s="83">
        <v>4</v>
      </c>
      <c r="C165" s="83" t="s">
        <v>242</v>
      </c>
      <c r="D165" s="83">
        <v>29</v>
      </c>
      <c r="E165" s="83" t="s">
        <v>322</v>
      </c>
    </row>
    <row r="166" spans="1:5" ht="12.75">
      <c r="A166" s="82" t="s">
        <v>409</v>
      </c>
      <c r="B166" s="83">
        <v>3</v>
      </c>
      <c r="C166" s="83" t="s">
        <v>242</v>
      </c>
      <c r="D166" s="83">
        <v>29</v>
      </c>
      <c r="E166" s="83" t="s">
        <v>322</v>
      </c>
    </row>
    <row r="167" spans="1:5" ht="12.75">
      <c r="A167" s="82" t="s">
        <v>410</v>
      </c>
      <c r="B167" s="83">
        <v>7</v>
      </c>
      <c r="C167" s="83" t="s">
        <v>242</v>
      </c>
      <c r="D167" s="83">
        <v>29</v>
      </c>
      <c r="E167" s="83" t="s">
        <v>322</v>
      </c>
    </row>
    <row r="168" spans="1:5" ht="12.75">
      <c r="A168" s="82" t="s">
        <v>411</v>
      </c>
      <c r="B168" s="83">
        <v>15</v>
      </c>
      <c r="C168" s="83" t="s">
        <v>242</v>
      </c>
      <c r="D168" s="83">
        <v>29</v>
      </c>
      <c r="E168" s="83" t="s">
        <v>322</v>
      </c>
    </row>
    <row r="169" spans="1:5" ht="12.75">
      <c r="A169" s="82" t="s">
        <v>412</v>
      </c>
      <c r="B169" s="83">
        <v>3</v>
      </c>
      <c r="C169" s="83" t="s">
        <v>242</v>
      </c>
      <c r="D169" s="83">
        <v>29</v>
      </c>
      <c r="E169" s="83" t="s">
        <v>322</v>
      </c>
    </row>
    <row r="170" spans="1:5" ht="12.75">
      <c r="A170" s="82" t="s">
        <v>413</v>
      </c>
      <c r="B170" s="83">
        <v>5</v>
      </c>
      <c r="C170" s="83" t="s">
        <v>242</v>
      </c>
      <c r="D170" s="83">
        <v>29</v>
      </c>
      <c r="E170" s="83" t="s">
        <v>322</v>
      </c>
    </row>
    <row r="171" spans="1:5" ht="12.75">
      <c r="A171" s="82" t="s">
        <v>414</v>
      </c>
      <c r="B171" s="83">
        <v>2</v>
      </c>
      <c r="C171" s="83" t="s">
        <v>242</v>
      </c>
      <c r="D171" s="83">
        <v>29</v>
      </c>
      <c r="E171" s="83" t="s">
        <v>322</v>
      </c>
    </row>
    <row r="172" spans="1:5" ht="12.75">
      <c r="A172" s="82" t="s">
        <v>415</v>
      </c>
      <c r="B172" s="83">
        <v>3</v>
      </c>
      <c r="C172" s="83" t="s">
        <v>242</v>
      </c>
      <c r="D172" s="83">
        <v>29</v>
      </c>
      <c r="E172" s="83" t="s">
        <v>322</v>
      </c>
    </row>
    <row r="173" spans="1:5" ht="12.75">
      <c r="A173" s="82" t="s">
        <v>416</v>
      </c>
      <c r="B173" s="83">
        <v>4</v>
      </c>
      <c r="C173" s="83" t="s">
        <v>242</v>
      </c>
      <c r="D173" s="83">
        <v>29</v>
      </c>
      <c r="E173" s="83" t="s">
        <v>322</v>
      </c>
    </row>
    <row r="174" spans="1:5" ht="12.75">
      <c r="A174" s="82" t="s">
        <v>417</v>
      </c>
      <c r="B174" s="83">
        <v>6</v>
      </c>
      <c r="C174" s="83" t="s">
        <v>242</v>
      </c>
      <c r="D174" s="83">
        <v>29</v>
      </c>
      <c r="E174" s="83" t="s">
        <v>322</v>
      </c>
    </row>
    <row r="175" spans="1:5" ht="12.75">
      <c r="A175" s="82" t="s">
        <v>418</v>
      </c>
      <c r="B175" s="83">
        <v>8</v>
      </c>
      <c r="C175" s="83" t="s">
        <v>242</v>
      </c>
      <c r="D175" s="83">
        <v>29</v>
      </c>
      <c r="E175" s="83" t="s">
        <v>322</v>
      </c>
    </row>
    <row r="176" spans="1:5" ht="12.75">
      <c r="A176" s="82" t="s">
        <v>419</v>
      </c>
      <c r="B176" s="83">
        <v>12</v>
      </c>
      <c r="C176" s="83" t="s">
        <v>242</v>
      </c>
      <c r="D176" s="83">
        <v>29</v>
      </c>
      <c r="E176" s="83" t="s">
        <v>322</v>
      </c>
    </row>
    <row r="177" spans="1:5" ht="12.75">
      <c r="A177" s="82" t="s">
        <v>420</v>
      </c>
      <c r="B177" s="83">
        <v>6</v>
      </c>
      <c r="C177" s="83" t="s">
        <v>242</v>
      </c>
      <c r="D177" s="83">
        <v>30</v>
      </c>
      <c r="E177" s="83" t="s">
        <v>322</v>
      </c>
    </row>
    <row r="178" spans="1:5" ht="12.75">
      <c r="A178" s="82" t="s">
        <v>421</v>
      </c>
      <c r="B178" s="83">
        <v>7</v>
      </c>
      <c r="C178" s="83" t="s">
        <v>242</v>
      </c>
      <c r="D178" s="83">
        <v>30</v>
      </c>
      <c r="E178" s="83" t="s">
        <v>322</v>
      </c>
    </row>
    <row r="179" spans="1:5" ht="12.75">
      <c r="A179" s="82" t="s">
        <v>422</v>
      </c>
      <c r="B179" s="83">
        <v>4</v>
      </c>
      <c r="C179" s="83" t="s">
        <v>242</v>
      </c>
      <c r="D179" s="83">
        <v>30</v>
      </c>
      <c r="E179" s="83" t="s">
        <v>322</v>
      </c>
    </row>
    <row r="180" spans="1:5" ht="12.75">
      <c r="A180" s="82" t="s">
        <v>423</v>
      </c>
      <c r="B180" s="83">
        <v>15</v>
      </c>
      <c r="C180" s="83" t="s">
        <v>242</v>
      </c>
      <c r="D180" s="83">
        <v>31</v>
      </c>
      <c r="E180" s="83" t="s">
        <v>424</v>
      </c>
    </row>
    <row r="181" spans="1:5" ht="12.75">
      <c r="A181" s="82" t="s">
        <v>425</v>
      </c>
      <c r="B181" s="83">
        <v>40</v>
      </c>
      <c r="C181" s="83" t="s">
        <v>242</v>
      </c>
      <c r="D181" s="83">
        <v>31</v>
      </c>
      <c r="E181" s="83" t="s">
        <v>424</v>
      </c>
    </row>
    <row r="182" spans="1:5" ht="12.75">
      <c r="A182" s="82" t="s">
        <v>426</v>
      </c>
      <c r="B182" s="83">
        <v>15</v>
      </c>
      <c r="C182" s="83" t="s">
        <v>242</v>
      </c>
      <c r="D182" s="83">
        <v>31</v>
      </c>
      <c r="E182" s="83" t="s">
        <v>424</v>
      </c>
    </row>
    <row r="183" spans="1:5" ht="12.75">
      <c r="A183" s="82" t="s">
        <v>427</v>
      </c>
      <c r="B183" s="83">
        <v>30</v>
      </c>
      <c r="C183" s="83" t="s">
        <v>242</v>
      </c>
      <c r="D183" s="83">
        <v>31</v>
      </c>
      <c r="E183" s="83" t="s">
        <v>424</v>
      </c>
    </row>
    <row r="184" spans="1:5" ht="12.75">
      <c r="A184" s="82" t="s">
        <v>428</v>
      </c>
      <c r="B184" s="83">
        <v>35</v>
      </c>
      <c r="C184" s="83" t="s">
        <v>242</v>
      </c>
      <c r="D184" s="83">
        <v>31</v>
      </c>
      <c r="E184" s="83" t="s">
        <v>424</v>
      </c>
    </row>
    <row r="185" spans="1:5" ht="12.75">
      <c r="A185" s="82" t="s">
        <v>429</v>
      </c>
      <c r="B185" s="83">
        <v>40</v>
      </c>
      <c r="C185" s="83" t="s">
        <v>242</v>
      </c>
      <c r="D185" s="83">
        <v>31</v>
      </c>
      <c r="E185" s="83" t="s">
        <v>424</v>
      </c>
    </row>
    <row r="186" spans="1:5" ht="12.75">
      <c r="A186" s="82" t="s">
        <v>430</v>
      </c>
      <c r="B186" s="83">
        <v>3</v>
      </c>
      <c r="C186" s="83" t="s">
        <v>242</v>
      </c>
      <c r="D186" s="83">
        <v>31</v>
      </c>
      <c r="E186" s="83" t="s">
        <v>424</v>
      </c>
    </row>
    <row r="187" spans="1:5" ht="12.75">
      <c r="A187" s="82" t="s">
        <v>431</v>
      </c>
      <c r="B187" s="83">
        <v>45</v>
      </c>
      <c r="C187" s="83" t="s">
        <v>242</v>
      </c>
      <c r="D187" s="83">
        <v>31</v>
      </c>
      <c r="E187" s="83" t="s">
        <v>424</v>
      </c>
    </row>
    <row r="188" spans="1:5" ht="12.75">
      <c r="A188" s="82" t="s">
        <v>432</v>
      </c>
      <c r="B188" s="83">
        <v>20</v>
      </c>
      <c r="C188" s="83" t="s">
        <v>242</v>
      </c>
      <c r="D188" s="83">
        <v>31</v>
      </c>
      <c r="E188" s="83" t="s">
        <v>424</v>
      </c>
    </row>
    <row r="189" spans="1:5" ht="12.75">
      <c r="A189" s="82" t="s">
        <v>433</v>
      </c>
      <c r="B189" s="83">
        <v>110</v>
      </c>
      <c r="C189" s="83" t="s">
        <v>242</v>
      </c>
      <c r="D189" s="83">
        <v>32</v>
      </c>
      <c r="E189" s="83" t="s">
        <v>424</v>
      </c>
    </row>
    <row r="190" spans="1:5" ht="12.75">
      <c r="A190" s="82" t="s">
        <v>434</v>
      </c>
      <c r="B190" s="83">
        <v>70</v>
      </c>
      <c r="C190" s="83" t="s">
        <v>242</v>
      </c>
      <c r="D190" s="83">
        <v>32</v>
      </c>
      <c r="E190" s="83" t="s">
        <v>424</v>
      </c>
    </row>
    <row r="191" spans="1:5" ht="12.75">
      <c r="A191" s="82" t="s">
        <v>435</v>
      </c>
      <c r="B191" s="83">
        <v>70</v>
      </c>
      <c r="C191" s="83" t="s">
        <v>242</v>
      </c>
      <c r="D191" s="83">
        <v>32</v>
      </c>
      <c r="E191" s="83" t="s">
        <v>424</v>
      </c>
    </row>
    <row r="192" spans="1:5" ht="12.75">
      <c r="A192" s="82" t="s">
        <v>436</v>
      </c>
      <c r="B192" s="83">
        <v>30</v>
      </c>
      <c r="C192" s="83" t="s">
        <v>242</v>
      </c>
      <c r="D192" s="83">
        <v>32</v>
      </c>
      <c r="E192" s="83" t="s">
        <v>424</v>
      </c>
    </row>
    <row r="193" spans="1:5" ht="12.75">
      <c r="A193" s="82" t="s">
        <v>437</v>
      </c>
      <c r="B193" s="83">
        <v>15</v>
      </c>
      <c r="C193" s="83" t="s">
        <v>242</v>
      </c>
      <c r="D193" s="83">
        <v>32</v>
      </c>
      <c r="E193" s="83" t="s">
        <v>424</v>
      </c>
    </row>
    <row r="194" spans="1:5" ht="12.75">
      <c r="A194" s="82" t="s">
        <v>438</v>
      </c>
      <c r="B194" s="83">
        <v>30</v>
      </c>
      <c r="C194" s="83" t="s">
        <v>242</v>
      </c>
      <c r="D194" s="83">
        <v>32</v>
      </c>
      <c r="E194" s="83" t="s">
        <v>424</v>
      </c>
    </row>
    <row r="195" spans="1:5" ht="12.75">
      <c r="A195" s="82" t="s">
        <v>439</v>
      </c>
      <c r="B195" s="83">
        <v>17</v>
      </c>
      <c r="C195" s="83" t="s">
        <v>242</v>
      </c>
      <c r="D195" s="83">
        <v>32</v>
      </c>
      <c r="E195" s="83" t="s">
        <v>424</v>
      </c>
    </row>
    <row r="196" spans="1:5" ht="12.75">
      <c r="A196" s="82" t="s">
        <v>440</v>
      </c>
      <c r="B196" s="83">
        <v>4</v>
      </c>
      <c r="C196" s="83" t="s">
        <v>242</v>
      </c>
      <c r="D196" s="83">
        <v>32</v>
      </c>
      <c r="E196" s="83" t="s">
        <v>424</v>
      </c>
    </row>
    <row r="197" spans="1:5" ht="12.75">
      <c r="A197" s="82" t="s">
        <v>441</v>
      </c>
      <c r="B197" s="83">
        <v>4</v>
      </c>
      <c r="C197" s="83" t="s">
        <v>242</v>
      </c>
      <c r="D197" s="83">
        <v>32</v>
      </c>
      <c r="E197" s="83" t="s">
        <v>424</v>
      </c>
    </row>
    <row r="198" spans="1:5" ht="12.75">
      <c r="A198" s="82" t="s">
        <v>442</v>
      </c>
      <c r="B198" s="83">
        <v>10</v>
      </c>
      <c r="C198" s="83" t="s">
        <v>242</v>
      </c>
      <c r="D198" s="83">
        <v>32</v>
      </c>
      <c r="E198" s="83" t="s">
        <v>424</v>
      </c>
    </row>
    <row r="199" spans="1:5" ht="12.75">
      <c r="A199" s="82" t="s">
        <v>443</v>
      </c>
      <c r="B199" s="83">
        <v>0.4</v>
      </c>
      <c r="C199" s="83" t="s">
        <v>242</v>
      </c>
      <c r="D199" s="83">
        <v>32</v>
      </c>
      <c r="E199" s="83" t="s">
        <v>424</v>
      </c>
    </row>
    <row r="200" spans="1:5" ht="12.75">
      <c r="A200" s="82" t="s">
        <v>444</v>
      </c>
      <c r="B200" s="83">
        <v>20</v>
      </c>
      <c r="C200" s="83" t="s">
        <v>242</v>
      </c>
      <c r="D200" s="83">
        <v>32</v>
      </c>
      <c r="E200" s="83" t="s">
        <v>424</v>
      </c>
    </row>
    <row r="201" spans="1:5" ht="12.75">
      <c r="A201" s="82" t="s">
        <v>445</v>
      </c>
      <c r="B201" s="83">
        <v>12</v>
      </c>
      <c r="C201" s="83" t="s">
        <v>242</v>
      </c>
      <c r="D201" s="83">
        <v>32</v>
      </c>
      <c r="E201" s="83" t="s">
        <v>424</v>
      </c>
    </row>
    <row r="202" spans="1:5" ht="12.75">
      <c r="A202" s="82" t="s">
        <v>446</v>
      </c>
      <c r="B202" s="83">
        <v>35</v>
      </c>
      <c r="C202" s="83" t="s">
        <v>242</v>
      </c>
      <c r="D202" s="83">
        <v>32</v>
      </c>
      <c r="E202" s="83" t="s">
        <v>424</v>
      </c>
    </row>
    <row r="203" spans="1:5" ht="12.75">
      <c r="A203" s="82" t="s">
        <v>447</v>
      </c>
      <c r="B203" s="83">
        <v>20</v>
      </c>
      <c r="C203" s="83" t="s">
        <v>242</v>
      </c>
      <c r="D203" s="83">
        <v>32</v>
      </c>
      <c r="E203" s="83" t="s">
        <v>424</v>
      </c>
    </row>
    <row r="204" spans="1:5" ht="12.75">
      <c r="A204" s="82" t="s">
        <v>448</v>
      </c>
      <c r="B204" s="83">
        <v>45</v>
      </c>
      <c r="C204" s="83" t="s">
        <v>242</v>
      </c>
      <c r="D204" s="83">
        <v>32</v>
      </c>
      <c r="E204" s="83" t="s">
        <v>424</v>
      </c>
    </row>
    <row r="205" spans="1:5" ht="12.75">
      <c r="A205" s="82" t="s">
        <v>449</v>
      </c>
      <c r="B205" s="83">
        <v>25</v>
      </c>
      <c r="C205" s="83" t="s">
        <v>242</v>
      </c>
      <c r="D205" s="83">
        <v>32</v>
      </c>
      <c r="E205" s="83" t="s">
        <v>424</v>
      </c>
    </row>
    <row r="206" spans="1:5" ht="12.75">
      <c r="A206" s="82" t="s">
        <v>450</v>
      </c>
      <c r="B206" s="83">
        <v>7</v>
      </c>
      <c r="C206" s="83" t="s">
        <v>242</v>
      </c>
      <c r="D206" s="83">
        <v>32</v>
      </c>
      <c r="E206" s="83" t="s">
        <v>424</v>
      </c>
    </row>
    <row r="207" spans="1:5" ht="12.75">
      <c r="A207" s="82" t="s">
        <v>451</v>
      </c>
      <c r="B207" s="83">
        <v>1</v>
      </c>
      <c r="C207" s="83" t="s">
        <v>242</v>
      </c>
      <c r="D207" s="83">
        <v>32</v>
      </c>
      <c r="E207" s="83" t="s">
        <v>424</v>
      </c>
    </row>
    <row r="208" spans="1:5" ht="12.75">
      <c r="A208" s="82" t="s">
        <v>452</v>
      </c>
      <c r="B208" s="83">
        <v>5</v>
      </c>
      <c r="C208" s="83" t="s">
        <v>242</v>
      </c>
      <c r="D208" s="83">
        <v>33</v>
      </c>
      <c r="E208" s="83" t="s">
        <v>424</v>
      </c>
    </row>
    <row r="209" spans="1:5" ht="12.75">
      <c r="A209" s="82" t="s">
        <v>453</v>
      </c>
      <c r="B209" s="83">
        <v>3</v>
      </c>
      <c r="C209" s="83" t="s">
        <v>242</v>
      </c>
      <c r="D209" s="83">
        <v>33</v>
      </c>
      <c r="E209" s="83" t="s">
        <v>424</v>
      </c>
    </row>
    <row r="210" spans="1:5" ht="12.75">
      <c r="A210" s="82" t="s">
        <v>454</v>
      </c>
      <c r="B210" s="83">
        <v>1</v>
      </c>
      <c r="C210" s="83" t="s">
        <v>242</v>
      </c>
      <c r="D210" s="83">
        <v>33</v>
      </c>
      <c r="E210" s="83" t="s">
        <v>424</v>
      </c>
    </row>
    <row r="211" spans="1:5" ht="12.75">
      <c r="A211" s="82" t="s">
        <v>455</v>
      </c>
      <c r="B211" s="83">
        <v>10</v>
      </c>
      <c r="C211" s="83" t="s">
        <v>242</v>
      </c>
      <c r="D211" s="83">
        <v>33</v>
      </c>
      <c r="E211" s="83" t="s">
        <v>424</v>
      </c>
    </row>
    <row r="212" spans="1:5" ht="12.75">
      <c r="A212" s="82" t="s">
        <v>456</v>
      </c>
      <c r="B212" s="83">
        <v>4</v>
      </c>
      <c r="C212" s="83" t="s">
        <v>242</v>
      </c>
      <c r="D212" s="83">
        <v>33</v>
      </c>
      <c r="E212" s="83" t="s">
        <v>424</v>
      </c>
    </row>
    <row r="213" spans="1:5" ht="12.75">
      <c r="A213" s="82" t="s">
        <v>457</v>
      </c>
      <c r="B213" s="83">
        <v>1</v>
      </c>
      <c r="C213" s="83" t="s">
        <v>242</v>
      </c>
      <c r="D213" s="83">
        <v>33</v>
      </c>
      <c r="E213" s="83" t="s">
        <v>424</v>
      </c>
    </row>
    <row r="214" spans="1:5" ht="12.75">
      <c r="A214" s="82" t="s">
        <v>458</v>
      </c>
      <c r="B214" s="83">
        <v>4</v>
      </c>
      <c r="C214" s="83" t="s">
        <v>242</v>
      </c>
      <c r="D214" s="83">
        <v>34</v>
      </c>
      <c r="E214" s="83" t="s">
        <v>424</v>
      </c>
    </row>
    <row r="215" spans="1:5" ht="12.75">
      <c r="A215" s="82" t="s">
        <v>459</v>
      </c>
      <c r="B215" s="83">
        <v>6</v>
      </c>
      <c r="C215" s="83" t="s">
        <v>242</v>
      </c>
      <c r="D215" s="83">
        <v>34</v>
      </c>
      <c r="E215" s="83" t="s">
        <v>424</v>
      </c>
    </row>
    <row r="216" spans="1:5" ht="12.75">
      <c r="A216" s="82" t="s">
        <v>460</v>
      </c>
      <c r="B216" s="83">
        <v>5</v>
      </c>
      <c r="C216" s="83" t="s">
        <v>242</v>
      </c>
      <c r="D216" s="83">
        <v>34</v>
      </c>
      <c r="E216" s="83" t="s">
        <v>424</v>
      </c>
    </row>
    <row r="217" spans="1:5" ht="12.75">
      <c r="A217" s="82" t="s">
        <v>461</v>
      </c>
      <c r="B217" s="83">
        <v>9</v>
      </c>
      <c r="C217" s="83" t="s">
        <v>242</v>
      </c>
      <c r="D217" s="83">
        <v>34</v>
      </c>
      <c r="E217" s="83" t="s">
        <v>424</v>
      </c>
    </row>
    <row r="218" spans="1:5" ht="12.75">
      <c r="A218" s="82" t="s">
        <v>462</v>
      </c>
      <c r="B218" s="83">
        <v>10</v>
      </c>
      <c r="C218" s="83" t="s">
        <v>242</v>
      </c>
      <c r="D218" s="83">
        <v>34</v>
      </c>
      <c r="E218" s="83" t="s">
        <v>424</v>
      </c>
    </row>
    <row r="219" spans="1:5" ht="12.75">
      <c r="A219" s="82" t="s">
        <v>463</v>
      </c>
      <c r="B219" s="83">
        <v>10</v>
      </c>
      <c r="C219" s="83" t="s">
        <v>242</v>
      </c>
      <c r="D219" s="83">
        <v>34</v>
      </c>
      <c r="E219" s="83" t="s">
        <v>424</v>
      </c>
    </row>
    <row r="220" spans="1:5" ht="12.75">
      <c r="A220" s="82" t="s">
        <v>464</v>
      </c>
      <c r="B220" s="83">
        <v>10</v>
      </c>
      <c r="C220" s="83" t="s">
        <v>242</v>
      </c>
      <c r="D220" s="83">
        <v>34</v>
      </c>
      <c r="E220" s="83" t="s">
        <v>424</v>
      </c>
    </row>
    <row r="221" spans="1:5" ht="12.75">
      <c r="A221" s="82" t="s">
        <v>465</v>
      </c>
      <c r="B221" s="84"/>
      <c r="C221" s="83" t="s">
        <v>242</v>
      </c>
      <c r="D221" s="83">
        <v>35</v>
      </c>
      <c r="E221" s="83" t="s">
        <v>424</v>
      </c>
    </row>
    <row r="222" spans="1:5" ht="12.75">
      <c r="A222" s="82" t="s">
        <v>466</v>
      </c>
      <c r="B222" s="83">
        <v>12</v>
      </c>
      <c r="C222" s="83" t="s">
        <v>242</v>
      </c>
      <c r="D222" s="83">
        <v>35</v>
      </c>
      <c r="E222" s="83" t="s">
        <v>424</v>
      </c>
    </row>
    <row r="223" spans="1:5" ht="12.75">
      <c r="A223" s="82" t="s">
        <v>467</v>
      </c>
      <c r="B223" s="83">
        <v>12</v>
      </c>
      <c r="C223" s="83" t="s">
        <v>242</v>
      </c>
      <c r="D223" s="83">
        <v>35</v>
      </c>
      <c r="E223" s="83" t="s">
        <v>424</v>
      </c>
    </row>
    <row r="224" spans="1:5" ht="12.75">
      <c r="A224" s="82" t="s">
        <v>468</v>
      </c>
      <c r="B224" s="83">
        <v>12</v>
      </c>
      <c r="C224" s="83" t="s">
        <v>242</v>
      </c>
      <c r="D224" s="83">
        <v>35</v>
      </c>
      <c r="E224" s="83" t="s">
        <v>424</v>
      </c>
    </row>
    <row r="225" spans="1:5" ht="12.75">
      <c r="A225" s="82" t="s">
        <v>469</v>
      </c>
      <c r="B225" s="84"/>
      <c r="C225" s="83" t="s">
        <v>242</v>
      </c>
      <c r="D225" s="83">
        <v>35</v>
      </c>
      <c r="E225" s="83" t="s">
        <v>424</v>
      </c>
    </row>
    <row r="226" spans="1:5" ht="12.75">
      <c r="A226" s="82" t="s">
        <v>470</v>
      </c>
      <c r="B226" s="84"/>
      <c r="C226" s="83" t="s">
        <v>242</v>
      </c>
      <c r="D226" s="83">
        <v>35</v>
      </c>
      <c r="E226" s="83" t="s">
        <v>424</v>
      </c>
    </row>
    <row r="227" spans="1:5" ht="12.75">
      <c r="A227" s="82" t="s">
        <v>471</v>
      </c>
      <c r="B227" s="84"/>
      <c r="C227" s="83" t="s">
        <v>242</v>
      </c>
      <c r="D227" s="83">
        <v>35</v>
      </c>
      <c r="E227" s="83" t="s">
        <v>424</v>
      </c>
    </row>
    <row r="228" spans="1:5" ht="12.75">
      <c r="A228" s="82" t="s">
        <v>472</v>
      </c>
      <c r="B228" s="84"/>
      <c r="C228" s="83" t="s">
        <v>242</v>
      </c>
      <c r="D228" s="83">
        <v>35</v>
      </c>
      <c r="E228" s="83" t="s">
        <v>424</v>
      </c>
    </row>
    <row r="229" spans="1:5" ht="12.75">
      <c r="A229" s="82" t="s">
        <v>473</v>
      </c>
      <c r="B229" s="84"/>
      <c r="C229" s="83" t="s">
        <v>242</v>
      </c>
      <c r="D229" s="83">
        <v>35</v>
      </c>
      <c r="E229" s="83" t="s">
        <v>424</v>
      </c>
    </row>
    <row r="230" spans="1:5" ht="12.75">
      <c r="A230" s="82" t="s">
        <v>474</v>
      </c>
      <c r="B230" s="83">
        <v>8</v>
      </c>
      <c r="C230" s="83" t="s">
        <v>242</v>
      </c>
      <c r="D230" s="83">
        <v>35</v>
      </c>
      <c r="E230" s="83" t="s">
        <v>424</v>
      </c>
    </row>
    <row r="231" spans="1:5" ht="12.75">
      <c r="A231" s="82" t="s">
        <v>475</v>
      </c>
      <c r="B231" s="83">
        <v>15</v>
      </c>
      <c r="C231" s="83" t="s">
        <v>242</v>
      </c>
      <c r="D231" s="83">
        <v>35</v>
      </c>
      <c r="E231" s="83" t="s">
        <v>424</v>
      </c>
    </row>
    <row r="232" spans="1:5" ht="12.75">
      <c r="A232" s="82" t="s">
        <v>476</v>
      </c>
      <c r="B232" s="83">
        <v>10</v>
      </c>
      <c r="C232" s="83" t="s">
        <v>242</v>
      </c>
      <c r="D232" s="83">
        <v>35</v>
      </c>
      <c r="E232" s="83" t="s">
        <v>424</v>
      </c>
    </row>
    <row r="233" spans="1:5" ht="12.75">
      <c r="A233" s="82" t="s">
        <v>477</v>
      </c>
      <c r="B233" s="84"/>
      <c r="C233" s="83" t="s">
        <v>242</v>
      </c>
      <c r="D233" s="83">
        <v>35</v>
      </c>
      <c r="E233" s="83" t="s">
        <v>424</v>
      </c>
    </row>
    <row r="234" spans="1:5" ht="12.75">
      <c r="A234" s="82" t="s">
        <v>478</v>
      </c>
      <c r="B234" s="83">
        <v>10</v>
      </c>
      <c r="C234" s="83" t="s">
        <v>242</v>
      </c>
      <c r="D234" s="83">
        <v>35</v>
      </c>
      <c r="E234" s="83" t="s">
        <v>424</v>
      </c>
    </row>
    <row r="235" spans="1:5" ht="12.75">
      <c r="A235" s="82" t="s">
        <v>479</v>
      </c>
      <c r="B235" s="83">
        <v>10</v>
      </c>
      <c r="C235" s="83" t="s">
        <v>242</v>
      </c>
      <c r="D235" s="83">
        <v>35</v>
      </c>
      <c r="E235" s="83" t="s">
        <v>424</v>
      </c>
    </row>
    <row r="236" spans="1:5" ht="12.75">
      <c r="A236" s="82" t="s">
        <v>480</v>
      </c>
      <c r="B236" s="83">
        <v>12</v>
      </c>
      <c r="C236" s="83" t="s">
        <v>242</v>
      </c>
      <c r="D236" s="83">
        <v>35</v>
      </c>
      <c r="E236" s="83" t="s">
        <v>424</v>
      </c>
    </row>
    <row r="237" spans="1:5" ht="12.75">
      <c r="A237" s="82" t="s">
        <v>481</v>
      </c>
      <c r="B237" s="83">
        <v>5</v>
      </c>
      <c r="C237" s="83" t="s">
        <v>242</v>
      </c>
      <c r="D237" s="83">
        <v>35</v>
      </c>
      <c r="E237" s="83" t="s">
        <v>424</v>
      </c>
    </row>
    <row r="238" spans="1:5" ht="12.75">
      <c r="A238" s="82" t="s">
        <v>482</v>
      </c>
      <c r="B238" s="83">
        <v>10</v>
      </c>
      <c r="C238" s="83" t="s">
        <v>242</v>
      </c>
      <c r="D238" s="83">
        <v>36</v>
      </c>
      <c r="E238" s="83" t="s">
        <v>424</v>
      </c>
    </row>
    <row r="239" spans="1:5" ht="12.75">
      <c r="A239" s="82" t="s">
        <v>483</v>
      </c>
      <c r="B239" s="84"/>
      <c r="C239" s="83" t="s">
        <v>242</v>
      </c>
      <c r="D239" s="83">
        <v>36</v>
      </c>
      <c r="E239" s="83" t="s">
        <v>424</v>
      </c>
    </row>
    <row r="240" spans="1:5" ht="12.75">
      <c r="A240" s="82" t="s">
        <v>484</v>
      </c>
      <c r="B240" s="84"/>
      <c r="C240" s="83" t="s">
        <v>242</v>
      </c>
      <c r="D240" s="83">
        <v>36</v>
      </c>
      <c r="E240" s="83" t="s">
        <v>424</v>
      </c>
    </row>
    <row r="241" spans="1:5" ht="12.75">
      <c r="A241" s="82" t="s">
        <v>485</v>
      </c>
      <c r="B241" s="83" t="s">
        <v>320</v>
      </c>
      <c r="C241" s="83" t="s">
        <v>242</v>
      </c>
      <c r="D241" s="83">
        <v>36</v>
      </c>
      <c r="E241" s="83" t="s">
        <v>424</v>
      </c>
    </row>
    <row r="242" spans="1:5" ht="12.75">
      <c r="A242" s="82" t="s">
        <v>486</v>
      </c>
      <c r="B242" s="83">
        <v>10</v>
      </c>
      <c r="C242" s="83" t="s">
        <v>242</v>
      </c>
      <c r="D242" s="83">
        <v>39</v>
      </c>
      <c r="E242" s="83" t="s">
        <v>487</v>
      </c>
    </row>
    <row r="243" spans="1:5" ht="12.75">
      <c r="A243" s="82" t="s">
        <v>488</v>
      </c>
      <c r="B243" s="83">
        <v>4</v>
      </c>
      <c r="C243" s="83" t="s">
        <v>242</v>
      </c>
      <c r="D243" s="83">
        <v>39</v>
      </c>
      <c r="E243" s="83" t="s">
        <v>487</v>
      </c>
    </row>
    <row r="244" spans="1:5" ht="12.75">
      <c r="A244" s="82" t="s">
        <v>489</v>
      </c>
      <c r="B244" s="83">
        <v>10</v>
      </c>
      <c r="C244" s="83" t="s">
        <v>242</v>
      </c>
      <c r="D244" s="83">
        <v>39</v>
      </c>
      <c r="E244" s="83" t="s">
        <v>487</v>
      </c>
    </row>
    <row r="245" spans="1:5" ht="12.75">
      <c r="A245" s="82" t="s">
        <v>490</v>
      </c>
      <c r="B245" s="83">
        <v>8</v>
      </c>
      <c r="C245" s="83" t="s">
        <v>242</v>
      </c>
      <c r="D245" s="83">
        <v>39</v>
      </c>
      <c r="E245" s="83" t="s">
        <v>487</v>
      </c>
    </row>
    <row r="246" spans="1:5" ht="12.75">
      <c r="A246" s="82" t="s">
        <v>491</v>
      </c>
      <c r="B246" s="83">
        <v>60</v>
      </c>
      <c r="C246" s="83" t="s">
        <v>242</v>
      </c>
      <c r="D246" s="83">
        <v>40</v>
      </c>
      <c r="E246" s="83" t="s">
        <v>487</v>
      </c>
    </row>
    <row r="247" spans="1:5" ht="12.75">
      <c r="A247" s="82" t="s">
        <v>492</v>
      </c>
      <c r="B247" s="83">
        <v>0.01</v>
      </c>
      <c r="C247" s="83" t="s">
        <v>242</v>
      </c>
      <c r="D247" s="83">
        <v>40</v>
      </c>
      <c r="E247" s="83" t="s">
        <v>487</v>
      </c>
    </row>
    <row r="248" spans="1:5" ht="12.75">
      <c r="A248" s="82" t="s">
        <v>493</v>
      </c>
      <c r="B248" s="83">
        <v>0.03</v>
      </c>
      <c r="C248" s="83" t="s">
        <v>242</v>
      </c>
      <c r="D248" s="83">
        <v>40</v>
      </c>
      <c r="E248" s="83" t="s">
        <v>487</v>
      </c>
    </row>
    <row r="249" spans="1:5" ht="12.75">
      <c r="A249" s="82" t="s">
        <v>494</v>
      </c>
      <c r="B249" s="83">
        <v>0.06</v>
      </c>
      <c r="C249" s="83" t="s">
        <v>242</v>
      </c>
      <c r="D249" s="83">
        <v>40</v>
      </c>
      <c r="E249" s="83" t="s">
        <v>487</v>
      </c>
    </row>
    <row r="250" spans="1:5" ht="12.75">
      <c r="A250" s="82" t="s">
        <v>495</v>
      </c>
      <c r="B250" s="83">
        <v>0.08</v>
      </c>
      <c r="C250" s="83" t="s">
        <v>242</v>
      </c>
      <c r="D250" s="83">
        <v>40</v>
      </c>
      <c r="E250" s="83" t="s">
        <v>487</v>
      </c>
    </row>
    <row r="251" spans="1:5" ht="12.75">
      <c r="A251" s="82" t="s">
        <v>496</v>
      </c>
      <c r="B251" s="83">
        <v>0.1</v>
      </c>
      <c r="C251" s="83" t="s">
        <v>242</v>
      </c>
      <c r="D251" s="83">
        <v>40</v>
      </c>
      <c r="E251" s="83" t="s">
        <v>487</v>
      </c>
    </row>
    <row r="252" spans="1:5" ht="12.75">
      <c r="A252" s="82" t="s">
        <v>497</v>
      </c>
      <c r="B252" s="83">
        <v>30</v>
      </c>
      <c r="C252" s="83" t="s">
        <v>242</v>
      </c>
      <c r="D252" s="83">
        <v>40</v>
      </c>
      <c r="E252" s="83" t="s">
        <v>487</v>
      </c>
    </row>
    <row r="253" spans="1:5" ht="12.75">
      <c r="A253" s="82" t="s">
        <v>498</v>
      </c>
      <c r="B253" s="83">
        <v>0.5</v>
      </c>
      <c r="C253" s="83" t="s">
        <v>242</v>
      </c>
      <c r="D253" s="83">
        <v>40</v>
      </c>
      <c r="E253" s="83" t="s">
        <v>487</v>
      </c>
    </row>
    <row r="254" spans="1:5" ht="12.75">
      <c r="A254" s="82" t="s">
        <v>499</v>
      </c>
      <c r="B254" s="83">
        <v>1</v>
      </c>
      <c r="C254" s="83" t="s">
        <v>242</v>
      </c>
      <c r="D254" s="83">
        <v>40</v>
      </c>
      <c r="E254" s="83" t="s">
        <v>487</v>
      </c>
    </row>
    <row r="255" spans="1:5" ht="12.75">
      <c r="A255" s="82" t="s">
        <v>500</v>
      </c>
      <c r="B255" s="83">
        <v>3</v>
      </c>
      <c r="C255" s="83" t="s">
        <v>242</v>
      </c>
      <c r="D255" s="83">
        <v>40</v>
      </c>
      <c r="E255" s="83" t="s">
        <v>487</v>
      </c>
    </row>
    <row r="256" spans="1:5" ht="12.75">
      <c r="A256" s="82" t="s">
        <v>501</v>
      </c>
      <c r="B256" s="83">
        <v>0.2</v>
      </c>
      <c r="C256" s="83" t="s">
        <v>242</v>
      </c>
      <c r="D256" s="83">
        <v>40</v>
      </c>
      <c r="E256" s="83" t="s">
        <v>487</v>
      </c>
    </row>
    <row r="257" spans="1:5" ht="12.75">
      <c r="A257" s="82" t="s">
        <v>502</v>
      </c>
      <c r="B257" s="83">
        <v>5</v>
      </c>
      <c r="C257" s="83" t="s">
        <v>242</v>
      </c>
      <c r="D257" s="83">
        <v>40</v>
      </c>
      <c r="E257" s="83" t="s">
        <v>487</v>
      </c>
    </row>
    <row r="258" spans="1:5" ht="12.75">
      <c r="A258" s="82" t="s">
        <v>503</v>
      </c>
      <c r="B258" s="83">
        <v>0.5</v>
      </c>
      <c r="C258" s="83" t="s">
        <v>242</v>
      </c>
      <c r="D258" s="83">
        <v>40</v>
      </c>
      <c r="E258" s="83" t="s">
        <v>487</v>
      </c>
    </row>
    <row r="259" spans="1:5" ht="12.75">
      <c r="A259" s="82" t="s">
        <v>504</v>
      </c>
      <c r="B259" s="83">
        <v>0.8</v>
      </c>
      <c r="C259" s="83" t="s">
        <v>242</v>
      </c>
      <c r="D259" s="83">
        <v>40</v>
      </c>
      <c r="E259" s="83" t="s">
        <v>487</v>
      </c>
    </row>
    <row r="260" spans="1:5" ht="12.75">
      <c r="A260" s="82" t="s">
        <v>505</v>
      </c>
      <c r="B260" s="83">
        <v>0.1</v>
      </c>
      <c r="C260" s="83" t="s">
        <v>242</v>
      </c>
      <c r="D260" s="83">
        <v>40</v>
      </c>
      <c r="E260" s="83" t="s">
        <v>487</v>
      </c>
    </row>
    <row r="261" spans="1:5" ht="12.75">
      <c r="A261" s="82" t="s">
        <v>506</v>
      </c>
      <c r="B261" s="83">
        <v>5</v>
      </c>
      <c r="C261" s="83" t="s">
        <v>242</v>
      </c>
      <c r="D261" s="83">
        <v>40</v>
      </c>
      <c r="E261" s="83" t="s">
        <v>487</v>
      </c>
    </row>
    <row r="262" spans="1:5" ht="12.75">
      <c r="A262" s="82" t="s">
        <v>507</v>
      </c>
      <c r="B262" s="83">
        <v>10</v>
      </c>
      <c r="C262" s="83" t="s">
        <v>242</v>
      </c>
      <c r="D262" s="83">
        <v>40</v>
      </c>
      <c r="E262" s="83" t="s">
        <v>487</v>
      </c>
    </row>
    <row r="263" spans="1:5" ht="12.75">
      <c r="A263" s="82" t="s">
        <v>508</v>
      </c>
      <c r="B263" s="83">
        <v>5</v>
      </c>
      <c r="C263" s="83" t="s">
        <v>242</v>
      </c>
      <c r="D263" s="83">
        <v>40</v>
      </c>
      <c r="E263" s="83" t="s">
        <v>487</v>
      </c>
    </row>
    <row r="264" spans="1:5" ht="12.75">
      <c r="A264" s="82" t="s">
        <v>509</v>
      </c>
      <c r="B264" s="83">
        <v>0.5</v>
      </c>
      <c r="C264" s="83" t="s">
        <v>242</v>
      </c>
      <c r="D264" s="83">
        <v>40</v>
      </c>
      <c r="E264" s="83" t="s">
        <v>487</v>
      </c>
    </row>
    <row r="265" spans="1:5" ht="12.75">
      <c r="A265" s="82" t="s">
        <v>510</v>
      </c>
      <c r="B265" s="83">
        <v>15</v>
      </c>
      <c r="C265" s="83" t="s">
        <v>242</v>
      </c>
      <c r="D265" s="83">
        <v>41</v>
      </c>
      <c r="E265" s="83" t="s">
        <v>487</v>
      </c>
    </row>
    <row r="266" spans="1:5" ht="12.75">
      <c r="A266" s="82" t="s">
        <v>511</v>
      </c>
      <c r="B266" s="83" t="s">
        <v>320</v>
      </c>
      <c r="C266" s="83" t="s">
        <v>242</v>
      </c>
      <c r="D266" s="83">
        <v>41</v>
      </c>
      <c r="E266" s="83" t="s">
        <v>487</v>
      </c>
    </row>
    <row r="267" spans="1:5" ht="12.75">
      <c r="A267" s="82" t="s">
        <v>512</v>
      </c>
      <c r="B267" s="83">
        <v>25</v>
      </c>
      <c r="C267" s="83" t="s">
        <v>242</v>
      </c>
      <c r="D267" s="83">
        <v>41</v>
      </c>
      <c r="E267" s="83" t="s">
        <v>487</v>
      </c>
    </row>
    <row r="268" spans="1:5" ht="12.75">
      <c r="A268" s="82" t="s">
        <v>513</v>
      </c>
      <c r="B268" s="83">
        <v>1</v>
      </c>
      <c r="C268" s="83" t="s">
        <v>242</v>
      </c>
      <c r="D268" s="83">
        <v>42</v>
      </c>
      <c r="E268" s="83" t="s">
        <v>487</v>
      </c>
    </row>
    <row r="269" spans="1:5" ht="12.75">
      <c r="A269" s="82" t="s">
        <v>514</v>
      </c>
      <c r="B269" s="83">
        <v>1</v>
      </c>
      <c r="C269" s="83" t="s">
        <v>242</v>
      </c>
      <c r="D269" s="83">
        <v>42</v>
      </c>
      <c r="E269" s="83" t="s">
        <v>487</v>
      </c>
    </row>
    <row r="270" spans="1:5" ht="12.75">
      <c r="A270" s="82" t="s">
        <v>515</v>
      </c>
      <c r="B270" s="83">
        <v>1</v>
      </c>
      <c r="C270" s="83" t="s">
        <v>242</v>
      </c>
      <c r="D270" s="83">
        <v>42</v>
      </c>
      <c r="E270" s="83" t="s">
        <v>487</v>
      </c>
    </row>
    <row r="271" spans="1:5" ht="12.75">
      <c r="A271" s="82" t="s">
        <v>516</v>
      </c>
      <c r="B271" s="83">
        <v>10</v>
      </c>
      <c r="C271" s="83" t="s">
        <v>242</v>
      </c>
      <c r="D271" s="83">
        <v>42</v>
      </c>
      <c r="E271" s="83" t="s">
        <v>487</v>
      </c>
    </row>
    <row r="272" spans="1:5" ht="12.75">
      <c r="A272" s="82" t="s">
        <v>517</v>
      </c>
      <c r="B272" s="83">
        <v>40</v>
      </c>
      <c r="C272" s="83" t="s">
        <v>242</v>
      </c>
      <c r="D272" s="83">
        <v>42</v>
      </c>
      <c r="E272" s="83" t="s">
        <v>487</v>
      </c>
    </row>
    <row r="273" spans="1:5" ht="12.75">
      <c r="A273" s="82" t="s">
        <v>518</v>
      </c>
      <c r="B273" s="83">
        <v>10</v>
      </c>
      <c r="C273" s="83" t="s">
        <v>242</v>
      </c>
      <c r="D273" s="83">
        <v>42</v>
      </c>
      <c r="E273" s="83" t="s">
        <v>487</v>
      </c>
    </row>
    <row r="274" spans="1:5" ht="12.75">
      <c r="A274" s="82" t="s">
        <v>519</v>
      </c>
      <c r="B274" s="83">
        <v>0.1</v>
      </c>
      <c r="C274" s="83" t="s">
        <v>242</v>
      </c>
      <c r="D274" s="83">
        <v>43</v>
      </c>
      <c r="E274" s="83" t="s">
        <v>487</v>
      </c>
    </row>
    <row r="275" spans="1:5" ht="12.75">
      <c r="A275" s="82" t="s">
        <v>520</v>
      </c>
      <c r="B275" s="83">
        <v>0.1</v>
      </c>
      <c r="C275" s="83" t="s">
        <v>242</v>
      </c>
      <c r="D275" s="83">
        <v>43</v>
      </c>
      <c r="E275" s="83" t="s">
        <v>487</v>
      </c>
    </row>
    <row r="276" spans="1:5" ht="12.75">
      <c r="A276" s="82" t="s">
        <v>521</v>
      </c>
      <c r="B276" s="83">
        <v>1</v>
      </c>
      <c r="C276" s="83" t="s">
        <v>242</v>
      </c>
      <c r="D276" s="83">
        <v>43</v>
      </c>
      <c r="E276" s="83" t="s">
        <v>487</v>
      </c>
    </row>
    <row r="277" spans="1:5" ht="12.75">
      <c r="A277" s="82" t="s">
        <v>522</v>
      </c>
      <c r="B277" s="83">
        <v>2</v>
      </c>
      <c r="C277" s="83" t="s">
        <v>242</v>
      </c>
      <c r="D277" s="83">
        <v>43</v>
      </c>
      <c r="E277" s="83" t="s">
        <v>487</v>
      </c>
    </row>
    <row r="278" spans="1:5" ht="12.75">
      <c r="A278" s="82" t="s">
        <v>523</v>
      </c>
      <c r="B278" s="83">
        <v>5</v>
      </c>
      <c r="C278" s="83" t="s">
        <v>242</v>
      </c>
      <c r="D278" s="83">
        <v>43</v>
      </c>
      <c r="E278" s="83" t="s">
        <v>487</v>
      </c>
    </row>
    <row r="279" spans="1:5" ht="12.75">
      <c r="A279" s="82" t="s">
        <v>524</v>
      </c>
      <c r="B279" s="83">
        <v>0.05</v>
      </c>
      <c r="C279" s="83" t="s">
        <v>242</v>
      </c>
      <c r="D279" s="83">
        <v>43</v>
      </c>
      <c r="E279" s="83" t="s">
        <v>487</v>
      </c>
    </row>
    <row r="280" spans="1:5" ht="12.75">
      <c r="A280" s="82" t="s">
        <v>525</v>
      </c>
      <c r="B280" s="83">
        <v>5</v>
      </c>
      <c r="C280" s="83" t="s">
        <v>242</v>
      </c>
      <c r="D280" s="83">
        <v>43</v>
      </c>
      <c r="E280" s="83" t="s">
        <v>487</v>
      </c>
    </row>
    <row r="281" spans="1:5" ht="12.75">
      <c r="A281" s="82" t="s">
        <v>526</v>
      </c>
      <c r="B281" s="83">
        <v>5</v>
      </c>
      <c r="C281" s="83" t="s">
        <v>242</v>
      </c>
      <c r="D281" s="83">
        <v>43</v>
      </c>
      <c r="E281" s="83" t="s">
        <v>487</v>
      </c>
    </row>
    <row r="282" spans="1:5" ht="12.75">
      <c r="A282" s="82" t="s">
        <v>527</v>
      </c>
      <c r="B282" s="83">
        <v>3</v>
      </c>
      <c r="C282" s="83" t="s">
        <v>242</v>
      </c>
      <c r="D282" s="83">
        <v>43</v>
      </c>
      <c r="E282" s="83" t="s">
        <v>487</v>
      </c>
    </row>
    <row r="283" spans="1:5" ht="12.75">
      <c r="A283" s="82" t="s">
        <v>528</v>
      </c>
      <c r="B283" s="83">
        <v>7</v>
      </c>
      <c r="C283" s="83" t="s">
        <v>242</v>
      </c>
      <c r="D283" s="83">
        <v>43</v>
      </c>
      <c r="E283" s="83" t="s">
        <v>487</v>
      </c>
    </row>
    <row r="284" spans="1:5" ht="12.75">
      <c r="A284" s="82" t="s">
        <v>529</v>
      </c>
      <c r="B284" s="83">
        <v>10</v>
      </c>
      <c r="C284" s="83" t="s">
        <v>242</v>
      </c>
      <c r="D284" s="83">
        <v>43</v>
      </c>
      <c r="E284" s="83" t="s">
        <v>487</v>
      </c>
    </row>
    <row r="285" spans="1:5" ht="12.75">
      <c r="A285" s="82" t="s">
        <v>530</v>
      </c>
      <c r="B285" s="83">
        <v>7</v>
      </c>
      <c r="C285" s="83" t="s">
        <v>242</v>
      </c>
      <c r="D285" s="83">
        <v>43</v>
      </c>
      <c r="E285" s="83" t="s">
        <v>487</v>
      </c>
    </row>
    <row r="286" spans="1:5" ht="12.75">
      <c r="A286" s="82" t="s">
        <v>531</v>
      </c>
      <c r="B286" s="83">
        <v>15</v>
      </c>
      <c r="C286" s="83" t="s">
        <v>242</v>
      </c>
      <c r="D286" s="83">
        <v>43</v>
      </c>
      <c r="E286" s="83" t="s">
        <v>487</v>
      </c>
    </row>
    <row r="287" spans="1:5" ht="12.75">
      <c r="A287" s="82" t="s">
        <v>532</v>
      </c>
      <c r="B287" s="83">
        <v>35</v>
      </c>
      <c r="C287" s="83" t="s">
        <v>242</v>
      </c>
      <c r="D287" s="83">
        <v>43</v>
      </c>
      <c r="E287" s="83" t="s">
        <v>487</v>
      </c>
    </row>
    <row r="288" spans="1:5" ht="12.75">
      <c r="A288" s="82" t="s">
        <v>533</v>
      </c>
      <c r="B288" s="83">
        <v>1</v>
      </c>
      <c r="C288" s="83" t="s">
        <v>242</v>
      </c>
      <c r="D288" s="83">
        <v>43</v>
      </c>
      <c r="E288" s="83" t="s">
        <v>487</v>
      </c>
    </row>
    <row r="289" spans="1:5" ht="12.75">
      <c r="A289" s="82" t="s">
        <v>534</v>
      </c>
      <c r="B289" s="83">
        <v>0.08</v>
      </c>
      <c r="C289" s="83" t="s">
        <v>242</v>
      </c>
      <c r="D289" s="83">
        <v>44</v>
      </c>
      <c r="E289" s="83" t="s">
        <v>487</v>
      </c>
    </row>
    <row r="290" spans="1:5" ht="12.75">
      <c r="A290" s="82" t="s">
        <v>535</v>
      </c>
      <c r="B290" s="83">
        <v>0.1</v>
      </c>
      <c r="C290" s="83" t="s">
        <v>242</v>
      </c>
      <c r="D290" s="83">
        <v>44</v>
      </c>
      <c r="E290" s="83" t="s">
        <v>487</v>
      </c>
    </row>
    <row r="291" spans="1:5" ht="12.75">
      <c r="A291" s="82" t="s">
        <v>536</v>
      </c>
      <c r="B291" s="83">
        <v>0.2</v>
      </c>
      <c r="C291" s="83" t="s">
        <v>242</v>
      </c>
      <c r="D291" s="83">
        <v>44</v>
      </c>
      <c r="E291" s="83" t="s">
        <v>487</v>
      </c>
    </row>
    <row r="292" spans="1:5" ht="12.75">
      <c r="A292" s="82" t="s">
        <v>537</v>
      </c>
      <c r="B292" s="83">
        <v>0.3</v>
      </c>
      <c r="C292" s="83" t="s">
        <v>242</v>
      </c>
      <c r="D292" s="83">
        <v>44</v>
      </c>
      <c r="E292" s="83" t="s">
        <v>487</v>
      </c>
    </row>
    <row r="293" spans="1:5" ht="12.75">
      <c r="A293" s="82" t="s">
        <v>538</v>
      </c>
      <c r="B293" s="83">
        <v>0.5</v>
      </c>
      <c r="C293" s="83" t="s">
        <v>242</v>
      </c>
      <c r="D293" s="83">
        <v>44</v>
      </c>
      <c r="E293" s="83" t="s">
        <v>487</v>
      </c>
    </row>
    <row r="294" spans="1:5" ht="12.75">
      <c r="A294" s="82" t="s">
        <v>539</v>
      </c>
      <c r="B294" s="83">
        <v>1</v>
      </c>
      <c r="C294" s="83" t="s">
        <v>242</v>
      </c>
      <c r="D294" s="83">
        <v>44</v>
      </c>
      <c r="E294" s="83" t="s">
        <v>487</v>
      </c>
    </row>
    <row r="295" spans="1:5" ht="12.75">
      <c r="A295" s="82" t="s">
        <v>540</v>
      </c>
      <c r="B295" s="83">
        <v>2</v>
      </c>
      <c r="C295" s="83" t="s">
        <v>242</v>
      </c>
      <c r="D295" s="83">
        <v>44</v>
      </c>
      <c r="E295" s="83" t="s">
        <v>487</v>
      </c>
    </row>
    <row r="296" spans="1:5" ht="12.75">
      <c r="A296" s="82" t="s">
        <v>541</v>
      </c>
      <c r="B296" s="83">
        <v>3</v>
      </c>
      <c r="C296" s="83" t="s">
        <v>242</v>
      </c>
      <c r="D296" s="83">
        <v>44</v>
      </c>
      <c r="E296" s="83" t="s">
        <v>487</v>
      </c>
    </row>
    <row r="297" spans="1:5" ht="12.75">
      <c r="A297" s="82" t="s">
        <v>542</v>
      </c>
      <c r="B297" s="83">
        <v>0.5</v>
      </c>
      <c r="C297" s="83" t="s">
        <v>242</v>
      </c>
      <c r="D297" s="83">
        <v>44</v>
      </c>
      <c r="E297" s="83" t="s">
        <v>487</v>
      </c>
    </row>
    <row r="298" spans="1:5" ht="12.75">
      <c r="A298" s="82" t="s">
        <v>543</v>
      </c>
      <c r="B298" s="83">
        <v>1</v>
      </c>
      <c r="C298" s="83" t="s">
        <v>242</v>
      </c>
      <c r="D298" s="83">
        <v>44</v>
      </c>
      <c r="E298" s="83" t="s">
        <v>487</v>
      </c>
    </row>
    <row r="299" spans="1:5" ht="12.75">
      <c r="A299" s="82" t="s">
        <v>544</v>
      </c>
      <c r="B299" s="83">
        <v>3</v>
      </c>
      <c r="C299" s="83" t="s">
        <v>242</v>
      </c>
      <c r="D299" s="83">
        <v>44</v>
      </c>
      <c r="E299" s="83" t="s">
        <v>487</v>
      </c>
    </row>
    <row r="300" spans="1:5" ht="12.75">
      <c r="A300" s="82" t="s">
        <v>545</v>
      </c>
      <c r="B300" s="83">
        <v>2</v>
      </c>
      <c r="C300" s="83" t="s">
        <v>242</v>
      </c>
      <c r="D300" s="83">
        <v>44</v>
      </c>
      <c r="E300" s="83" t="s">
        <v>487</v>
      </c>
    </row>
    <row r="301" spans="1:5" ht="12.75">
      <c r="A301" s="82" t="s">
        <v>546</v>
      </c>
      <c r="B301" s="83">
        <v>4</v>
      </c>
      <c r="C301" s="83" t="s">
        <v>242</v>
      </c>
      <c r="D301" s="83">
        <v>44</v>
      </c>
      <c r="E301" s="83" t="s">
        <v>487</v>
      </c>
    </row>
    <row r="302" spans="1:5" ht="12.75">
      <c r="A302" s="82" t="s">
        <v>547</v>
      </c>
      <c r="B302" s="83">
        <v>8</v>
      </c>
      <c r="C302" s="83" t="s">
        <v>242</v>
      </c>
      <c r="D302" s="83">
        <v>44</v>
      </c>
      <c r="E302" s="83" t="s">
        <v>487</v>
      </c>
    </row>
    <row r="303" spans="1:5" ht="12.75">
      <c r="A303" s="82" t="s">
        <v>548</v>
      </c>
      <c r="B303" s="83">
        <v>60</v>
      </c>
      <c r="C303" s="83" t="s">
        <v>242</v>
      </c>
      <c r="D303" s="83">
        <v>44</v>
      </c>
      <c r="E303" s="83" t="s">
        <v>487</v>
      </c>
    </row>
    <row r="304" spans="1:5" ht="12.75">
      <c r="A304" s="82" t="s">
        <v>549</v>
      </c>
      <c r="B304" s="83">
        <v>120</v>
      </c>
      <c r="C304" s="83" t="s">
        <v>242</v>
      </c>
      <c r="D304" s="83">
        <v>44</v>
      </c>
      <c r="E304" s="83" t="s">
        <v>487</v>
      </c>
    </row>
    <row r="305" spans="1:5" ht="12.75">
      <c r="A305" s="82" t="s">
        <v>550</v>
      </c>
      <c r="B305" s="83">
        <v>15</v>
      </c>
      <c r="C305" s="83" t="s">
        <v>242</v>
      </c>
      <c r="D305" s="83">
        <v>45</v>
      </c>
      <c r="E305" s="83" t="s">
        <v>487</v>
      </c>
    </row>
    <row r="306" spans="1:5" ht="12.75">
      <c r="A306" s="82" t="s">
        <v>551</v>
      </c>
      <c r="B306" s="83">
        <v>3</v>
      </c>
      <c r="C306" s="83" t="s">
        <v>242</v>
      </c>
      <c r="D306" s="83">
        <v>45</v>
      </c>
      <c r="E306" s="83" t="s">
        <v>487</v>
      </c>
    </row>
    <row r="307" spans="1:5" ht="12.75">
      <c r="A307" s="82" t="s">
        <v>552</v>
      </c>
      <c r="B307" s="83">
        <v>6</v>
      </c>
      <c r="C307" s="83" t="s">
        <v>242</v>
      </c>
      <c r="D307" s="83">
        <v>45</v>
      </c>
      <c r="E307" s="83" t="s">
        <v>487</v>
      </c>
    </row>
    <row r="308" spans="1:5" ht="12.75">
      <c r="A308" s="82" t="s">
        <v>553</v>
      </c>
      <c r="B308" s="83">
        <v>20</v>
      </c>
      <c r="C308" s="83" t="s">
        <v>242</v>
      </c>
      <c r="D308" s="83">
        <v>45</v>
      </c>
      <c r="E308" s="83" t="s">
        <v>487</v>
      </c>
    </row>
    <row r="309" spans="1:5" ht="12.75">
      <c r="A309" s="82" t="s">
        <v>554</v>
      </c>
      <c r="B309" s="83">
        <v>1</v>
      </c>
      <c r="C309" s="83" t="s">
        <v>242</v>
      </c>
      <c r="D309" s="83">
        <v>45</v>
      </c>
      <c r="E309" s="83" t="s">
        <v>487</v>
      </c>
    </row>
    <row r="310" spans="1:5" ht="12.75">
      <c r="A310" s="82" t="s">
        <v>555</v>
      </c>
      <c r="B310" s="83">
        <v>3</v>
      </c>
      <c r="C310" s="83" t="s">
        <v>242</v>
      </c>
      <c r="D310" s="83">
        <v>45</v>
      </c>
      <c r="E310" s="83" t="s">
        <v>487</v>
      </c>
    </row>
    <row r="311" spans="1:5" ht="12.75">
      <c r="A311" s="82" t="s">
        <v>556</v>
      </c>
      <c r="B311" s="83">
        <v>3</v>
      </c>
      <c r="C311" s="83" t="s">
        <v>242</v>
      </c>
      <c r="D311" s="83">
        <v>45</v>
      </c>
      <c r="E311" s="83" t="s">
        <v>487</v>
      </c>
    </row>
    <row r="312" spans="1:5" ht="12.75">
      <c r="A312" s="82" t="s">
        <v>557</v>
      </c>
      <c r="B312" s="83">
        <v>0.5</v>
      </c>
      <c r="C312" s="83" t="s">
        <v>242</v>
      </c>
      <c r="D312" s="83">
        <v>46</v>
      </c>
      <c r="E312" s="83" t="s">
        <v>487</v>
      </c>
    </row>
    <row r="313" spans="1:5" ht="12.75">
      <c r="A313" s="82" t="s">
        <v>558</v>
      </c>
      <c r="B313" s="83">
        <v>1</v>
      </c>
      <c r="C313" s="83" t="s">
        <v>242</v>
      </c>
      <c r="D313" s="83">
        <v>46</v>
      </c>
      <c r="E313" s="83" t="s">
        <v>487</v>
      </c>
    </row>
    <row r="314" spans="1:5" ht="12.75">
      <c r="A314" s="82" t="s">
        <v>559</v>
      </c>
      <c r="B314" s="83">
        <v>5</v>
      </c>
      <c r="C314" s="83" t="s">
        <v>242</v>
      </c>
      <c r="D314" s="83">
        <v>46</v>
      </c>
      <c r="E314" s="83" t="s">
        <v>487</v>
      </c>
    </row>
    <row r="315" spans="1:5" ht="12.75">
      <c r="A315" s="82" t="s">
        <v>560</v>
      </c>
      <c r="B315" s="83">
        <v>0.3</v>
      </c>
      <c r="C315" s="83" t="s">
        <v>242</v>
      </c>
      <c r="D315" s="83">
        <v>46</v>
      </c>
      <c r="E315" s="83" t="s">
        <v>487</v>
      </c>
    </row>
    <row r="316" spans="1:5" ht="12.75">
      <c r="A316" s="82" t="s">
        <v>561</v>
      </c>
      <c r="B316" s="83">
        <v>0.4</v>
      </c>
      <c r="C316" s="83" t="s">
        <v>242</v>
      </c>
      <c r="D316" s="83">
        <v>46</v>
      </c>
      <c r="E316" s="83" t="s">
        <v>487</v>
      </c>
    </row>
    <row r="317" spans="1:5" ht="12.75">
      <c r="A317" s="82" t="s">
        <v>562</v>
      </c>
      <c r="B317" s="83">
        <v>0.8</v>
      </c>
      <c r="C317" s="83" t="s">
        <v>242</v>
      </c>
      <c r="D317" s="83">
        <v>46</v>
      </c>
      <c r="E317" s="83" t="s">
        <v>487</v>
      </c>
    </row>
    <row r="318" spans="1:5" ht="12.75">
      <c r="A318" s="82" t="s">
        <v>563</v>
      </c>
      <c r="B318" s="83">
        <v>10</v>
      </c>
      <c r="C318" s="83" t="s">
        <v>242</v>
      </c>
      <c r="D318" s="83">
        <v>46</v>
      </c>
      <c r="E318" s="83" t="s">
        <v>487</v>
      </c>
    </row>
    <row r="319" spans="1:5" ht="12.75">
      <c r="A319" s="82" t="s">
        <v>564</v>
      </c>
      <c r="B319" s="83">
        <v>30</v>
      </c>
      <c r="C319" s="83" t="s">
        <v>242</v>
      </c>
      <c r="D319" s="83">
        <v>46</v>
      </c>
      <c r="E319" s="83" t="s">
        <v>487</v>
      </c>
    </row>
    <row r="320" spans="1:5" ht="12.75">
      <c r="A320" s="82" t="s">
        <v>565</v>
      </c>
      <c r="B320" s="83">
        <v>0.01</v>
      </c>
      <c r="C320" s="83" t="s">
        <v>242</v>
      </c>
      <c r="D320" s="83">
        <v>46</v>
      </c>
      <c r="E320" s="83" t="s">
        <v>487</v>
      </c>
    </row>
    <row r="321" spans="1:5" ht="12.75">
      <c r="A321" s="82" t="s">
        <v>566</v>
      </c>
      <c r="B321" s="83">
        <v>0.1</v>
      </c>
      <c r="C321" s="83" t="s">
        <v>242</v>
      </c>
      <c r="D321" s="83">
        <v>46</v>
      </c>
      <c r="E321" s="83" t="s">
        <v>487</v>
      </c>
    </row>
    <row r="322" spans="1:5" ht="12.75">
      <c r="A322" s="82" t="s">
        <v>567</v>
      </c>
      <c r="B322" s="83">
        <v>0.03</v>
      </c>
      <c r="C322" s="83" t="s">
        <v>242</v>
      </c>
      <c r="D322" s="83">
        <v>46</v>
      </c>
      <c r="E322" s="83" t="s">
        <v>487</v>
      </c>
    </row>
    <row r="323" spans="1:5" ht="12.75">
      <c r="A323" s="82" t="s">
        <v>568</v>
      </c>
      <c r="B323" s="83">
        <v>0.2</v>
      </c>
      <c r="C323" s="83" t="s">
        <v>242</v>
      </c>
      <c r="D323" s="83">
        <v>46</v>
      </c>
      <c r="E323" s="83" t="s">
        <v>487</v>
      </c>
    </row>
    <row r="324" spans="1:5" ht="12.75">
      <c r="A324" s="82" t="s">
        <v>569</v>
      </c>
      <c r="B324" s="83">
        <v>0.5</v>
      </c>
      <c r="C324" s="83" t="s">
        <v>242</v>
      </c>
      <c r="D324" s="83">
        <v>46</v>
      </c>
      <c r="E324" s="83" t="s">
        <v>487</v>
      </c>
    </row>
    <row r="325" spans="1:5" ht="12.75">
      <c r="A325" s="82" t="s">
        <v>570</v>
      </c>
      <c r="B325" s="83">
        <v>0.3</v>
      </c>
      <c r="C325" s="83" t="s">
        <v>242</v>
      </c>
      <c r="D325" s="83">
        <v>46</v>
      </c>
      <c r="E325" s="83" t="s">
        <v>487</v>
      </c>
    </row>
    <row r="326" spans="1:5" ht="12.75">
      <c r="A326" s="82" t="s">
        <v>571</v>
      </c>
      <c r="B326" s="83">
        <v>0.6</v>
      </c>
      <c r="C326" s="83" t="s">
        <v>242</v>
      </c>
      <c r="D326" s="83">
        <v>46</v>
      </c>
      <c r="E326" s="83" t="s">
        <v>487</v>
      </c>
    </row>
    <row r="327" spans="1:5" ht="12.75">
      <c r="A327" s="82" t="s">
        <v>572</v>
      </c>
      <c r="B327" s="83">
        <v>1</v>
      </c>
      <c r="C327" s="83" t="s">
        <v>242</v>
      </c>
      <c r="D327" s="83">
        <v>46</v>
      </c>
      <c r="E327" s="83" t="s">
        <v>487</v>
      </c>
    </row>
    <row r="328" spans="1:5" ht="12.75">
      <c r="A328" s="82" t="s">
        <v>573</v>
      </c>
      <c r="B328" s="83">
        <v>0.3</v>
      </c>
      <c r="C328" s="83" t="s">
        <v>242</v>
      </c>
      <c r="D328" s="83">
        <v>46</v>
      </c>
      <c r="E328" s="83" t="s">
        <v>487</v>
      </c>
    </row>
    <row r="329" spans="1:5" ht="12.75">
      <c r="A329" s="82" t="s">
        <v>574</v>
      </c>
      <c r="B329" s="83">
        <v>0.2</v>
      </c>
      <c r="C329" s="83" t="s">
        <v>242</v>
      </c>
      <c r="D329" s="83">
        <v>46</v>
      </c>
      <c r="E329" s="83" t="s">
        <v>487</v>
      </c>
    </row>
    <row r="330" spans="1:5" ht="12.75">
      <c r="A330" s="82" t="s">
        <v>575</v>
      </c>
      <c r="B330" s="83">
        <v>1</v>
      </c>
      <c r="C330" s="83" t="s">
        <v>242</v>
      </c>
      <c r="D330" s="83">
        <v>47</v>
      </c>
      <c r="E330" s="83" t="s">
        <v>487</v>
      </c>
    </row>
    <row r="331" spans="1:5" ht="12.75">
      <c r="A331" s="82" t="s">
        <v>576</v>
      </c>
      <c r="B331" s="83">
        <v>3</v>
      </c>
      <c r="C331" s="83" t="s">
        <v>242</v>
      </c>
      <c r="D331" s="83">
        <v>47</v>
      </c>
      <c r="E331" s="83" t="s">
        <v>487</v>
      </c>
    </row>
    <row r="332" spans="1:5" ht="12.75">
      <c r="A332" s="82" t="s">
        <v>577</v>
      </c>
      <c r="B332" s="83">
        <v>30</v>
      </c>
      <c r="C332" s="83" t="s">
        <v>242</v>
      </c>
      <c r="D332" s="83">
        <v>47</v>
      </c>
      <c r="E332" s="83" t="s">
        <v>487</v>
      </c>
    </row>
    <row r="333" spans="1:5" ht="12.75">
      <c r="A333" s="82" t="s">
        <v>578</v>
      </c>
      <c r="B333" s="83">
        <v>20</v>
      </c>
      <c r="C333" s="83" t="s">
        <v>242</v>
      </c>
      <c r="D333" s="83">
        <v>47</v>
      </c>
      <c r="E333" s="83" t="s">
        <v>487</v>
      </c>
    </row>
    <row r="334" spans="1:5" ht="12.75">
      <c r="A334" s="82" t="s">
        <v>579</v>
      </c>
      <c r="B334" s="83">
        <v>27</v>
      </c>
      <c r="C334" s="83" t="s">
        <v>242</v>
      </c>
      <c r="D334" s="83">
        <v>47</v>
      </c>
      <c r="E334" s="83" t="s">
        <v>487</v>
      </c>
    </row>
    <row r="335" spans="1:5" ht="12.75">
      <c r="A335" s="82" t="s">
        <v>580</v>
      </c>
      <c r="B335" s="83">
        <v>37</v>
      </c>
      <c r="C335" s="83" t="s">
        <v>242</v>
      </c>
      <c r="D335" s="83">
        <v>47</v>
      </c>
      <c r="E335" s="83" t="s">
        <v>487</v>
      </c>
    </row>
    <row r="336" spans="1:5" ht="12.75">
      <c r="A336" s="82" t="s">
        <v>485</v>
      </c>
      <c r="B336" s="83" t="s">
        <v>320</v>
      </c>
      <c r="C336" s="83" t="s">
        <v>242</v>
      </c>
      <c r="D336" s="83">
        <v>48</v>
      </c>
      <c r="E336" s="83" t="s">
        <v>487</v>
      </c>
    </row>
    <row r="337" spans="1:5" ht="12.75">
      <c r="A337" s="82" t="s">
        <v>581</v>
      </c>
      <c r="B337" s="83">
        <v>5</v>
      </c>
      <c r="C337" s="83" t="s">
        <v>242</v>
      </c>
      <c r="D337" s="83">
        <v>51</v>
      </c>
      <c r="E337" s="83" t="s">
        <v>582</v>
      </c>
    </row>
    <row r="338" spans="1:5" ht="12.75">
      <c r="A338" s="82" t="s">
        <v>583</v>
      </c>
      <c r="B338" s="83">
        <v>2</v>
      </c>
      <c r="C338" s="83" t="s">
        <v>242</v>
      </c>
      <c r="D338" s="83">
        <v>51</v>
      </c>
      <c r="E338" s="83" t="s">
        <v>582</v>
      </c>
    </row>
    <row r="339" spans="1:5" ht="12.75">
      <c r="A339" s="82" t="s">
        <v>584</v>
      </c>
      <c r="B339" s="83">
        <v>3</v>
      </c>
      <c r="C339" s="83" t="s">
        <v>242</v>
      </c>
      <c r="D339" s="83">
        <v>51</v>
      </c>
      <c r="E339" s="83" t="s">
        <v>582</v>
      </c>
    </row>
    <row r="340" spans="1:5" ht="12.75">
      <c r="A340" s="82" t="s">
        <v>585</v>
      </c>
      <c r="B340" s="83">
        <v>5</v>
      </c>
      <c r="C340" s="83" t="s">
        <v>242</v>
      </c>
      <c r="D340" s="83">
        <v>51</v>
      </c>
      <c r="E340" s="83" t="s">
        <v>582</v>
      </c>
    </row>
    <row r="341" spans="1:5" ht="12.75">
      <c r="A341" s="82" t="s">
        <v>586</v>
      </c>
      <c r="B341" s="83">
        <v>5</v>
      </c>
      <c r="C341" s="83" t="s">
        <v>242</v>
      </c>
      <c r="D341" s="83">
        <v>51</v>
      </c>
      <c r="E341" s="83" t="s">
        <v>582</v>
      </c>
    </row>
    <row r="342" spans="1:5" ht="12.75">
      <c r="A342" s="82" t="s">
        <v>587</v>
      </c>
      <c r="B342" s="83">
        <v>7</v>
      </c>
      <c r="C342" s="83" t="s">
        <v>242</v>
      </c>
      <c r="D342" s="83">
        <v>51</v>
      </c>
      <c r="E342" s="83" t="s">
        <v>582</v>
      </c>
    </row>
    <row r="343" spans="1:5" ht="12.75">
      <c r="A343" s="82" t="s">
        <v>588</v>
      </c>
      <c r="B343" s="83">
        <v>8</v>
      </c>
      <c r="C343" s="83" t="s">
        <v>242</v>
      </c>
      <c r="D343" s="83">
        <v>51</v>
      </c>
      <c r="E343" s="83" t="s">
        <v>582</v>
      </c>
    </row>
    <row r="344" spans="1:5" ht="12.75">
      <c r="A344" s="82" t="s">
        <v>589</v>
      </c>
      <c r="B344" s="83">
        <v>11</v>
      </c>
      <c r="C344" s="83" t="s">
        <v>242</v>
      </c>
      <c r="D344" s="83">
        <v>51</v>
      </c>
      <c r="E344" s="83" t="s">
        <v>582</v>
      </c>
    </row>
    <row r="345" spans="1:5" ht="12.75">
      <c r="A345" s="82" t="s">
        <v>590</v>
      </c>
      <c r="B345" s="83">
        <v>15</v>
      </c>
      <c r="C345" s="83" t="s">
        <v>242</v>
      </c>
      <c r="D345" s="83">
        <v>51</v>
      </c>
      <c r="E345" s="83" t="s">
        <v>582</v>
      </c>
    </row>
    <row r="346" spans="1:5" ht="12.75">
      <c r="A346" s="82" t="s">
        <v>591</v>
      </c>
      <c r="B346" s="83">
        <v>20</v>
      </c>
      <c r="C346" s="83" t="s">
        <v>242</v>
      </c>
      <c r="D346" s="83">
        <v>51</v>
      </c>
      <c r="E346" s="83" t="s">
        <v>582</v>
      </c>
    </row>
    <row r="347" spans="1:5" ht="12.75">
      <c r="A347" s="82" t="s">
        <v>592</v>
      </c>
      <c r="B347" s="83">
        <v>3</v>
      </c>
      <c r="C347" s="83" t="s">
        <v>242</v>
      </c>
      <c r="D347" s="83">
        <v>51</v>
      </c>
      <c r="E347" s="83" t="s">
        <v>582</v>
      </c>
    </row>
    <row r="348" spans="1:5" ht="12.75">
      <c r="A348" s="82" t="s">
        <v>593</v>
      </c>
      <c r="B348" s="83">
        <v>5</v>
      </c>
      <c r="C348" s="83" t="s">
        <v>242</v>
      </c>
      <c r="D348" s="83">
        <v>51</v>
      </c>
      <c r="E348" s="83" t="s">
        <v>582</v>
      </c>
    </row>
    <row r="349" spans="1:5" ht="12.75">
      <c r="A349" s="82" t="s">
        <v>594</v>
      </c>
      <c r="B349" s="83">
        <v>5</v>
      </c>
      <c r="C349" s="83" t="s">
        <v>242</v>
      </c>
      <c r="D349" s="83">
        <v>52</v>
      </c>
      <c r="E349" s="83" t="s">
        <v>582</v>
      </c>
    </row>
    <row r="350" spans="1:5" ht="12.75">
      <c r="A350" s="82" t="s">
        <v>595</v>
      </c>
      <c r="B350" s="83">
        <v>9</v>
      </c>
      <c r="C350" s="83" t="s">
        <v>242</v>
      </c>
      <c r="D350" s="83">
        <v>52</v>
      </c>
      <c r="E350" s="83" t="s">
        <v>582</v>
      </c>
    </row>
    <row r="351" spans="1:5" ht="12.75">
      <c r="A351" s="82" t="s">
        <v>596</v>
      </c>
      <c r="B351" s="83">
        <v>9</v>
      </c>
      <c r="C351" s="83" t="s">
        <v>242</v>
      </c>
      <c r="D351" s="83">
        <v>52</v>
      </c>
      <c r="E351" s="83" t="s">
        <v>582</v>
      </c>
    </row>
    <row r="352" spans="1:5" ht="12.75">
      <c r="A352" s="82" t="s">
        <v>597</v>
      </c>
      <c r="B352" s="83">
        <v>2</v>
      </c>
      <c r="C352" s="83" t="s">
        <v>242</v>
      </c>
      <c r="D352" s="83">
        <v>52</v>
      </c>
      <c r="E352" s="83" t="s">
        <v>582</v>
      </c>
    </row>
    <row r="353" spans="1:5" ht="12.75">
      <c r="A353" s="82" t="s">
        <v>598</v>
      </c>
      <c r="B353" s="83">
        <v>9</v>
      </c>
      <c r="C353" s="83" t="s">
        <v>242</v>
      </c>
      <c r="D353" s="83">
        <v>52</v>
      </c>
      <c r="E353" s="83" t="s">
        <v>582</v>
      </c>
    </row>
    <row r="354" spans="1:5" ht="12.75">
      <c r="A354" s="82" t="s">
        <v>599</v>
      </c>
      <c r="B354" s="83">
        <v>8</v>
      </c>
      <c r="C354" s="83" t="s">
        <v>242</v>
      </c>
      <c r="D354" s="83">
        <v>52</v>
      </c>
      <c r="E354" s="83" t="s">
        <v>582</v>
      </c>
    </row>
    <row r="355" spans="1:5" ht="12.75">
      <c r="A355" s="82" t="s">
        <v>600</v>
      </c>
      <c r="B355" s="83">
        <v>15</v>
      </c>
      <c r="C355" s="83" t="s">
        <v>242</v>
      </c>
      <c r="D355" s="83">
        <v>52</v>
      </c>
      <c r="E355" s="83" t="s">
        <v>582</v>
      </c>
    </row>
    <row r="356" spans="1:5" ht="12.75">
      <c r="A356" s="82" t="s">
        <v>601</v>
      </c>
      <c r="B356" s="83">
        <v>3</v>
      </c>
      <c r="C356" s="83" t="s">
        <v>242</v>
      </c>
      <c r="D356" s="83">
        <v>52</v>
      </c>
      <c r="E356" s="83" t="s">
        <v>582</v>
      </c>
    </row>
    <row r="357" spans="1:5" ht="12.75">
      <c r="A357" s="82" t="s">
        <v>602</v>
      </c>
      <c r="B357" s="83">
        <v>0.2</v>
      </c>
      <c r="C357" s="83" t="s">
        <v>242</v>
      </c>
      <c r="D357" s="83">
        <v>52</v>
      </c>
      <c r="E357" s="83" t="s">
        <v>582</v>
      </c>
    </row>
    <row r="358" spans="1:5" ht="12.75">
      <c r="A358" s="82" t="s">
        <v>603</v>
      </c>
      <c r="B358" s="83">
        <v>5</v>
      </c>
      <c r="C358" s="83" t="s">
        <v>242</v>
      </c>
      <c r="D358" s="83">
        <v>53</v>
      </c>
      <c r="E358" s="83" t="s">
        <v>582</v>
      </c>
    </row>
    <row r="359" spans="1:5" ht="12.75">
      <c r="A359" s="82" t="s">
        <v>604</v>
      </c>
      <c r="B359" s="83">
        <v>8</v>
      </c>
      <c r="C359" s="83" t="s">
        <v>242</v>
      </c>
      <c r="D359" s="83">
        <v>53</v>
      </c>
      <c r="E359" s="83" t="s">
        <v>582</v>
      </c>
    </row>
    <row r="360" spans="1:5" ht="12.75">
      <c r="A360" s="82" t="s">
        <v>605</v>
      </c>
      <c r="B360" s="83">
        <v>5</v>
      </c>
      <c r="C360" s="83" t="s">
        <v>242</v>
      </c>
      <c r="D360" s="83">
        <v>53</v>
      </c>
      <c r="E360" s="83" t="s">
        <v>582</v>
      </c>
    </row>
    <row r="361" spans="1:5" ht="12.75">
      <c r="A361" s="82" t="s">
        <v>606</v>
      </c>
      <c r="B361" s="83">
        <v>4</v>
      </c>
      <c r="C361" s="83" t="s">
        <v>242</v>
      </c>
      <c r="D361" s="83">
        <v>53</v>
      </c>
      <c r="E361" s="83" t="s">
        <v>582</v>
      </c>
    </row>
    <row r="362" spans="1:5" ht="12.75">
      <c r="A362" s="82" t="s">
        <v>607</v>
      </c>
      <c r="B362" s="83">
        <v>2</v>
      </c>
      <c r="C362" s="83" t="s">
        <v>242</v>
      </c>
      <c r="D362" s="83">
        <v>53</v>
      </c>
      <c r="E362" s="83" t="s">
        <v>582</v>
      </c>
    </row>
    <row r="363" spans="1:5" ht="12.75">
      <c r="A363" s="82" t="s">
        <v>608</v>
      </c>
      <c r="B363" s="83">
        <v>5</v>
      </c>
      <c r="C363" s="83" t="s">
        <v>242</v>
      </c>
      <c r="D363" s="83">
        <v>53</v>
      </c>
      <c r="E363" s="83" t="s">
        <v>582</v>
      </c>
    </row>
    <row r="364" spans="1:5" ht="12.75">
      <c r="A364" s="82" t="s">
        <v>609</v>
      </c>
      <c r="B364" s="83">
        <v>3</v>
      </c>
      <c r="C364" s="83" t="s">
        <v>242</v>
      </c>
      <c r="D364" s="83">
        <v>53</v>
      </c>
      <c r="E364" s="83" t="s">
        <v>582</v>
      </c>
    </row>
    <row r="365" spans="1:5" ht="12.75">
      <c r="A365" s="82" t="s">
        <v>610</v>
      </c>
      <c r="B365" s="83">
        <v>2</v>
      </c>
      <c r="C365" s="83" t="s">
        <v>242</v>
      </c>
      <c r="D365" s="83">
        <v>53</v>
      </c>
      <c r="E365" s="83" t="s">
        <v>582</v>
      </c>
    </row>
    <row r="366" spans="1:5" ht="12.75">
      <c r="A366" s="82" t="s">
        <v>611</v>
      </c>
      <c r="B366" s="83">
        <v>4</v>
      </c>
      <c r="C366" s="83" t="s">
        <v>242</v>
      </c>
      <c r="D366" s="83">
        <v>53</v>
      </c>
      <c r="E366" s="83" t="s">
        <v>582</v>
      </c>
    </row>
    <row r="367" spans="1:5" ht="12.75">
      <c r="A367" s="82" t="s">
        <v>612</v>
      </c>
      <c r="B367" s="83">
        <v>3</v>
      </c>
      <c r="C367" s="83" t="s">
        <v>242</v>
      </c>
      <c r="D367" s="83">
        <v>53</v>
      </c>
      <c r="E367" s="83" t="s">
        <v>582</v>
      </c>
    </row>
    <row r="368" spans="1:5" ht="12.75">
      <c r="A368" s="82" t="s">
        <v>613</v>
      </c>
      <c r="B368" s="83">
        <v>0.2</v>
      </c>
      <c r="C368" s="83" t="s">
        <v>242</v>
      </c>
      <c r="D368" s="83">
        <v>53</v>
      </c>
      <c r="E368" s="83" t="s">
        <v>582</v>
      </c>
    </row>
    <row r="369" spans="1:5" ht="12.75">
      <c r="A369" s="82" t="s">
        <v>614</v>
      </c>
      <c r="B369" s="83">
        <v>6</v>
      </c>
      <c r="C369" s="83" t="s">
        <v>242</v>
      </c>
      <c r="D369" s="83">
        <v>54</v>
      </c>
      <c r="E369" s="83" t="s">
        <v>582</v>
      </c>
    </row>
    <row r="370" spans="1:5" ht="12.75">
      <c r="A370" s="82" t="s">
        <v>615</v>
      </c>
      <c r="B370" s="83">
        <v>5</v>
      </c>
      <c r="C370" s="83" t="s">
        <v>242</v>
      </c>
      <c r="D370" s="83">
        <v>54</v>
      </c>
      <c r="E370" s="83" t="s">
        <v>582</v>
      </c>
    </row>
    <row r="371" spans="1:5" ht="12.75">
      <c r="A371" s="82" t="s">
        <v>616</v>
      </c>
      <c r="B371" s="83">
        <v>2</v>
      </c>
      <c r="C371" s="83" t="s">
        <v>242</v>
      </c>
      <c r="D371" s="83">
        <v>54</v>
      </c>
      <c r="E371" s="83" t="s">
        <v>582</v>
      </c>
    </row>
    <row r="372" spans="1:5" ht="12.75">
      <c r="A372" s="82" t="s">
        <v>617</v>
      </c>
      <c r="B372" s="83">
        <v>0.7</v>
      </c>
      <c r="C372" s="83" t="s">
        <v>242</v>
      </c>
      <c r="D372" s="83">
        <v>54</v>
      </c>
      <c r="E372" s="83" t="s">
        <v>582</v>
      </c>
    </row>
    <row r="373" spans="1:5" ht="12.75">
      <c r="A373" s="82" t="s">
        <v>618</v>
      </c>
      <c r="B373" s="83">
        <v>0.6</v>
      </c>
      <c r="C373" s="83" t="s">
        <v>242</v>
      </c>
      <c r="D373" s="83">
        <v>54</v>
      </c>
      <c r="E373" s="83" t="s">
        <v>582</v>
      </c>
    </row>
    <row r="374" spans="1:5" ht="12.75">
      <c r="A374" s="82" t="s">
        <v>619</v>
      </c>
      <c r="B374" s="83">
        <v>15</v>
      </c>
      <c r="C374" s="83" t="s">
        <v>242</v>
      </c>
      <c r="D374" s="83">
        <v>54</v>
      </c>
      <c r="E374" s="83" t="s">
        <v>582</v>
      </c>
    </row>
    <row r="375" spans="1:5" ht="12.75">
      <c r="A375" s="82" t="s">
        <v>620</v>
      </c>
      <c r="B375" s="83">
        <v>6</v>
      </c>
      <c r="C375" s="83" t="s">
        <v>242</v>
      </c>
      <c r="D375" s="83">
        <v>54</v>
      </c>
      <c r="E375" s="83" t="s">
        <v>582</v>
      </c>
    </row>
    <row r="376" spans="1:5" ht="12.75">
      <c r="A376" s="82" t="s">
        <v>621</v>
      </c>
      <c r="B376" s="83">
        <v>0.2</v>
      </c>
      <c r="C376" s="83" t="s">
        <v>242</v>
      </c>
      <c r="D376" s="83">
        <v>55</v>
      </c>
      <c r="E376" s="83" t="s">
        <v>582</v>
      </c>
    </row>
    <row r="377" spans="1:5" ht="12.75">
      <c r="A377" s="82" t="s">
        <v>622</v>
      </c>
      <c r="B377" s="83">
        <v>0.5</v>
      </c>
      <c r="C377" s="83" t="s">
        <v>242</v>
      </c>
      <c r="D377" s="83">
        <v>55</v>
      </c>
      <c r="E377" s="83" t="s">
        <v>582</v>
      </c>
    </row>
    <row r="378" spans="1:5" ht="12.75">
      <c r="A378" s="82" t="s">
        <v>623</v>
      </c>
      <c r="B378" s="83">
        <v>3</v>
      </c>
      <c r="C378" s="83" t="s">
        <v>242</v>
      </c>
      <c r="D378" s="83">
        <v>55</v>
      </c>
      <c r="E378" s="83" t="s">
        <v>582</v>
      </c>
    </row>
    <row r="379" spans="1:5" ht="12.75">
      <c r="A379" s="82" t="s">
        <v>624</v>
      </c>
      <c r="B379" s="83">
        <v>0.1</v>
      </c>
      <c r="C379" s="83" t="s">
        <v>242</v>
      </c>
      <c r="D379" s="83">
        <v>55</v>
      </c>
      <c r="E379" s="83" t="s">
        <v>582</v>
      </c>
    </row>
    <row r="380" spans="1:5" ht="12.75">
      <c r="A380" s="82" t="s">
        <v>625</v>
      </c>
      <c r="B380" s="83">
        <v>7.0000000000000007E-2</v>
      </c>
      <c r="C380" s="83" t="s">
        <v>242</v>
      </c>
      <c r="D380" s="83">
        <v>55</v>
      </c>
      <c r="E380" s="83" t="s">
        <v>582</v>
      </c>
    </row>
    <row r="381" spans="1:5" ht="12.75">
      <c r="A381" s="82" t="s">
        <v>626</v>
      </c>
      <c r="B381" s="83">
        <v>0.3</v>
      </c>
      <c r="C381" s="83" t="s">
        <v>242</v>
      </c>
      <c r="D381" s="83">
        <v>55</v>
      </c>
      <c r="E381" s="83" t="s">
        <v>582</v>
      </c>
    </row>
    <row r="382" spans="1:5" ht="12.75">
      <c r="A382" s="82" t="s">
        <v>627</v>
      </c>
      <c r="B382" s="83">
        <v>0.5</v>
      </c>
      <c r="C382" s="83" t="s">
        <v>242</v>
      </c>
      <c r="D382" s="83">
        <v>55</v>
      </c>
      <c r="E382" s="83" t="s">
        <v>582</v>
      </c>
    </row>
    <row r="383" spans="1:5" ht="12.75">
      <c r="A383" s="82" t="s">
        <v>628</v>
      </c>
      <c r="B383" s="83">
        <v>12</v>
      </c>
      <c r="C383" s="83" t="s">
        <v>242</v>
      </c>
      <c r="D383" s="83">
        <v>55</v>
      </c>
      <c r="E383" s="83" t="s">
        <v>582</v>
      </c>
    </row>
    <row r="384" spans="1:5" ht="12.75">
      <c r="A384" s="82" t="s">
        <v>629</v>
      </c>
      <c r="B384" s="83">
        <v>120</v>
      </c>
      <c r="C384" s="83" t="s">
        <v>242</v>
      </c>
      <c r="D384" s="83">
        <v>55</v>
      </c>
      <c r="E384" s="83" t="s">
        <v>582</v>
      </c>
    </row>
    <row r="385" spans="1:5" ht="12.75">
      <c r="A385" s="82" t="s">
        <v>630</v>
      </c>
      <c r="B385" s="83">
        <v>2</v>
      </c>
      <c r="C385" s="83" t="s">
        <v>242</v>
      </c>
      <c r="D385" s="83">
        <v>55</v>
      </c>
      <c r="E385" s="83" t="s">
        <v>582</v>
      </c>
    </row>
    <row r="386" spans="1:5" ht="12.75">
      <c r="A386" s="82" t="s">
        <v>631</v>
      </c>
      <c r="B386" s="83">
        <v>5</v>
      </c>
      <c r="C386" s="83" t="s">
        <v>242</v>
      </c>
      <c r="D386" s="83">
        <v>55</v>
      </c>
      <c r="E386" s="83" t="s">
        <v>582</v>
      </c>
    </row>
    <row r="387" spans="1:5" ht="12.75">
      <c r="A387" s="82" t="s">
        <v>632</v>
      </c>
      <c r="B387" s="83">
        <v>10</v>
      </c>
      <c r="C387" s="83" t="s">
        <v>242</v>
      </c>
      <c r="D387" s="83">
        <v>55</v>
      </c>
      <c r="E387" s="83" t="s">
        <v>582</v>
      </c>
    </row>
    <row r="388" spans="1:5" ht="12.75">
      <c r="A388" s="82" t="s">
        <v>633</v>
      </c>
      <c r="B388" s="83">
        <v>20</v>
      </c>
      <c r="C388" s="83" t="s">
        <v>242</v>
      </c>
      <c r="D388" s="83">
        <v>55</v>
      </c>
      <c r="E388" s="83" t="s">
        <v>582</v>
      </c>
    </row>
    <row r="389" spans="1:5" ht="12.75">
      <c r="A389" s="82" t="s">
        <v>634</v>
      </c>
      <c r="B389" s="83">
        <v>0.2</v>
      </c>
      <c r="C389" s="83" t="s">
        <v>242</v>
      </c>
      <c r="D389" s="83">
        <v>56</v>
      </c>
      <c r="E389" s="83" t="s">
        <v>582</v>
      </c>
    </row>
    <row r="390" spans="1:5" ht="12.75">
      <c r="A390" s="82" t="s">
        <v>635</v>
      </c>
      <c r="B390" s="83">
        <v>0.1</v>
      </c>
      <c r="C390" s="83" t="s">
        <v>242</v>
      </c>
      <c r="D390" s="83">
        <v>56</v>
      </c>
      <c r="E390" s="83" t="s">
        <v>582</v>
      </c>
    </row>
    <row r="391" spans="1:5" ht="12.75">
      <c r="A391" s="82" t="s">
        <v>636</v>
      </c>
      <c r="B391" s="83">
        <v>3</v>
      </c>
      <c r="C391" s="83" t="s">
        <v>242</v>
      </c>
      <c r="D391" s="83">
        <v>56</v>
      </c>
      <c r="E391" s="83" t="s">
        <v>582</v>
      </c>
    </row>
    <row r="392" spans="1:5" ht="12.75">
      <c r="A392" s="82" t="s">
        <v>637</v>
      </c>
      <c r="B392" s="83">
        <v>5</v>
      </c>
      <c r="C392" s="83" t="s">
        <v>242</v>
      </c>
      <c r="D392" s="83">
        <v>56</v>
      </c>
      <c r="E392" s="83" t="s">
        <v>582</v>
      </c>
    </row>
    <row r="393" spans="1:5" ht="12.75">
      <c r="A393" s="82" t="s">
        <v>638</v>
      </c>
      <c r="B393" s="83">
        <v>3</v>
      </c>
      <c r="C393" s="83" t="s">
        <v>242</v>
      </c>
      <c r="D393" s="83">
        <v>56</v>
      </c>
      <c r="E393" s="83" t="s">
        <v>582</v>
      </c>
    </row>
    <row r="394" spans="1:5" ht="12.75">
      <c r="A394" s="82" t="s">
        <v>639</v>
      </c>
      <c r="B394" s="83">
        <v>2</v>
      </c>
      <c r="C394" s="83" t="s">
        <v>242</v>
      </c>
      <c r="D394" s="83">
        <v>56</v>
      </c>
      <c r="E394" s="83" t="s">
        <v>582</v>
      </c>
    </row>
    <row r="395" spans="1:5" ht="12.75">
      <c r="A395" s="82" t="s">
        <v>640</v>
      </c>
      <c r="B395" s="83">
        <v>0.05</v>
      </c>
      <c r="C395" s="83" t="s">
        <v>242</v>
      </c>
      <c r="D395" s="83">
        <v>56</v>
      </c>
      <c r="E395" s="83" t="s">
        <v>582</v>
      </c>
    </row>
    <row r="396" spans="1:5" ht="12.75">
      <c r="A396" s="82" t="s">
        <v>641</v>
      </c>
      <c r="B396" s="83">
        <v>0.1</v>
      </c>
      <c r="C396" s="83" t="s">
        <v>242</v>
      </c>
      <c r="D396" s="83">
        <v>56</v>
      </c>
      <c r="E396" s="83" t="s">
        <v>582</v>
      </c>
    </row>
    <row r="397" spans="1:5" ht="12.75">
      <c r="A397" s="82" t="s">
        <v>642</v>
      </c>
      <c r="B397" s="83">
        <v>0.3</v>
      </c>
      <c r="C397" s="83" t="s">
        <v>242</v>
      </c>
      <c r="D397" s="83">
        <v>56</v>
      </c>
      <c r="E397" s="83" t="s">
        <v>582</v>
      </c>
    </row>
    <row r="398" spans="1:5" ht="12.75">
      <c r="A398" s="82" t="s">
        <v>643</v>
      </c>
      <c r="B398" s="83">
        <v>3</v>
      </c>
      <c r="C398" s="83" t="s">
        <v>242</v>
      </c>
      <c r="D398" s="83">
        <v>56</v>
      </c>
      <c r="E398" s="83" t="s">
        <v>582</v>
      </c>
    </row>
    <row r="399" spans="1:5" ht="12.75">
      <c r="A399" s="82" t="s">
        <v>644</v>
      </c>
      <c r="B399" s="83">
        <v>0.05</v>
      </c>
      <c r="C399" s="83" t="s">
        <v>242</v>
      </c>
      <c r="D399" s="83">
        <v>56</v>
      </c>
      <c r="E399" s="83" t="s">
        <v>582</v>
      </c>
    </row>
    <row r="400" spans="1:5" ht="12.75">
      <c r="A400" s="82" t="s">
        <v>645</v>
      </c>
      <c r="B400" s="83">
        <v>0.1</v>
      </c>
      <c r="C400" s="83" t="s">
        <v>242</v>
      </c>
      <c r="D400" s="83">
        <v>56</v>
      </c>
      <c r="E400" s="83" t="s">
        <v>582</v>
      </c>
    </row>
    <row r="401" spans="1:5" ht="12.75">
      <c r="A401" s="82" t="s">
        <v>646</v>
      </c>
      <c r="B401" s="83">
        <v>3</v>
      </c>
      <c r="C401" s="83" t="s">
        <v>242</v>
      </c>
      <c r="D401" s="83">
        <v>56</v>
      </c>
      <c r="E401" s="83" t="s">
        <v>582</v>
      </c>
    </row>
    <row r="402" spans="1:5" ht="12.75">
      <c r="A402" s="82" t="s">
        <v>647</v>
      </c>
      <c r="B402" s="83">
        <v>5</v>
      </c>
      <c r="C402" s="83" t="s">
        <v>242</v>
      </c>
      <c r="D402" s="83">
        <v>56</v>
      </c>
      <c r="E402" s="83" t="s">
        <v>582</v>
      </c>
    </row>
    <row r="403" spans="1:5" ht="12.75">
      <c r="A403" s="82" t="s">
        <v>648</v>
      </c>
      <c r="B403" s="83">
        <v>4</v>
      </c>
      <c r="C403" s="83" t="s">
        <v>242</v>
      </c>
      <c r="D403" s="83">
        <v>56</v>
      </c>
      <c r="E403" s="83" t="s">
        <v>582</v>
      </c>
    </row>
    <row r="404" spans="1:5" ht="12.75">
      <c r="A404" s="82" t="s">
        <v>649</v>
      </c>
      <c r="B404" s="83">
        <v>8</v>
      </c>
      <c r="C404" s="83" t="s">
        <v>242</v>
      </c>
      <c r="D404" s="83">
        <v>56</v>
      </c>
      <c r="E404" s="83" t="s">
        <v>582</v>
      </c>
    </row>
    <row r="405" spans="1:5" ht="12.75">
      <c r="A405" s="82" t="s">
        <v>650</v>
      </c>
      <c r="B405" s="83">
        <v>10</v>
      </c>
      <c r="C405" s="83" t="s">
        <v>242</v>
      </c>
      <c r="D405" s="83">
        <v>56</v>
      </c>
      <c r="E405" s="83" t="s">
        <v>582</v>
      </c>
    </row>
    <row r="406" spans="1:5" ht="12.75">
      <c r="A406" s="82" t="s">
        <v>651</v>
      </c>
      <c r="B406" s="83">
        <v>0.05</v>
      </c>
      <c r="C406" s="83" t="s">
        <v>242</v>
      </c>
      <c r="D406" s="83">
        <v>56</v>
      </c>
      <c r="E406" s="83" t="s">
        <v>582</v>
      </c>
    </row>
    <row r="407" spans="1:5" ht="12.75">
      <c r="A407" s="82" t="s">
        <v>652</v>
      </c>
      <c r="B407" s="83">
        <v>7.0000000000000007E-2</v>
      </c>
      <c r="C407" s="83" t="s">
        <v>242</v>
      </c>
      <c r="D407" s="83">
        <v>56</v>
      </c>
      <c r="E407" s="83" t="s">
        <v>582</v>
      </c>
    </row>
    <row r="408" spans="1:5" ht="12.75">
      <c r="A408" s="82" t="s">
        <v>653</v>
      </c>
      <c r="B408" s="83">
        <v>0.2</v>
      </c>
      <c r="C408" s="83" t="s">
        <v>242</v>
      </c>
      <c r="D408" s="83">
        <v>56</v>
      </c>
      <c r="E408" s="83" t="s">
        <v>582</v>
      </c>
    </row>
    <row r="409" spans="1:5" ht="12.75">
      <c r="A409" s="82" t="s">
        <v>654</v>
      </c>
      <c r="B409" s="83">
        <v>0.3</v>
      </c>
      <c r="C409" s="83" t="s">
        <v>242</v>
      </c>
      <c r="D409" s="83">
        <v>56</v>
      </c>
      <c r="E409" s="83" t="s">
        <v>582</v>
      </c>
    </row>
    <row r="410" spans="1:5" ht="12.75">
      <c r="A410" s="82" t="s">
        <v>655</v>
      </c>
      <c r="B410" s="83">
        <v>0.4</v>
      </c>
      <c r="C410" s="83" t="s">
        <v>242</v>
      </c>
      <c r="D410" s="83">
        <v>56</v>
      </c>
      <c r="E410" s="83" t="s">
        <v>582</v>
      </c>
    </row>
    <row r="411" spans="1:5" ht="12.75">
      <c r="A411" s="82" t="s">
        <v>656</v>
      </c>
      <c r="B411" s="83">
        <v>5</v>
      </c>
      <c r="C411" s="83" t="s">
        <v>242</v>
      </c>
      <c r="D411" s="83">
        <v>56</v>
      </c>
      <c r="E411" s="83" t="s">
        <v>582</v>
      </c>
    </row>
    <row r="412" spans="1:5" ht="12.75">
      <c r="A412" s="82" t="s">
        <v>657</v>
      </c>
      <c r="B412" s="83">
        <v>0.7</v>
      </c>
      <c r="C412" s="83" t="s">
        <v>242</v>
      </c>
      <c r="D412" s="83">
        <v>57</v>
      </c>
      <c r="E412" s="83" t="s">
        <v>582</v>
      </c>
    </row>
    <row r="413" spans="1:5" ht="12.75">
      <c r="A413" s="82" t="s">
        <v>658</v>
      </c>
      <c r="B413" s="83">
        <v>3</v>
      </c>
      <c r="C413" s="83" t="s">
        <v>242</v>
      </c>
      <c r="D413" s="83">
        <v>57</v>
      </c>
      <c r="E413" s="83" t="s">
        <v>582</v>
      </c>
    </row>
    <row r="414" spans="1:5" ht="12.75">
      <c r="A414" s="82" t="s">
        <v>659</v>
      </c>
      <c r="B414" s="83">
        <v>5</v>
      </c>
      <c r="C414" s="83" t="s">
        <v>242</v>
      </c>
      <c r="D414" s="83">
        <v>57</v>
      </c>
      <c r="E414" s="83" t="s">
        <v>582</v>
      </c>
    </row>
    <row r="415" spans="1:5" ht="12.75">
      <c r="A415" s="82" t="s">
        <v>660</v>
      </c>
      <c r="B415" s="83">
        <v>10</v>
      </c>
      <c r="C415" s="83" t="s">
        <v>242</v>
      </c>
      <c r="D415" s="83">
        <v>57</v>
      </c>
      <c r="E415" s="83" t="s">
        <v>582</v>
      </c>
    </row>
    <row r="416" spans="1:5" ht="12.75">
      <c r="A416" s="82" t="s">
        <v>661</v>
      </c>
      <c r="B416" s="83">
        <v>20</v>
      </c>
      <c r="C416" s="83" t="s">
        <v>242</v>
      </c>
      <c r="D416" s="83">
        <v>57</v>
      </c>
      <c r="E416" s="83" t="s">
        <v>582</v>
      </c>
    </row>
    <row r="417" spans="1:5" ht="12.75">
      <c r="A417" s="82" t="s">
        <v>662</v>
      </c>
      <c r="B417" s="83">
        <v>3</v>
      </c>
      <c r="C417" s="83" t="s">
        <v>242</v>
      </c>
      <c r="D417" s="83">
        <v>57</v>
      </c>
      <c r="E417" s="83" t="s">
        <v>582</v>
      </c>
    </row>
    <row r="418" spans="1:5" ht="12.75">
      <c r="A418" s="82" t="s">
        <v>663</v>
      </c>
      <c r="B418" s="83">
        <v>7</v>
      </c>
      <c r="C418" s="83" t="s">
        <v>242</v>
      </c>
      <c r="D418" s="83">
        <v>57</v>
      </c>
      <c r="E418" s="83" t="s">
        <v>582</v>
      </c>
    </row>
    <row r="419" spans="1:5" ht="12.75">
      <c r="A419" s="82" t="s">
        <v>664</v>
      </c>
      <c r="B419" s="83">
        <v>8</v>
      </c>
      <c r="C419" s="83" t="s">
        <v>242</v>
      </c>
      <c r="D419" s="83">
        <v>57</v>
      </c>
      <c r="E419" s="83" t="s">
        <v>582</v>
      </c>
    </row>
    <row r="420" spans="1:5" ht="12.75">
      <c r="A420" s="82" t="s">
        <v>665</v>
      </c>
      <c r="B420" s="83">
        <v>15</v>
      </c>
      <c r="C420" s="83" t="s">
        <v>242</v>
      </c>
      <c r="D420" s="83">
        <v>57</v>
      </c>
      <c r="E420" s="83" t="s">
        <v>582</v>
      </c>
    </row>
    <row r="421" spans="1:5" ht="12.75">
      <c r="A421" s="82" t="s">
        <v>666</v>
      </c>
      <c r="B421" s="83">
        <v>15</v>
      </c>
      <c r="C421" s="83" t="s">
        <v>242</v>
      </c>
      <c r="D421" s="83">
        <v>57</v>
      </c>
      <c r="E421" s="83" t="s">
        <v>582</v>
      </c>
    </row>
    <row r="422" spans="1:5" ht="12.75">
      <c r="A422" s="82" t="s">
        <v>667</v>
      </c>
      <c r="B422" s="83">
        <v>17</v>
      </c>
      <c r="C422" s="83" t="s">
        <v>242</v>
      </c>
      <c r="D422" s="83">
        <v>57</v>
      </c>
      <c r="E422" s="83" t="s">
        <v>582</v>
      </c>
    </row>
    <row r="423" spans="1:5" ht="12.75">
      <c r="A423" s="82" t="s">
        <v>668</v>
      </c>
      <c r="B423" s="83">
        <v>2</v>
      </c>
      <c r="C423" s="83" t="s">
        <v>242</v>
      </c>
      <c r="D423" s="83">
        <v>57</v>
      </c>
      <c r="E423" s="83" t="s">
        <v>582</v>
      </c>
    </row>
    <row r="424" spans="1:5" ht="12.75">
      <c r="A424" s="82" t="s">
        <v>669</v>
      </c>
      <c r="B424" s="83">
        <v>4</v>
      </c>
      <c r="C424" s="83" t="s">
        <v>242</v>
      </c>
      <c r="D424" s="83">
        <v>57</v>
      </c>
      <c r="E424" s="83" t="s">
        <v>582</v>
      </c>
    </row>
    <row r="425" spans="1:5" ht="12.75">
      <c r="A425" s="82" t="s">
        <v>670</v>
      </c>
      <c r="B425" s="83">
        <v>5</v>
      </c>
      <c r="C425" s="83" t="s">
        <v>242</v>
      </c>
      <c r="D425" s="83">
        <v>57</v>
      </c>
      <c r="E425" s="83" t="s">
        <v>582</v>
      </c>
    </row>
    <row r="426" spans="1:5" ht="12.75">
      <c r="A426" s="82" t="s">
        <v>671</v>
      </c>
      <c r="B426" s="83">
        <v>45</v>
      </c>
      <c r="C426" s="83" t="s">
        <v>242</v>
      </c>
      <c r="D426" s="83">
        <v>58</v>
      </c>
      <c r="E426" s="83" t="s">
        <v>582</v>
      </c>
    </row>
    <row r="427" spans="1:5" ht="12.75">
      <c r="A427" s="82" t="s">
        <v>672</v>
      </c>
      <c r="B427" s="83">
        <v>95</v>
      </c>
      <c r="C427" s="83" t="s">
        <v>242</v>
      </c>
      <c r="D427" s="83">
        <v>58</v>
      </c>
      <c r="E427" s="83" t="s">
        <v>582</v>
      </c>
    </row>
    <row r="428" spans="1:5" ht="12.75">
      <c r="A428" s="82" t="s">
        <v>673</v>
      </c>
      <c r="B428" s="83">
        <v>7</v>
      </c>
      <c r="C428" s="83" t="s">
        <v>242</v>
      </c>
      <c r="D428" s="83">
        <v>58</v>
      </c>
      <c r="E428" s="83" t="s">
        <v>582</v>
      </c>
    </row>
    <row r="429" spans="1:5" ht="12.75">
      <c r="A429" s="82" t="s">
        <v>506</v>
      </c>
      <c r="B429" s="83">
        <v>5</v>
      </c>
      <c r="C429" s="83" t="s">
        <v>242</v>
      </c>
      <c r="D429" s="83">
        <v>58</v>
      </c>
      <c r="E429" s="83" t="s">
        <v>582</v>
      </c>
    </row>
    <row r="430" spans="1:5" ht="12.75">
      <c r="A430" s="82" t="s">
        <v>507</v>
      </c>
      <c r="B430" s="83">
        <v>10</v>
      </c>
      <c r="C430" s="83" t="s">
        <v>242</v>
      </c>
      <c r="D430" s="83">
        <v>58</v>
      </c>
      <c r="E430" s="83" t="s">
        <v>582</v>
      </c>
    </row>
    <row r="431" spans="1:5" ht="12.75">
      <c r="A431" s="82" t="s">
        <v>674</v>
      </c>
      <c r="B431" s="83">
        <v>50</v>
      </c>
      <c r="C431" s="83" t="s">
        <v>242</v>
      </c>
      <c r="D431" s="83">
        <v>58</v>
      </c>
      <c r="E431" s="83" t="s">
        <v>582</v>
      </c>
    </row>
    <row r="432" spans="1:5" ht="12.75">
      <c r="A432" s="82" t="s">
        <v>675</v>
      </c>
      <c r="B432" s="83">
        <v>120</v>
      </c>
      <c r="C432" s="83" t="s">
        <v>242</v>
      </c>
      <c r="D432" s="83">
        <v>58</v>
      </c>
      <c r="E432" s="83" t="s">
        <v>582</v>
      </c>
    </row>
    <row r="433" spans="1:5" ht="12.75">
      <c r="A433" s="82" t="s">
        <v>676</v>
      </c>
      <c r="B433" s="83">
        <v>0.05</v>
      </c>
      <c r="C433" s="83" t="s">
        <v>242</v>
      </c>
      <c r="D433" s="83">
        <v>59</v>
      </c>
      <c r="E433" s="83" t="s">
        <v>582</v>
      </c>
    </row>
    <row r="434" spans="1:5" ht="12.75">
      <c r="A434" s="82" t="s">
        <v>677</v>
      </c>
      <c r="B434" s="83">
        <v>0.5</v>
      </c>
      <c r="C434" s="83" t="s">
        <v>242</v>
      </c>
      <c r="D434" s="83">
        <v>59</v>
      </c>
      <c r="E434" s="83" t="s">
        <v>582</v>
      </c>
    </row>
    <row r="435" spans="1:5" ht="12.75">
      <c r="A435" s="82" t="s">
        <v>678</v>
      </c>
      <c r="B435" s="83">
        <v>20</v>
      </c>
      <c r="C435" s="83" t="s">
        <v>242</v>
      </c>
      <c r="D435" s="83">
        <v>59</v>
      </c>
      <c r="E435" s="83" t="s">
        <v>582</v>
      </c>
    </row>
    <row r="436" spans="1:5" ht="12.75">
      <c r="A436" s="82" t="s">
        <v>679</v>
      </c>
      <c r="B436" s="83">
        <v>0.02</v>
      </c>
      <c r="C436" s="83" t="s">
        <v>242</v>
      </c>
      <c r="D436" s="83">
        <v>59</v>
      </c>
      <c r="E436" s="83" t="s">
        <v>582</v>
      </c>
    </row>
    <row r="437" spans="1:5" ht="12.75">
      <c r="A437" s="82" t="s">
        <v>680</v>
      </c>
      <c r="B437" s="83">
        <v>7</v>
      </c>
      <c r="C437" s="83" t="s">
        <v>242</v>
      </c>
      <c r="D437" s="83">
        <v>59</v>
      </c>
      <c r="E437" s="83" t="s">
        <v>582</v>
      </c>
    </row>
    <row r="438" spans="1:5" ht="12.75">
      <c r="A438" s="82" t="s">
        <v>681</v>
      </c>
      <c r="B438" s="83" t="s">
        <v>320</v>
      </c>
      <c r="C438" s="83" t="s">
        <v>242</v>
      </c>
      <c r="D438" s="83">
        <v>60</v>
      </c>
      <c r="E438" s="83" t="s">
        <v>582</v>
      </c>
    </row>
    <row r="439" spans="1:5" ht="12.75">
      <c r="A439" s="82" t="s">
        <v>682</v>
      </c>
      <c r="B439" s="83" t="s">
        <v>320</v>
      </c>
      <c r="C439" s="83" t="s">
        <v>242</v>
      </c>
      <c r="D439" s="83">
        <v>61</v>
      </c>
      <c r="E439" s="83" t="s">
        <v>582</v>
      </c>
    </row>
    <row r="440" spans="1:5" ht="12.75">
      <c r="A440" s="82" t="s">
        <v>683</v>
      </c>
      <c r="B440" s="83">
        <v>50</v>
      </c>
      <c r="C440" s="83" t="s">
        <v>242</v>
      </c>
      <c r="D440" s="83">
        <v>62</v>
      </c>
      <c r="E440" s="83" t="s">
        <v>582</v>
      </c>
    </row>
    <row r="441" spans="1:5" ht="12.75">
      <c r="A441" s="82" t="s">
        <v>684</v>
      </c>
      <c r="B441" s="83">
        <v>5</v>
      </c>
      <c r="C441" s="83" t="s">
        <v>242</v>
      </c>
      <c r="D441" s="83">
        <v>62</v>
      </c>
      <c r="E441" s="83" t="s">
        <v>582</v>
      </c>
    </row>
    <row r="442" spans="1:5" ht="12.75">
      <c r="A442" s="82" t="s">
        <v>685</v>
      </c>
      <c r="B442" s="83">
        <v>3</v>
      </c>
      <c r="C442" s="83" t="s">
        <v>242</v>
      </c>
      <c r="D442" s="83">
        <v>62</v>
      </c>
      <c r="E442" s="83" t="s">
        <v>582</v>
      </c>
    </row>
    <row r="443" spans="1:5" ht="12.75">
      <c r="A443" s="82" t="s">
        <v>686</v>
      </c>
      <c r="B443" s="83">
        <v>2</v>
      </c>
      <c r="C443" s="83" t="s">
        <v>242</v>
      </c>
      <c r="D443" s="83">
        <v>62</v>
      </c>
      <c r="E443" s="83" t="s">
        <v>582</v>
      </c>
    </row>
    <row r="444" spans="1:5" ht="12.75">
      <c r="A444" s="82" t="s">
        <v>687</v>
      </c>
      <c r="B444" s="83">
        <v>4</v>
      </c>
      <c r="C444" s="83" t="s">
        <v>242</v>
      </c>
      <c r="D444" s="83">
        <v>62</v>
      </c>
      <c r="E444" s="83" t="s">
        <v>582</v>
      </c>
    </row>
    <row r="445" spans="1:5" ht="12.75">
      <c r="A445" s="82" t="s">
        <v>688</v>
      </c>
      <c r="B445" s="83">
        <v>10</v>
      </c>
      <c r="C445" s="83" t="s">
        <v>242</v>
      </c>
      <c r="D445" s="83">
        <v>62</v>
      </c>
      <c r="E445" s="83" t="s">
        <v>582</v>
      </c>
    </row>
    <row r="446" spans="1:5" ht="12.75">
      <c r="A446" s="82" t="s">
        <v>689</v>
      </c>
      <c r="B446" s="83">
        <v>4</v>
      </c>
      <c r="C446" s="83" t="s">
        <v>242</v>
      </c>
      <c r="D446" s="83">
        <v>62</v>
      </c>
      <c r="E446" s="83" t="s">
        <v>582</v>
      </c>
    </row>
    <row r="447" spans="1:5" ht="12.75">
      <c r="A447" s="82" t="s">
        <v>690</v>
      </c>
      <c r="B447" s="83">
        <v>8</v>
      </c>
      <c r="C447" s="83" t="s">
        <v>242</v>
      </c>
      <c r="D447" s="83">
        <v>63</v>
      </c>
      <c r="E447" s="83" t="s">
        <v>582</v>
      </c>
    </row>
    <row r="448" spans="1:5" ht="12.75">
      <c r="A448" s="82" t="s">
        <v>691</v>
      </c>
      <c r="B448" s="83">
        <v>13</v>
      </c>
      <c r="C448" s="83" t="s">
        <v>242</v>
      </c>
      <c r="D448" s="83">
        <v>63</v>
      </c>
      <c r="E448" s="83" t="s">
        <v>582</v>
      </c>
    </row>
    <row r="449" spans="1:5" ht="12.75">
      <c r="A449" s="82" t="s">
        <v>692</v>
      </c>
      <c r="B449" s="83">
        <v>8</v>
      </c>
      <c r="C449" s="83" t="s">
        <v>242</v>
      </c>
      <c r="D449" s="83">
        <v>63</v>
      </c>
      <c r="E449" s="83" t="s">
        <v>582</v>
      </c>
    </row>
    <row r="450" spans="1:5" ht="12.75">
      <c r="A450" s="82" t="s">
        <v>693</v>
      </c>
      <c r="B450" s="83">
        <v>5</v>
      </c>
      <c r="C450" s="83" t="s">
        <v>242</v>
      </c>
      <c r="D450" s="83">
        <v>63</v>
      </c>
      <c r="E450" s="83" t="s">
        <v>582</v>
      </c>
    </row>
    <row r="451" spans="1:5" ht="12.75">
      <c r="A451" s="82" t="s">
        <v>694</v>
      </c>
      <c r="B451" s="83">
        <v>7</v>
      </c>
      <c r="C451" s="83" t="s">
        <v>242</v>
      </c>
      <c r="D451" s="83">
        <v>63</v>
      </c>
      <c r="E451" s="83" t="s">
        <v>582</v>
      </c>
    </row>
    <row r="452" spans="1:5" ht="12.75">
      <c r="A452" s="82" t="s">
        <v>695</v>
      </c>
      <c r="B452" s="83">
        <v>5</v>
      </c>
      <c r="C452" s="83" t="s">
        <v>242</v>
      </c>
      <c r="D452" s="83">
        <v>63</v>
      </c>
      <c r="E452" s="83" t="s">
        <v>582</v>
      </c>
    </row>
    <row r="453" spans="1:5" ht="12.75">
      <c r="A453" s="82" t="s">
        <v>696</v>
      </c>
      <c r="B453" s="83">
        <v>1</v>
      </c>
      <c r="C453" s="83" t="s">
        <v>242</v>
      </c>
      <c r="D453" s="83">
        <v>63</v>
      </c>
      <c r="E453" s="83" t="s">
        <v>582</v>
      </c>
    </row>
    <row r="454" spans="1:5" ht="12.75">
      <c r="A454" s="82" t="s">
        <v>697</v>
      </c>
      <c r="B454" s="83">
        <v>4</v>
      </c>
      <c r="C454" s="83" t="s">
        <v>242</v>
      </c>
      <c r="D454" s="83">
        <v>63</v>
      </c>
      <c r="E454" s="83" t="s">
        <v>582</v>
      </c>
    </row>
    <row r="455" spans="1:5" ht="12.75">
      <c r="A455" s="82" t="s">
        <v>698</v>
      </c>
      <c r="B455" s="83">
        <v>10</v>
      </c>
      <c r="C455" s="83" t="s">
        <v>242</v>
      </c>
      <c r="D455" s="83">
        <v>64</v>
      </c>
      <c r="E455" s="83" t="s">
        <v>582</v>
      </c>
    </row>
    <row r="456" spans="1:5" ht="12.75">
      <c r="A456" s="82" t="s">
        <v>699</v>
      </c>
      <c r="B456" s="83">
        <v>15</v>
      </c>
      <c r="C456" s="83" t="s">
        <v>242</v>
      </c>
      <c r="D456" s="83">
        <v>64</v>
      </c>
      <c r="E456" s="83" t="s">
        <v>582</v>
      </c>
    </row>
    <row r="457" spans="1:5" ht="12.75">
      <c r="A457" s="82" t="s">
        <v>700</v>
      </c>
      <c r="B457" s="83">
        <v>17</v>
      </c>
      <c r="C457" s="83" t="s">
        <v>242</v>
      </c>
      <c r="D457" s="83">
        <v>64</v>
      </c>
      <c r="E457" s="83" t="s">
        <v>582</v>
      </c>
    </row>
    <row r="458" spans="1:5" ht="12.75">
      <c r="A458" s="82" t="s">
        <v>701</v>
      </c>
      <c r="B458" s="83" t="s">
        <v>320</v>
      </c>
      <c r="C458" s="83" t="s">
        <v>242</v>
      </c>
      <c r="D458" s="83">
        <v>65</v>
      </c>
      <c r="E458" s="83" t="s">
        <v>702</v>
      </c>
    </row>
    <row r="459" spans="1:5" ht="12.75">
      <c r="A459" s="82" t="s">
        <v>703</v>
      </c>
      <c r="B459" s="83" t="s">
        <v>320</v>
      </c>
      <c r="C459" s="83" t="s">
        <v>242</v>
      </c>
      <c r="D459" s="83">
        <v>67</v>
      </c>
      <c r="E459" s="83" t="s">
        <v>704</v>
      </c>
    </row>
    <row r="460" spans="1:5" ht="12.75">
      <c r="A460" s="82" t="s">
        <v>705</v>
      </c>
      <c r="B460" s="83" t="s">
        <v>320</v>
      </c>
      <c r="C460" s="83" t="s">
        <v>242</v>
      </c>
      <c r="D460" s="83">
        <v>67</v>
      </c>
      <c r="E460" s="83" t="s">
        <v>704</v>
      </c>
    </row>
    <row r="461" spans="1:5" ht="12.75">
      <c r="A461" s="82" t="s">
        <v>706</v>
      </c>
      <c r="B461" s="83" t="s">
        <v>320</v>
      </c>
      <c r="C461" s="83" t="s">
        <v>242</v>
      </c>
      <c r="D461" s="83">
        <v>68</v>
      </c>
      <c r="E461" s="83" t="s">
        <v>704</v>
      </c>
    </row>
    <row r="462" spans="1:5" ht="12.75">
      <c r="A462" s="82" t="s">
        <v>707</v>
      </c>
      <c r="B462" s="83">
        <v>275</v>
      </c>
      <c r="C462" s="83" t="s">
        <v>242</v>
      </c>
      <c r="D462" s="83">
        <v>68</v>
      </c>
      <c r="E462" s="83" t="s">
        <v>704</v>
      </c>
    </row>
    <row r="463" spans="1:5" ht="12.75">
      <c r="A463" s="82" t="s">
        <v>708</v>
      </c>
      <c r="B463" s="83">
        <v>8</v>
      </c>
      <c r="C463" s="83" t="s">
        <v>242</v>
      </c>
      <c r="D463" s="83">
        <v>68</v>
      </c>
      <c r="E463" s="83" t="s">
        <v>704</v>
      </c>
    </row>
    <row r="464" spans="1:5" ht="12.75">
      <c r="A464" s="82" t="s">
        <v>709</v>
      </c>
      <c r="B464" s="83">
        <v>175</v>
      </c>
      <c r="C464" s="83" t="s">
        <v>242</v>
      </c>
      <c r="D464" s="83">
        <v>68</v>
      </c>
      <c r="E464" s="83" t="s">
        <v>704</v>
      </c>
    </row>
    <row r="465" spans="1:5" ht="12.75">
      <c r="A465" s="82" t="s">
        <v>710</v>
      </c>
      <c r="B465" s="83">
        <v>35</v>
      </c>
      <c r="C465" s="83" t="s">
        <v>242</v>
      </c>
      <c r="D465" s="83">
        <v>68</v>
      </c>
      <c r="E465" s="83" t="s">
        <v>704</v>
      </c>
    </row>
    <row r="466" spans="1:5" ht="12.75">
      <c r="A466" s="82" t="s">
        <v>711</v>
      </c>
      <c r="B466" s="83">
        <v>45</v>
      </c>
      <c r="C466" s="83" t="s">
        <v>242</v>
      </c>
      <c r="D466" s="83">
        <v>68</v>
      </c>
      <c r="E466" s="83" t="s">
        <v>704</v>
      </c>
    </row>
    <row r="467" spans="1:5" ht="12.75">
      <c r="A467" s="82" t="s">
        <v>712</v>
      </c>
      <c r="B467" s="83">
        <v>15</v>
      </c>
      <c r="C467" s="83" t="s">
        <v>242</v>
      </c>
      <c r="D467" s="83">
        <v>69</v>
      </c>
      <c r="E467" s="83" t="s">
        <v>704</v>
      </c>
    </row>
    <row r="468" spans="1:5" ht="12.75">
      <c r="A468" s="82" t="s">
        <v>713</v>
      </c>
      <c r="B468" s="83">
        <v>4</v>
      </c>
      <c r="C468" s="83" t="s">
        <v>242</v>
      </c>
      <c r="D468" s="83">
        <v>69</v>
      </c>
      <c r="E468" s="83" t="s">
        <v>704</v>
      </c>
    </row>
    <row r="469" spans="1:5" ht="12.75">
      <c r="A469" s="82" t="s">
        <v>714</v>
      </c>
      <c r="B469" s="83">
        <v>2</v>
      </c>
      <c r="C469" s="83" t="s">
        <v>242</v>
      </c>
      <c r="D469" s="83">
        <v>69</v>
      </c>
      <c r="E469" s="83" t="s">
        <v>704</v>
      </c>
    </row>
    <row r="470" spans="1:5" ht="12.75">
      <c r="A470" s="82" t="s">
        <v>715</v>
      </c>
      <c r="B470" s="83">
        <v>12</v>
      </c>
      <c r="C470" s="83" t="s">
        <v>242</v>
      </c>
      <c r="D470" s="83">
        <v>69</v>
      </c>
      <c r="E470" s="83" t="s">
        <v>704</v>
      </c>
    </row>
    <row r="471" spans="1:5" ht="12.75">
      <c r="A471" s="82" t="s">
        <v>716</v>
      </c>
      <c r="B471" s="83">
        <v>70</v>
      </c>
      <c r="C471" s="83" t="s">
        <v>242</v>
      </c>
      <c r="D471" s="83">
        <v>69</v>
      </c>
      <c r="E471" s="83" t="s">
        <v>704</v>
      </c>
    </row>
    <row r="472" spans="1:5" ht="12.75">
      <c r="A472" s="82" t="s">
        <v>717</v>
      </c>
      <c r="B472" s="83">
        <v>5</v>
      </c>
      <c r="C472" s="83" t="s">
        <v>242</v>
      </c>
      <c r="D472" s="83">
        <v>70</v>
      </c>
      <c r="E472" s="83" t="s">
        <v>704</v>
      </c>
    </row>
    <row r="473" spans="1:5" ht="12.75">
      <c r="A473" s="82" t="s">
        <v>718</v>
      </c>
      <c r="B473" s="83" t="s">
        <v>320</v>
      </c>
      <c r="C473" s="83" t="s">
        <v>242</v>
      </c>
      <c r="D473" s="83">
        <v>70</v>
      </c>
      <c r="E473" s="83" t="s">
        <v>704</v>
      </c>
    </row>
    <row r="474" spans="1:5" ht="12.75">
      <c r="A474" s="82" t="s">
        <v>719</v>
      </c>
      <c r="B474" s="83" t="s">
        <v>320</v>
      </c>
      <c r="C474" s="83" t="s">
        <v>242</v>
      </c>
      <c r="D474" s="83">
        <v>71</v>
      </c>
      <c r="E474" s="83" t="s">
        <v>719</v>
      </c>
    </row>
    <row r="475" spans="1:5" ht="12.75">
      <c r="A475" s="82" t="s">
        <v>720</v>
      </c>
      <c r="B475" s="83">
        <v>3</v>
      </c>
      <c r="C475" s="83" t="s">
        <v>242</v>
      </c>
      <c r="D475" s="83">
        <v>73</v>
      </c>
      <c r="E475" s="83" t="s">
        <v>721</v>
      </c>
    </row>
    <row r="476" spans="1:5" ht="12.75">
      <c r="A476" s="82" t="s">
        <v>722</v>
      </c>
      <c r="B476" s="83">
        <v>7</v>
      </c>
      <c r="C476" s="83" t="s">
        <v>242</v>
      </c>
      <c r="D476" s="83">
        <v>73</v>
      </c>
      <c r="E476" s="83" t="s">
        <v>721</v>
      </c>
    </row>
    <row r="477" spans="1:5" ht="12.75">
      <c r="A477" s="82" t="s">
        <v>723</v>
      </c>
      <c r="B477" s="83">
        <v>14</v>
      </c>
      <c r="C477" s="83" t="s">
        <v>242</v>
      </c>
      <c r="D477" s="83">
        <v>73</v>
      </c>
      <c r="E477" s="83" t="s">
        <v>721</v>
      </c>
    </row>
    <row r="478" spans="1:5" ht="12.75">
      <c r="A478" s="82" t="s">
        <v>724</v>
      </c>
      <c r="B478" s="83">
        <v>25</v>
      </c>
      <c r="C478" s="83" t="s">
        <v>242</v>
      </c>
      <c r="D478" s="83">
        <v>73</v>
      </c>
      <c r="E478" s="83" t="s">
        <v>721</v>
      </c>
    </row>
    <row r="479" spans="1:5" ht="12.75">
      <c r="A479" s="82" t="s">
        <v>725</v>
      </c>
      <c r="B479" s="83">
        <v>35</v>
      </c>
      <c r="C479" s="83" t="s">
        <v>242</v>
      </c>
      <c r="D479" s="83">
        <v>73</v>
      </c>
      <c r="E479" s="83" t="s">
        <v>721</v>
      </c>
    </row>
    <row r="480" spans="1:5" ht="12.75">
      <c r="A480" s="82" t="s">
        <v>726</v>
      </c>
      <c r="B480" s="83" t="s">
        <v>320</v>
      </c>
      <c r="C480" s="83" t="s">
        <v>242</v>
      </c>
      <c r="D480" s="83">
        <v>73</v>
      </c>
      <c r="E480" s="83" t="s">
        <v>721</v>
      </c>
    </row>
    <row r="481" spans="1:5" ht="12.75">
      <c r="A481" s="82" t="s">
        <v>727</v>
      </c>
      <c r="B481" s="83">
        <v>100</v>
      </c>
      <c r="C481" s="83" t="s">
        <v>242</v>
      </c>
      <c r="D481" s="83">
        <v>73</v>
      </c>
      <c r="E481" s="83" t="s">
        <v>721</v>
      </c>
    </row>
    <row r="482" spans="1:5" ht="12.75">
      <c r="A482" s="82" t="s">
        <v>728</v>
      </c>
      <c r="B482" s="83">
        <v>200</v>
      </c>
      <c r="C482" s="83" t="s">
        <v>242</v>
      </c>
      <c r="D482" s="83">
        <v>73</v>
      </c>
      <c r="E482" s="83" t="s">
        <v>721</v>
      </c>
    </row>
    <row r="483" spans="1:5" ht="12.75">
      <c r="A483" s="82" t="s">
        <v>729</v>
      </c>
      <c r="B483" s="83">
        <v>5</v>
      </c>
      <c r="C483" s="83" t="s">
        <v>242</v>
      </c>
      <c r="D483" s="83">
        <v>73</v>
      </c>
      <c r="E483" s="83" t="s">
        <v>721</v>
      </c>
    </row>
    <row r="484" spans="1:5" ht="12.75">
      <c r="A484" s="82" t="s">
        <v>730</v>
      </c>
      <c r="B484" s="83">
        <v>3</v>
      </c>
      <c r="C484" s="83" t="s">
        <v>242</v>
      </c>
      <c r="D484" s="83">
        <v>73</v>
      </c>
      <c r="E484" s="83" t="s">
        <v>721</v>
      </c>
    </row>
    <row r="485" spans="1:5" ht="12.75">
      <c r="A485" s="82" t="s">
        <v>731</v>
      </c>
      <c r="B485" s="83" t="s">
        <v>320</v>
      </c>
      <c r="C485" s="83" t="s">
        <v>242</v>
      </c>
      <c r="D485" s="83">
        <v>74</v>
      </c>
      <c r="E485" s="83" t="s">
        <v>721</v>
      </c>
    </row>
    <row r="486" spans="1:5" ht="12.75">
      <c r="A486" s="82" t="s">
        <v>732</v>
      </c>
      <c r="B486" s="83" t="s">
        <v>320</v>
      </c>
      <c r="C486" s="83" t="s">
        <v>242</v>
      </c>
      <c r="D486" s="83">
        <v>74</v>
      </c>
      <c r="E486" s="83" t="s">
        <v>721</v>
      </c>
    </row>
    <row r="487" spans="1:5" ht="12.75">
      <c r="A487" s="82" t="s">
        <v>733</v>
      </c>
      <c r="B487" s="83">
        <v>6</v>
      </c>
      <c r="C487" s="83" t="s">
        <v>242</v>
      </c>
      <c r="D487" s="83">
        <v>74</v>
      </c>
      <c r="E487" s="83" t="s">
        <v>721</v>
      </c>
    </row>
    <row r="488" spans="1:5" ht="12.75">
      <c r="A488" s="82" t="s">
        <v>734</v>
      </c>
      <c r="B488" s="83">
        <v>10</v>
      </c>
      <c r="C488" s="83" t="s">
        <v>242</v>
      </c>
      <c r="D488" s="83">
        <v>74</v>
      </c>
      <c r="E488" s="83" t="s">
        <v>721</v>
      </c>
    </row>
    <row r="489" spans="1:5" ht="12.75">
      <c r="A489" s="82" t="s">
        <v>735</v>
      </c>
      <c r="B489" s="83">
        <v>3</v>
      </c>
      <c r="C489" s="83" t="s">
        <v>242</v>
      </c>
      <c r="D489" s="83">
        <v>74</v>
      </c>
      <c r="E489" s="83" t="s">
        <v>721</v>
      </c>
    </row>
    <row r="490" spans="1:5" ht="12.75">
      <c r="A490" s="82" t="s">
        <v>736</v>
      </c>
      <c r="B490" s="83">
        <v>7</v>
      </c>
      <c r="C490" s="83" t="s">
        <v>242</v>
      </c>
      <c r="D490" s="83">
        <v>74</v>
      </c>
      <c r="E490" s="83" t="s">
        <v>721</v>
      </c>
    </row>
    <row r="491" spans="1:5" ht="12.75">
      <c r="A491" s="82" t="s">
        <v>737</v>
      </c>
      <c r="B491" s="83">
        <v>8</v>
      </c>
      <c r="C491" s="83" t="s">
        <v>242</v>
      </c>
      <c r="D491" s="83">
        <v>74</v>
      </c>
      <c r="E491" s="83" t="s">
        <v>721</v>
      </c>
    </row>
    <row r="492" spans="1:5" ht="12.75">
      <c r="A492" s="82" t="s">
        <v>738</v>
      </c>
      <c r="B492" s="83">
        <v>10</v>
      </c>
      <c r="C492" s="83" t="s">
        <v>242</v>
      </c>
      <c r="D492" s="83">
        <v>74</v>
      </c>
      <c r="E492" s="83" t="s">
        <v>721</v>
      </c>
    </row>
    <row r="493" spans="1:5" ht="12.75">
      <c r="A493" s="82" t="s">
        <v>739</v>
      </c>
      <c r="B493" s="83">
        <v>10</v>
      </c>
      <c r="C493" s="83" t="s">
        <v>242</v>
      </c>
      <c r="D493" s="83">
        <v>74</v>
      </c>
      <c r="E493" s="83" t="s">
        <v>721</v>
      </c>
    </row>
    <row r="494" spans="1:5" ht="12.75">
      <c r="A494" s="82" t="s">
        <v>740</v>
      </c>
      <c r="B494" s="83" t="s">
        <v>320</v>
      </c>
      <c r="C494" s="83" t="s">
        <v>242</v>
      </c>
      <c r="D494" s="83">
        <v>75</v>
      </c>
      <c r="E494" s="83" t="s">
        <v>741</v>
      </c>
    </row>
    <row r="495" spans="1:5" ht="12.75">
      <c r="A495" s="82" t="s">
        <v>742</v>
      </c>
      <c r="B495" s="83">
        <v>5</v>
      </c>
      <c r="C495" s="83" t="s">
        <v>242</v>
      </c>
      <c r="D495" s="83">
        <v>77</v>
      </c>
      <c r="E495" s="83" t="s">
        <v>743</v>
      </c>
    </row>
    <row r="496" spans="1:5" ht="12.75">
      <c r="A496" s="82" t="s">
        <v>744</v>
      </c>
      <c r="B496" s="83">
        <v>9</v>
      </c>
      <c r="C496" s="83" t="s">
        <v>242</v>
      </c>
      <c r="D496" s="83">
        <v>77</v>
      </c>
      <c r="E496" s="83" t="s">
        <v>743</v>
      </c>
    </row>
    <row r="497" spans="1:5" ht="12.75">
      <c r="A497" s="82" t="s">
        <v>745</v>
      </c>
      <c r="B497" s="83">
        <v>1</v>
      </c>
      <c r="C497" s="83" t="s">
        <v>242</v>
      </c>
      <c r="D497" s="83">
        <v>77</v>
      </c>
      <c r="E497" s="83" t="s">
        <v>743</v>
      </c>
    </row>
    <row r="498" spans="1:5" ht="12.75">
      <c r="A498" s="82" t="s">
        <v>746</v>
      </c>
      <c r="B498" s="83">
        <v>3</v>
      </c>
      <c r="C498" s="83" t="s">
        <v>242</v>
      </c>
      <c r="D498" s="83">
        <v>77</v>
      </c>
      <c r="E498" s="83" t="s">
        <v>743</v>
      </c>
    </row>
    <row r="499" spans="1:5" ht="12.75">
      <c r="A499" s="82" t="s">
        <v>747</v>
      </c>
      <c r="B499" s="83">
        <v>5</v>
      </c>
      <c r="C499" s="83" t="s">
        <v>242</v>
      </c>
      <c r="D499" s="83">
        <v>77</v>
      </c>
      <c r="E499" s="83" t="s">
        <v>743</v>
      </c>
    </row>
    <row r="500" spans="1:5" ht="12.75">
      <c r="A500" s="82" t="s">
        <v>748</v>
      </c>
      <c r="B500" s="83">
        <v>8</v>
      </c>
      <c r="C500" s="83" t="s">
        <v>242</v>
      </c>
      <c r="D500" s="83">
        <v>77</v>
      </c>
      <c r="E500" s="83" t="s">
        <v>743</v>
      </c>
    </row>
    <row r="501" spans="1:5" ht="12.75">
      <c r="A501" s="82" t="s">
        <v>749</v>
      </c>
      <c r="B501" s="83">
        <v>0.2</v>
      </c>
      <c r="C501" s="83" t="s">
        <v>242</v>
      </c>
      <c r="D501" s="83">
        <v>77</v>
      </c>
      <c r="E501" s="83" t="s">
        <v>743</v>
      </c>
    </row>
    <row r="502" spans="1:5" ht="12.75">
      <c r="A502" s="82" t="s">
        <v>750</v>
      </c>
      <c r="B502" s="83">
        <v>0.4</v>
      </c>
      <c r="C502" s="83" t="s">
        <v>242</v>
      </c>
      <c r="D502" s="83">
        <v>77</v>
      </c>
      <c r="E502" s="83" t="s">
        <v>743</v>
      </c>
    </row>
    <row r="503" spans="1:5" ht="12.75">
      <c r="A503" s="82" t="s">
        <v>751</v>
      </c>
      <c r="B503" s="83">
        <v>5</v>
      </c>
      <c r="C503" s="83" t="s">
        <v>242</v>
      </c>
      <c r="D503" s="83">
        <v>77</v>
      </c>
      <c r="E503" s="83" t="s">
        <v>743</v>
      </c>
    </row>
    <row r="504" spans="1:5" ht="12.75">
      <c r="A504" s="82" t="s">
        <v>752</v>
      </c>
      <c r="B504" s="83">
        <v>6</v>
      </c>
      <c r="C504" s="83" t="s">
        <v>242</v>
      </c>
      <c r="D504" s="83">
        <v>77</v>
      </c>
      <c r="E504" s="83" t="s">
        <v>743</v>
      </c>
    </row>
    <row r="505" spans="1:5" ht="12.75">
      <c r="A505" s="82" t="s">
        <v>753</v>
      </c>
      <c r="B505" s="83">
        <v>2</v>
      </c>
      <c r="C505" s="83" t="s">
        <v>242</v>
      </c>
      <c r="D505" s="83">
        <v>78</v>
      </c>
      <c r="E505" s="83" t="s">
        <v>743</v>
      </c>
    </row>
    <row r="506" spans="1:5" ht="12.75">
      <c r="A506" s="82" t="s">
        <v>754</v>
      </c>
      <c r="B506" s="83">
        <v>0.3</v>
      </c>
      <c r="C506" s="83" t="s">
        <v>242</v>
      </c>
      <c r="D506" s="83">
        <v>78</v>
      </c>
      <c r="E506" s="83" t="s">
        <v>743</v>
      </c>
    </row>
    <row r="507" spans="1:5" ht="12.75">
      <c r="A507" s="82" t="s">
        <v>755</v>
      </c>
      <c r="B507" s="83">
        <v>0.4</v>
      </c>
      <c r="C507" s="83" t="s">
        <v>242</v>
      </c>
      <c r="D507" s="83">
        <v>78</v>
      </c>
      <c r="E507" s="83" t="s">
        <v>743</v>
      </c>
    </row>
    <row r="508" spans="1:5" ht="12.75">
      <c r="A508" s="82" t="s">
        <v>756</v>
      </c>
      <c r="B508" s="83">
        <v>0.5</v>
      </c>
      <c r="C508" s="83" t="s">
        <v>242</v>
      </c>
      <c r="D508" s="83">
        <v>78</v>
      </c>
      <c r="E508" s="83" t="s">
        <v>743</v>
      </c>
    </row>
    <row r="509" spans="1:5" ht="12.75">
      <c r="A509" s="82" t="s">
        <v>757</v>
      </c>
      <c r="B509" s="83">
        <v>0.6</v>
      </c>
      <c r="C509" s="83" t="s">
        <v>242</v>
      </c>
      <c r="D509" s="83">
        <v>78</v>
      </c>
      <c r="E509" s="83" t="s">
        <v>743</v>
      </c>
    </row>
    <row r="510" spans="1:5" ht="12.75">
      <c r="A510" s="82" t="s">
        <v>758</v>
      </c>
      <c r="B510" s="83">
        <v>5</v>
      </c>
      <c r="C510" s="83" t="s">
        <v>242</v>
      </c>
      <c r="D510" s="83">
        <v>78</v>
      </c>
      <c r="E510" s="83" t="s">
        <v>743</v>
      </c>
    </row>
    <row r="511" spans="1:5" ht="12.75">
      <c r="A511" s="82" t="s">
        <v>759</v>
      </c>
      <c r="B511" s="83">
        <v>8</v>
      </c>
      <c r="C511" s="83" t="s">
        <v>242</v>
      </c>
      <c r="D511" s="83">
        <v>78</v>
      </c>
      <c r="E511" s="83" t="s">
        <v>743</v>
      </c>
    </row>
    <row r="512" spans="1:5" ht="12.75">
      <c r="A512" s="82" t="s">
        <v>760</v>
      </c>
      <c r="B512" s="83">
        <v>4</v>
      </c>
      <c r="C512" s="83" t="s">
        <v>242</v>
      </c>
      <c r="D512" s="83">
        <v>78</v>
      </c>
      <c r="E512" s="83" t="s">
        <v>743</v>
      </c>
    </row>
    <row r="513" spans="1:5" ht="12.75">
      <c r="A513" s="82" t="s">
        <v>761</v>
      </c>
      <c r="B513" s="83">
        <v>6</v>
      </c>
      <c r="C513" s="83" t="s">
        <v>242</v>
      </c>
      <c r="D513" s="83">
        <v>78</v>
      </c>
      <c r="E513" s="83" t="s">
        <v>743</v>
      </c>
    </row>
    <row r="514" spans="1:5" ht="12.75">
      <c r="A514" s="82" t="s">
        <v>762</v>
      </c>
      <c r="B514" s="83">
        <v>4</v>
      </c>
      <c r="C514" s="83" t="s">
        <v>242</v>
      </c>
      <c r="D514" s="83">
        <v>79</v>
      </c>
      <c r="E514" s="83" t="s">
        <v>743</v>
      </c>
    </row>
    <row r="515" spans="1:5" ht="12.75">
      <c r="A515" s="82" t="s">
        <v>763</v>
      </c>
      <c r="B515" s="83">
        <v>1</v>
      </c>
      <c r="C515" s="83" t="s">
        <v>242</v>
      </c>
      <c r="D515" s="83">
        <v>79</v>
      </c>
      <c r="E515" s="83" t="s">
        <v>743</v>
      </c>
    </row>
    <row r="516" spans="1:5" ht="12.75">
      <c r="A516" s="82" t="s">
        <v>764</v>
      </c>
      <c r="B516" s="83">
        <v>2</v>
      </c>
      <c r="C516" s="83" t="s">
        <v>242</v>
      </c>
      <c r="D516" s="83">
        <v>79</v>
      </c>
      <c r="E516" s="83" t="s">
        <v>743</v>
      </c>
    </row>
    <row r="517" spans="1:5" ht="12.75">
      <c r="A517" s="82" t="s">
        <v>765</v>
      </c>
      <c r="B517" s="83">
        <v>0.5</v>
      </c>
      <c r="C517" s="83" t="s">
        <v>242</v>
      </c>
      <c r="D517" s="83">
        <v>79</v>
      </c>
      <c r="E517" s="83" t="s">
        <v>743</v>
      </c>
    </row>
    <row r="518" spans="1:5" ht="12.75">
      <c r="A518" s="82" t="s">
        <v>766</v>
      </c>
      <c r="B518" s="83">
        <v>1</v>
      </c>
      <c r="C518" s="83" t="s">
        <v>242</v>
      </c>
      <c r="D518" s="83">
        <v>79</v>
      </c>
      <c r="E518" s="83" t="s">
        <v>743</v>
      </c>
    </row>
    <row r="519" spans="1:5" ht="12.75">
      <c r="A519" s="82" t="s">
        <v>767</v>
      </c>
      <c r="B519" s="83">
        <v>2</v>
      </c>
      <c r="C519" s="83" t="s">
        <v>242</v>
      </c>
      <c r="D519" s="83">
        <v>79</v>
      </c>
      <c r="E519" s="83" t="s">
        <v>743</v>
      </c>
    </row>
    <row r="520" spans="1:5" ht="12.75">
      <c r="A520" s="82" t="s">
        <v>768</v>
      </c>
      <c r="B520" s="83">
        <v>4</v>
      </c>
      <c r="C520" s="83" t="s">
        <v>242</v>
      </c>
      <c r="D520" s="83">
        <v>79</v>
      </c>
      <c r="E520" s="83" t="s">
        <v>743</v>
      </c>
    </row>
    <row r="521" spans="1:5" ht="12.75">
      <c r="A521" s="82" t="s">
        <v>769</v>
      </c>
      <c r="B521" s="83">
        <v>8</v>
      </c>
      <c r="C521" s="83" t="s">
        <v>242</v>
      </c>
      <c r="D521" s="83">
        <v>79</v>
      </c>
      <c r="E521" s="83" t="s">
        <v>743</v>
      </c>
    </row>
    <row r="522" spans="1:5" ht="12.75">
      <c r="A522" s="82" t="s">
        <v>770</v>
      </c>
      <c r="B522" s="83" t="s">
        <v>771</v>
      </c>
      <c r="C522" s="83" t="s">
        <v>242</v>
      </c>
      <c r="D522" s="83">
        <v>79</v>
      </c>
      <c r="E522" s="83" t="s">
        <v>743</v>
      </c>
    </row>
    <row r="523" spans="1:5" ht="12.75">
      <c r="A523" s="82" t="s">
        <v>772</v>
      </c>
      <c r="B523" s="83" t="s">
        <v>773</v>
      </c>
      <c r="C523" s="83" t="s">
        <v>242</v>
      </c>
      <c r="D523" s="83">
        <v>79</v>
      </c>
      <c r="E523" s="83" t="s">
        <v>743</v>
      </c>
    </row>
    <row r="524" spans="1:5" ht="12.75">
      <c r="A524" s="82" t="s">
        <v>774</v>
      </c>
      <c r="B524" s="83">
        <v>5</v>
      </c>
      <c r="C524" s="83" t="s">
        <v>242</v>
      </c>
      <c r="D524" s="83">
        <v>79</v>
      </c>
      <c r="E524" s="83" t="s">
        <v>743</v>
      </c>
    </row>
    <row r="525" spans="1:5" ht="12.75">
      <c r="A525" s="82" t="s">
        <v>775</v>
      </c>
      <c r="B525" s="83">
        <v>6</v>
      </c>
      <c r="C525" s="83" t="s">
        <v>242</v>
      </c>
      <c r="D525" s="83">
        <v>79</v>
      </c>
      <c r="E525" s="83" t="s">
        <v>743</v>
      </c>
    </row>
    <row r="526" spans="1:5" ht="12.75">
      <c r="A526" s="82" t="s">
        <v>776</v>
      </c>
      <c r="B526" s="83">
        <v>8</v>
      </c>
      <c r="C526" s="83" t="s">
        <v>242</v>
      </c>
      <c r="D526" s="83">
        <v>79</v>
      </c>
      <c r="E526" s="83" t="s">
        <v>743</v>
      </c>
    </row>
    <row r="527" spans="1:5" ht="12.75">
      <c r="A527" s="82" t="s">
        <v>777</v>
      </c>
      <c r="B527" s="83">
        <v>10</v>
      </c>
      <c r="C527" s="83" t="s">
        <v>242</v>
      </c>
      <c r="D527" s="83">
        <v>79</v>
      </c>
      <c r="E527" s="83" t="s">
        <v>743</v>
      </c>
    </row>
    <row r="528" spans="1:5" ht="12.75">
      <c r="A528" s="82" t="s">
        <v>778</v>
      </c>
      <c r="B528" s="83">
        <v>0.8</v>
      </c>
      <c r="C528" s="83" t="s">
        <v>242</v>
      </c>
      <c r="D528" s="83">
        <v>80</v>
      </c>
      <c r="E528" s="83" t="s">
        <v>743</v>
      </c>
    </row>
    <row r="529" spans="1:5" ht="12.75">
      <c r="A529" s="82" t="s">
        <v>779</v>
      </c>
      <c r="B529" s="83">
        <v>2</v>
      </c>
      <c r="C529" s="83" t="s">
        <v>242</v>
      </c>
      <c r="D529" s="83">
        <v>80</v>
      </c>
      <c r="E529" s="83" t="s">
        <v>743</v>
      </c>
    </row>
    <row r="530" spans="1:5" ht="12.75">
      <c r="A530" s="82" t="s">
        <v>780</v>
      </c>
      <c r="B530" s="83">
        <v>3</v>
      </c>
      <c r="C530" s="83" t="s">
        <v>242</v>
      </c>
      <c r="D530" s="83">
        <v>80</v>
      </c>
      <c r="E530" s="83" t="s">
        <v>743</v>
      </c>
    </row>
    <row r="531" spans="1:5" ht="12.75">
      <c r="A531" s="82" t="s">
        <v>781</v>
      </c>
      <c r="B531" s="83">
        <v>6</v>
      </c>
      <c r="C531" s="83" t="s">
        <v>242</v>
      </c>
      <c r="D531" s="83">
        <v>80</v>
      </c>
      <c r="E531" s="83" t="s">
        <v>743</v>
      </c>
    </row>
    <row r="532" spans="1:5" ht="12.75">
      <c r="A532" s="82" t="s">
        <v>782</v>
      </c>
      <c r="B532" s="83">
        <v>0.1</v>
      </c>
      <c r="C532" s="83" t="s">
        <v>242</v>
      </c>
      <c r="D532" s="83">
        <v>80</v>
      </c>
      <c r="E532" s="83" t="s">
        <v>743</v>
      </c>
    </row>
    <row r="533" spans="1:5" ht="12.75">
      <c r="A533" s="82" t="s">
        <v>783</v>
      </c>
      <c r="B533" s="83">
        <v>1</v>
      </c>
      <c r="C533" s="83" t="s">
        <v>242</v>
      </c>
      <c r="D533" s="83">
        <v>80</v>
      </c>
      <c r="E533" s="83" t="s">
        <v>743</v>
      </c>
    </row>
    <row r="534" spans="1:5" ht="12.75">
      <c r="A534" s="82" t="s">
        <v>784</v>
      </c>
      <c r="B534" s="83">
        <v>3</v>
      </c>
      <c r="C534" s="83" t="s">
        <v>242</v>
      </c>
      <c r="D534" s="83">
        <v>80</v>
      </c>
      <c r="E534" s="83" t="s">
        <v>743</v>
      </c>
    </row>
    <row r="535" spans="1:5" ht="12.75">
      <c r="A535" s="82" t="s">
        <v>785</v>
      </c>
      <c r="B535" s="83">
        <v>4</v>
      </c>
      <c r="C535" s="83" t="s">
        <v>242</v>
      </c>
      <c r="D535" s="83">
        <v>80</v>
      </c>
      <c r="E535" s="83" t="s">
        <v>743</v>
      </c>
    </row>
    <row r="536" spans="1:5" ht="12.75">
      <c r="A536" s="82" t="s">
        <v>786</v>
      </c>
      <c r="B536" s="83">
        <v>6</v>
      </c>
      <c r="C536" s="83" t="s">
        <v>242</v>
      </c>
      <c r="D536" s="83">
        <v>80</v>
      </c>
      <c r="E536" s="83" t="s">
        <v>743</v>
      </c>
    </row>
    <row r="537" spans="1:5" ht="12.75">
      <c r="A537" s="82" t="s">
        <v>787</v>
      </c>
      <c r="B537" s="83">
        <v>7</v>
      </c>
      <c r="C537" s="83" t="s">
        <v>242</v>
      </c>
      <c r="D537" s="83">
        <v>80</v>
      </c>
      <c r="E537" s="83" t="s">
        <v>743</v>
      </c>
    </row>
    <row r="538" spans="1:5" ht="12.75">
      <c r="A538" s="82" t="s">
        <v>788</v>
      </c>
      <c r="B538" s="83">
        <v>0.3</v>
      </c>
      <c r="C538" s="83" t="s">
        <v>242</v>
      </c>
      <c r="D538" s="83">
        <v>80</v>
      </c>
      <c r="E538" s="83" t="s">
        <v>743</v>
      </c>
    </row>
    <row r="539" spans="1:5" ht="12.75">
      <c r="A539" s="82" t="s">
        <v>789</v>
      </c>
      <c r="B539" s="83">
        <v>0.4</v>
      </c>
      <c r="C539" s="83" t="s">
        <v>242</v>
      </c>
      <c r="D539" s="83">
        <v>80</v>
      </c>
      <c r="E539" s="83" t="s">
        <v>743</v>
      </c>
    </row>
    <row r="540" spans="1:5" ht="12.75">
      <c r="A540" s="82" t="s">
        <v>790</v>
      </c>
      <c r="B540" s="83">
        <v>0.6</v>
      </c>
      <c r="C540" s="83" t="s">
        <v>242</v>
      </c>
      <c r="D540" s="83">
        <v>80</v>
      </c>
      <c r="E540" s="83" t="s">
        <v>743</v>
      </c>
    </row>
    <row r="541" spans="1:5" ht="12.75">
      <c r="A541" s="82" t="s">
        <v>791</v>
      </c>
      <c r="B541" s="83">
        <v>1</v>
      </c>
      <c r="C541" s="83" t="s">
        <v>242</v>
      </c>
      <c r="D541" s="83">
        <v>80</v>
      </c>
      <c r="E541" s="83" t="s">
        <v>743</v>
      </c>
    </row>
    <row r="542" spans="1:5" ht="12.75">
      <c r="A542" s="82" t="s">
        <v>792</v>
      </c>
      <c r="B542" s="83">
        <v>7.0000000000000007E-2</v>
      </c>
      <c r="C542" s="83" t="s">
        <v>242</v>
      </c>
      <c r="D542" s="83">
        <v>81</v>
      </c>
      <c r="E542" s="83" t="s">
        <v>743</v>
      </c>
    </row>
    <row r="543" spans="1:5" ht="12.75">
      <c r="A543" s="82" t="s">
        <v>793</v>
      </c>
      <c r="B543" s="83">
        <v>0.08</v>
      </c>
      <c r="C543" s="83" t="s">
        <v>242</v>
      </c>
      <c r="D543" s="83">
        <v>81</v>
      </c>
      <c r="E543" s="83" t="s">
        <v>743</v>
      </c>
    </row>
    <row r="544" spans="1:5" ht="12.75">
      <c r="A544" s="82" t="s">
        <v>794</v>
      </c>
      <c r="B544" s="83">
        <v>0.1</v>
      </c>
      <c r="C544" s="83" t="s">
        <v>242</v>
      </c>
      <c r="D544" s="83">
        <v>81</v>
      </c>
      <c r="E544" s="83" t="s">
        <v>743</v>
      </c>
    </row>
    <row r="545" spans="1:5" ht="12.75">
      <c r="A545" s="82" t="s">
        <v>795</v>
      </c>
      <c r="B545" s="83">
        <v>0.2</v>
      </c>
      <c r="C545" s="83" t="s">
        <v>242</v>
      </c>
      <c r="D545" s="83">
        <v>81</v>
      </c>
      <c r="E545" s="83" t="s">
        <v>743</v>
      </c>
    </row>
    <row r="546" spans="1:5" ht="12.75">
      <c r="A546" s="82" t="s">
        <v>796</v>
      </c>
      <c r="B546" s="83">
        <v>5</v>
      </c>
      <c r="C546" s="83" t="s">
        <v>242</v>
      </c>
      <c r="D546" s="83">
        <v>81</v>
      </c>
      <c r="E546" s="83" t="s">
        <v>743</v>
      </c>
    </row>
    <row r="547" spans="1:5" ht="12.75">
      <c r="A547" s="82" t="s">
        <v>797</v>
      </c>
      <c r="B547" s="83">
        <v>7</v>
      </c>
      <c r="C547" s="83" t="s">
        <v>242</v>
      </c>
      <c r="D547" s="83">
        <v>81</v>
      </c>
      <c r="E547" s="83" t="s">
        <v>743</v>
      </c>
    </row>
    <row r="548" spans="1:5" ht="12.75">
      <c r="A548" s="82" t="s">
        <v>798</v>
      </c>
      <c r="B548" s="83">
        <v>10</v>
      </c>
      <c r="C548" s="83" t="s">
        <v>242</v>
      </c>
      <c r="D548" s="83">
        <v>81</v>
      </c>
      <c r="E548" s="83" t="s">
        <v>743</v>
      </c>
    </row>
    <row r="549" spans="1:5" ht="12.75">
      <c r="A549" s="82" t="s">
        <v>799</v>
      </c>
      <c r="B549" s="83">
        <v>15</v>
      </c>
      <c r="C549" s="83" t="s">
        <v>242</v>
      </c>
      <c r="D549" s="83">
        <v>81</v>
      </c>
      <c r="E549" s="83" t="s">
        <v>743</v>
      </c>
    </row>
    <row r="550" spans="1:5" ht="12.75">
      <c r="A550" s="82" t="s">
        <v>800</v>
      </c>
      <c r="B550" s="83">
        <v>6</v>
      </c>
      <c r="C550" s="83" t="s">
        <v>242</v>
      </c>
      <c r="D550" s="83">
        <v>81</v>
      </c>
      <c r="E550" s="83" t="s">
        <v>743</v>
      </c>
    </row>
    <row r="551" spans="1:5" ht="12.75">
      <c r="A551" s="82" t="s">
        <v>801</v>
      </c>
      <c r="B551" s="83">
        <v>0.7</v>
      </c>
      <c r="C551" s="83" t="s">
        <v>242</v>
      </c>
      <c r="D551" s="83">
        <v>81</v>
      </c>
      <c r="E551" s="83" t="s">
        <v>743</v>
      </c>
    </row>
    <row r="552" spans="1:5" ht="12.75">
      <c r="A552" s="82" t="s">
        <v>802</v>
      </c>
      <c r="B552" s="83">
        <v>25</v>
      </c>
      <c r="C552" s="83" t="s">
        <v>242</v>
      </c>
      <c r="D552" s="83">
        <v>81</v>
      </c>
      <c r="E552" s="83" t="s">
        <v>743</v>
      </c>
    </row>
    <row r="553" spans="1:5" ht="12.75">
      <c r="A553" s="82" t="s">
        <v>803</v>
      </c>
      <c r="B553" s="83">
        <v>0.2</v>
      </c>
      <c r="C553" s="83" t="s">
        <v>242</v>
      </c>
      <c r="D553" s="83">
        <v>81</v>
      </c>
      <c r="E553" s="83" t="s">
        <v>743</v>
      </c>
    </row>
    <row r="554" spans="1:5" ht="12.75">
      <c r="A554" s="82" t="s">
        <v>804</v>
      </c>
      <c r="B554" s="83">
        <v>0.3</v>
      </c>
      <c r="C554" s="83" t="s">
        <v>242</v>
      </c>
      <c r="D554" s="83">
        <v>81</v>
      </c>
      <c r="E554" s="83" t="s">
        <v>743</v>
      </c>
    </row>
    <row r="555" spans="1:5" ht="12.75">
      <c r="A555" s="82" t="s">
        <v>805</v>
      </c>
      <c r="B555" s="83">
        <v>0.4</v>
      </c>
      <c r="C555" s="83" t="s">
        <v>242</v>
      </c>
      <c r="D555" s="83">
        <v>82</v>
      </c>
      <c r="E555" s="83" t="s">
        <v>743</v>
      </c>
    </row>
    <row r="556" spans="1:5" ht="12.75">
      <c r="A556" s="82" t="s">
        <v>806</v>
      </c>
      <c r="B556" s="83">
        <v>0.7</v>
      </c>
      <c r="C556" s="83" t="s">
        <v>242</v>
      </c>
      <c r="D556" s="83">
        <v>82</v>
      </c>
      <c r="E556" s="83" t="s">
        <v>743</v>
      </c>
    </row>
    <row r="557" spans="1:5" ht="12.75">
      <c r="A557" s="82" t="s">
        <v>807</v>
      </c>
      <c r="B557" s="83">
        <v>0.1</v>
      </c>
      <c r="C557" s="83" t="s">
        <v>242</v>
      </c>
      <c r="D557" s="83">
        <v>82</v>
      </c>
      <c r="E557" s="83" t="s">
        <v>743</v>
      </c>
    </row>
    <row r="558" spans="1:5" ht="12.75">
      <c r="A558" s="82" t="s">
        <v>808</v>
      </c>
      <c r="B558" s="83">
        <v>0.3</v>
      </c>
      <c r="C558" s="83" t="s">
        <v>242</v>
      </c>
      <c r="D558" s="83">
        <v>82</v>
      </c>
      <c r="E558" s="83" t="s">
        <v>743</v>
      </c>
    </row>
    <row r="559" spans="1:5" ht="12.75">
      <c r="A559" s="82" t="s">
        <v>809</v>
      </c>
      <c r="B559" s="83" t="s">
        <v>810</v>
      </c>
      <c r="C559" s="83" t="s">
        <v>242</v>
      </c>
      <c r="D559" s="83">
        <v>82</v>
      </c>
      <c r="E559" s="83" t="s">
        <v>743</v>
      </c>
    </row>
    <row r="560" spans="1:5" ht="12.75">
      <c r="A560" s="82" t="s">
        <v>811</v>
      </c>
      <c r="B560" s="83">
        <v>2</v>
      </c>
      <c r="C560" s="83" t="s">
        <v>242</v>
      </c>
      <c r="D560" s="83">
        <v>82</v>
      </c>
      <c r="E560" s="83" t="s">
        <v>743</v>
      </c>
    </row>
    <row r="561" spans="1:5" ht="12.75">
      <c r="A561" s="82" t="s">
        <v>812</v>
      </c>
      <c r="B561" s="83">
        <v>50</v>
      </c>
      <c r="C561" s="83" t="s">
        <v>242</v>
      </c>
      <c r="D561" s="83">
        <v>82</v>
      </c>
      <c r="E561" s="83" t="s">
        <v>743</v>
      </c>
    </row>
    <row r="562" spans="1:5" ht="12.75">
      <c r="A562" s="82" t="s">
        <v>813</v>
      </c>
      <c r="B562" s="83">
        <v>150</v>
      </c>
      <c r="C562" s="83" t="s">
        <v>242</v>
      </c>
      <c r="D562" s="83">
        <v>82</v>
      </c>
      <c r="E562" s="83" t="s">
        <v>743</v>
      </c>
    </row>
    <row r="563" spans="1:5" ht="12.75">
      <c r="A563" s="82" t="s">
        <v>814</v>
      </c>
      <c r="B563" s="83">
        <v>5</v>
      </c>
      <c r="C563" s="83" t="s">
        <v>242</v>
      </c>
      <c r="D563" s="83">
        <v>83</v>
      </c>
      <c r="E563" s="83" t="s">
        <v>743</v>
      </c>
    </row>
    <row r="564" spans="1:5" ht="12.75">
      <c r="A564" s="82" t="s">
        <v>815</v>
      </c>
      <c r="B564" s="83">
        <v>15</v>
      </c>
      <c r="C564" s="83" t="s">
        <v>242</v>
      </c>
      <c r="D564" s="83">
        <v>83</v>
      </c>
      <c r="E564" s="83" t="s">
        <v>743</v>
      </c>
    </row>
    <row r="565" spans="1:5" ht="12.75">
      <c r="A565" s="82" t="s">
        <v>816</v>
      </c>
      <c r="B565" s="83">
        <v>1</v>
      </c>
      <c r="C565" s="83" t="s">
        <v>242</v>
      </c>
      <c r="D565" s="83">
        <v>83</v>
      </c>
      <c r="E565" s="83" t="s">
        <v>743</v>
      </c>
    </row>
    <row r="566" spans="1:5" ht="12.75">
      <c r="A566" s="82" t="s">
        <v>817</v>
      </c>
      <c r="B566" s="83">
        <v>2</v>
      </c>
      <c r="C566" s="83" t="s">
        <v>242</v>
      </c>
      <c r="D566" s="83">
        <v>83</v>
      </c>
      <c r="E566" s="83" t="s">
        <v>743</v>
      </c>
    </row>
    <row r="567" spans="1:5" ht="12.75">
      <c r="A567" s="82" t="s">
        <v>818</v>
      </c>
      <c r="B567" s="83">
        <v>4</v>
      </c>
      <c r="C567" s="83" t="s">
        <v>242</v>
      </c>
      <c r="D567" s="83">
        <v>83</v>
      </c>
      <c r="E567" s="83" t="s">
        <v>743</v>
      </c>
    </row>
    <row r="568" spans="1:5" ht="12.75">
      <c r="A568" s="82" t="s">
        <v>819</v>
      </c>
      <c r="B568" s="83">
        <v>3</v>
      </c>
      <c r="C568" s="83" t="s">
        <v>242</v>
      </c>
      <c r="D568" s="83">
        <v>83</v>
      </c>
      <c r="E568" s="83" t="s">
        <v>743</v>
      </c>
    </row>
    <row r="569" spans="1:5" ht="12.75">
      <c r="A569" s="82" t="s">
        <v>820</v>
      </c>
      <c r="B569" s="85">
        <v>43196</v>
      </c>
      <c r="C569" s="83" t="s">
        <v>242</v>
      </c>
      <c r="D569" s="83">
        <v>83</v>
      </c>
      <c r="E569" s="83" t="s">
        <v>743</v>
      </c>
    </row>
    <row r="570" spans="1:5" ht="12.75">
      <c r="A570" s="82" t="s">
        <v>821</v>
      </c>
      <c r="B570" s="83">
        <v>75</v>
      </c>
      <c r="C570" s="83" t="s">
        <v>242</v>
      </c>
      <c r="D570" s="83">
        <v>83</v>
      </c>
      <c r="E570" s="83" t="s">
        <v>743</v>
      </c>
    </row>
    <row r="571" spans="1:5" ht="12.75">
      <c r="A571" s="82" t="s">
        <v>822</v>
      </c>
      <c r="B571" s="83">
        <v>0.2</v>
      </c>
      <c r="C571" s="83" t="s">
        <v>242</v>
      </c>
      <c r="D571" s="83">
        <v>83</v>
      </c>
      <c r="E571" s="83" t="s">
        <v>743</v>
      </c>
    </row>
    <row r="572" spans="1:5" ht="12.75">
      <c r="A572" s="82" t="s">
        <v>823</v>
      </c>
      <c r="B572" s="83">
        <v>1</v>
      </c>
      <c r="C572" s="83" t="s">
        <v>242</v>
      </c>
      <c r="D572" s="83">
        <v>83</v>
      </c>
      <c r="E572" s="83" t="s">
        <v>743</v>
      </c>
    </row>
    <row r="573" spans="1:5" ht="12.75">
      <c r="A573" s="82" t="s">
        <v>824</v>
      </c>
      <c r="B573" s="83">
        <v>0.8</v>
      </c>
      <c r="C573" s="83" t="s">
        <v>242</v>
      </c>
      <c r="D573" s="83">
        <v>83</v>
      </c>
      <c r="E573" s="83" t="s">
        <v>743</v>
      </c>
    </row>
    <row r="574" spans="1:5" ht="12.75">
      <c r="A574" s="82" t="s">
        <v>825</v>
      </c>
      <c r="B574" s="83">
        <v>1</v>
      </c>
      <c r="C574" s="83" t="s">
        <v>242</v>
      </c>
      <c r="D574" s="83">
        <v>83</v>
      </c>
      <c r="E574" s="83" t="s">
        <v>743</v>
      </c>
    </row>
    <row r="575" spans="1:5" ht="12.75">
      <c r="A575" s="82" t="s">
        <v>826</v>
      </c>
      <c r="B575" s="83">
        <v>80</v>
      </c>
      <c r="C575" s="83" t="s">
        <v>242</v>
      </c>
      <c r="D575" s="83">
        <v>83</v>
      </c>
      <c r="E575" s="83" t="s">
        <v>743</v>
      </c>
    </row>
    <row r="576" spans="1:5" ht="12.75">
      <c r="A576" s="82" t="s">
        <v>827</v>
      </c>
      <c r="B576" s="83">
        <v>10</v>
      </c>
      <c r="C576" s="83" t="s">
        <v>242</v>
      </c>
      <c r="D576" s="83">
        <v>83</v>
      </c>
      <c r="E576" s="83" t="s">
        <v>743</v>
      </c>
    </row>
    <row r="577" spans="1:5" ht="12.75">
      <c r="A577" s="82" t="s">
        <v>828</v>
      </c>
      <c r="B577" s="83">
        <v>30</v>
      </c>
      <c r="C577" s="83" t="s">
        <v>242</v>
      </c>
      <c r="D577" s="83">
        <v>83</v>
      </c>
      <c r="E577" s="83" t="s">
        <v>743</v>
      </c>
    </row>
    <row r="578" spans="1:5" ht="12.75">
      <c r="A578" s="82" t="s">
        <v>829</v>
      </c>
      <c r="B578" s="83">
        <v>0.3</v>
      </c>
      <c r="C578" s="83" t="s">
        <v>242</v>
      </c>
      <c r="D578" s="83">
        <v>83</v>
      </c>
      <c r="E578" s="83" t="s">
        <v>743</v>
      </c>
    </row>
    <row r="579" spans="1:5" ht="12.75">
      <c r="A579" s="82" t="s">
        <v>830</v>
      </c>
      <c r="B579" s="83">
        <v>2</v>
      </c>
      <c r="C579" s="83" t="s">
        <v>242</v>
      </c>
      <c r="D579" s="83">
        <v>83</v>
      </c>
      <c r="E579" s="83" t="s">
        <v>743</v>
      </c>
    </row>
    <row r="580" spans="1:5" ht="12.75">
      <c r="A580" s="82" t="s">
        <v>831</v>
      </c>
      <c r="B580" s="83">
        <v>5</v>
      </c>
      <c r="C580" s="83" t="s">
        <v>242</v>
      </c>
      <c r="D580" s="83">
        <v>83</v>
      </c>
      <c r="E580" s="83" t="s">
        <v>743</v>
      </c>
    </row>
    <row r="581" spans="1:5" ht="12.75">
      <c r="A581" s="82" t="s">
        <v>832</v>
      </c>
      <c r="B581" s="83">
        <v>7</v>
      </c>
      <c r="C581" s="83" t="s">
        <v>242</v>
      </c>
      <c r="D581" s="83">
        <v>83</v>
      </c>
      <c r="E581" s="83" t="s">
        <v>743</v>
      </c>
    </row>
    <row r="582" spans="1:5" ht="12.75">
      <c r="A582" s="82" t="s">
        <v>833</v>
      </c>
      <c r="B582" s="83">
        <v>0.9</v>
      </c>
      <c r="C582" s="83" t="s">
        <v>242</v>
      </c>
      <c r="D582" s="83">
        <v>83</v>
      </c>
      <c r="E582" s="83" t="s">
        <v>743</v>
      </c>
    </row>
    <row r="583" spans="1:5" ht="12.75">
      <c r="A583" s="82" t="s">
        <v>834</v>
      </c>
      <c r="B583" s="83">
        <v>95</v>
      </c>
      <c r="C583" s="83" t="s">
        <v>242</v>
      </c>
      <c r="D583" s="83">
        <v>83</v>
      </c>
      <c r="E583" s="83" t="s">
        <v>743</v>
      </c>
    </row>
    <row r="584" spans="1:5" ht="12.75">
      <c r="A584" s="82" t="s">
        <v>835</v>
      </c>
      <c r="B584" s="83">
        <v>75</v>
      </c>
      <c r="C584" s="83" t="s">
        <v>242</v>
      </c>
      <c r="D584" s="83">
        <v>83</v>
      </c>
      <c r="E584" s="83" t="s">
        <v>743</v>
      </c>
    </row>
    <row r="585" spans="1:5" ht="12.75">
      <c r="A585" s="82" t="s">
        <v>836</v>
      </c>
      <c r="B585" s="83">
        <v>0.1</v>
      </c>
      <c r="C585" s="83" t="s">
        <v>242</v>
      </c>
      <c r="D585" s="83">
        <v>85</v>
      </c>
      <c r="E585" s="83" t="s">
        <v>743</v>
      </c>
    </row>
    <row r="586" spans="1:5" ht="12.75">
      <c r="A586" s="82" t="s">
        <v>837</v>
      </c>
      <c r="B586" s="83">
        <v>0.2</v>
      </c>
      <c r="C586" s="83" t="s">
        <v>242</v>
      </c>
      <c r="D586" s="83">
        <v>85</v>
      </c>
      <c r="E586" s="83" t="s">
        <v>743</v>
      </c>
    </row>
    <row r="587" spans="1:5" ht="12.75">
      <c r="A587" s="82" t="s">
        <v>838</v>
      </c>
      <c r="B587" s="83">
        <v>10</v>
      </c>
      <c r="C587" s="83" t="s">
        <v>242</v>
      </c>
      <c r="D587" s="83">
        <v>85</v>
      </c>
      <c r="E587" s="83" t="s">
        <v>743</v>
      </c>
    </row>
    <row r="588" spans="1:5" ht="12.75">
      <c r="A588" s="82" t="s">
        <v>839</v>
      </c>
      <c r="B588" s="83">
        <v>0.1</v>
      </c>
      <c r="C588" s="83" t="s">
        <v>242</v>
      </c>
      <c r="D588" s="83">
        <v>85</v>
      </c>
      <c r="E588" s="83" t="s">
        <v>743</v>
      </c>
    </row>
    <row r="589" spans="1:5" ht="12.75">
      <c r="A589" s="82" t="s">
        <v>840</v>
      </c>
      <c r="B589" s="83">
        <v>10</v>
      </c>
      <c r="C589" s="83" t="s">
        <v>242</v>
      </c>
      <c r="D589" s="83">
        <v>85</v>
      </c>
      <c r="E589" s="83" t="s">
        <v>743</v>
      </c>
    </row>
    <row r="590" spans="1:5" ht="12.75">
      <c r="A590" s="82" t="s">
        <v>841</v>
      </c>
      <c r="B590" s="83">
        <v>0.1</v>
      </c>
      <c r="C590" s="83" t="s">
        <v>242</v>
      </c>
      <c r="D590" s="83">
        <v>85</v>
      </c>
      <c r="E590" s="83" t="s">
        <v>743</v>
      </c>
    </row>
    <row r="591" spans="1:5" ht="12.75">
      <c r="A591" s="82" t="s">
        <v>842</v>
      </c>
      <c r="B591" s="83">
        <v>0.2</v>
      </c>
      <c r="C591" s="83" t="s">
        <v>242</v>
      </c>
      <c r="D591" s="83">
        <v>85</v>
      </c>
      <c r="E591" s="83" t="s">
        <v>743</v>
      </c>
    </row>
    <row r="592" spans="1:5" ht="12.75">
      <c r="A592" s="82" t="s">
        <v>843</v>
      </c>
      <c r="B592" s="83">
        <v>0.6</v>
      </c>
      <c r="C592" s="83" t="s">
        <v>242</v>
      </c>
      <c r="D592" s="83">
        <v>85</v>
      </c>
      <c r="E592" s="83" t="s">
        <v>743</v>
      </c>
    </row>
    <row r="593" spans="1:5" ht="12.75">
      <c r="A593" s="82" t="s">
        <v>844</v>
      </c>
      <c r="B593" s="83">
        <v>2</v>
      </c>
      <c r="C593" s="83" t="s">
        <v>242</v>
      </c>
      <c r="D593" s="83">
        <v>85</v>
      </c>
      <c r="E593" s="83" t="s">
        <v>743</v>
      </c>
    </row>
    <row r="594" spans="1:5" ht="12.75">
      <c r="A594" s="82" t="s">
        <v>845</v>
      </c>
      <c r="B594" s="83">
        <v>20</v>
      </c>
      <c r="C594" s="83" t="s">
        <v>242</v>
      </c>
      <c r="D594" s="83">
        <v>85</v>
      </c>
      <c r="E594" s="83" t="s">
        <v>743</v>
      </c>
    </row>
    <row r="595" spans="1:5" ht="12.75">
      <c r="A595" s="82" t="s">
        <v>846</v>
      </c>
      <c r="B595" s="83">
        <v>0.3</v>
      </c>
      <c r="C595" s="83" t="s">
        <v>242</v>
      </c>
      <c r="D595" s="83">
        <v>85</v>
      </c>
      <c r="E595" s="83" t="s">
        <v>743</v>
      </c>
    </row>
    <row r="596" spans="1:5" ht="12.75">
      <c r="A596" s="82" t="s">
        <v>847</v>
      </c>
      <c r="B596" s="83">
        <v>0.5</v>
      </c>
      <c r="C596" s="83" t="s">
        <v>242</v>
      </c>
      <c r="D596" s="83">
        <v>85</v>
      </c>
      <c r="E596" s="83" t="s">
        <v>743</v>
      </c>
    </row>
    <row r="597" spans="1:5" ht="12.75">
      <c r="A597" s="82" t="s">
        <v>848</v>
      </c>
      <c r="B597" s="83" t="s">
        <v>320</v>
      </c>
      <c r="C597" s="83" t="s">
        <v>242</v>
      </c>
      <c r="D597" s="83">
        <v>85</v>
      </c>
      <c r="E597" s="83" t="s">
        <v>743</v>
      </c>
    </row>
    <row r="598" spans="1:5" ht="12.75">
      <c r="A598" s="82" t="s">
        <v>849</v>
      </c>
      <c r="B598" s="83">
        <v>0.8</v>
      </c>
      <c r="C598" s="83" t="s">
        <v>242</v>
      </c>
      <c r="D598" s="83">
        <v>86</v>
      </c>
      <c r="E598" s="83" t="s">
        <v>743</v>
      </c>
    </row>
    <row r="599" spans="1:5" ht="12.75">
      <c r="A599" s="82" t="s">
        <v>850</v>
      </c>
      <c r="B599" s="83">
        <v>0.3</v>
      </c>
      <c r="C599" s="83" t="s">
        <v>242</v>
      </c>
      <c r="D599" s="83">
        <v>86</v>
      </c>
      <c r="E599" s="83" t="s">
        <v>743</v>
      </c>
    </row>
    <row r="600" spans="1:5" ht="12.75">
      <c r="A600" s="82" t="s">
        <v>851</v>
      </c>
      <c r="B600" s="83">
        <v>0.15</v>
      </c>
      <c r="C600" s="83" t="s">
        <v>242</v>
      </c>
      <c r="D600" s="83">
        <v>86</v>
      </c>
      <c r="E600" s="83" t="s">
        <v>743</v>
      </c>
    </row>
    <row r="601" spans="1:5" ht="12.75">
      <c r="A601" s="82" t="s">
        <v>852</v>
      </c>
      <c r="B601" s="83">
        <v>35</v>
      </c>
      <c r="C601" s="83" t="s">
        <v>242</v>
      </c>
      <c r="D601" s="83">
        <v>86</v>
      </c>
      <c r="E601" s="83" t="s">
        <v>743</v>
      </c>
    </row>
    <row r="602" spans="1:5" ht="12.75">
      <c r="A602" s="82" t="s">
        <v>853</v>
      </c>
      <c r="B602" s="83">
        <v>45</v>
      </c>
      <c r="C602" s="83" t="s">
        <v>242</v>
      </c>
      <c r="D602" s="83">
        <v>87</v>
      </c>
      <c r="E602" s="83" t="s">
        <v>743</v>
      </c>
    </row>
    <row r="603" spans="1:5" ht="12.75">
      <c r="A603" s="82" t="s">
        <v>854</v>
      </c>
      <c r="B603" s="83">
        <v>45</v>
      </c>
      <c r="C603" s="83" t="s">
        <v>242</v>
      </c>
      <c r="D603" s="83">
        <v>87</v>
      </c>
      <c r="E603" s="83" t="s">
        <v>743</v>
      </c>
    </row>
    <row r="604" spans="1:5" ht="12.75">
      <c r="A604" s="82" t="s">
        <v>855</v>
      </c>
      <c r="B604" s="83">
        <v>3</v>
      </c>
      <c r="C604" s="83" t="s">
        <v>242</v>
      </c>
      <c r="D604" s="83">
        <v>87</v>
      </c>
      <c r="E604" s="83" t="s">
        <v>743</v>
      </c>
    </row>
    <row r="605" spans="1:5" ht="12.75">
      <c r="A605" s="82" t="s">
        <v>856</v>
      </c>
      <c r="B605" s="83">
        <v>1</v>
      </c>
      <c r="C605" s="83" t="s">
        <v>242</v>
      </c>
      <c r="D605" s="83">
        <v>87</v>
      </c>
      <c r="E605" s="83" t="s">
        <v>743</v>
      </c>
    </row>
    <row r="606" spans="1:5" ht="12.75">
      <c r="A606" s="82" t="s">
        <v>857</v>
      </c>
      <c r="B606" s="83">
        <v>4</v>
      </c>
      <c r="C606" s="83" t="s">
        <v>242</v>
      </c>
      <c r="D606" s="83">
        <v>87</v>
      </c>
      <c r="E606" s="83" t="s">
        <v>743</v>
      </c>
    </row>
    <row r="607" spans="1:5" ht="12.75">
      <c r="A607" s="82" t="s">
        <v>858</v>
      </c>
      <c r="B607" s="83">
        <v>15</v>
      </c>
      <c r="C607" s="83" t="s">
        <v>242</v>
      </c>
      <c r="D607" s="83">
        <v>87</v>
      </c>
      <c r="E607" s="83" t="s">
        <v>743</v>
      </c>
    </row>
    <row r="608" spans="1:5" ht="12.75">
      <c r="A608" s="82" t="s">
        <v>859</v>
      </c>
      <c r="B608" s="83">
        <v>2</v>
      </c>
      <c r="C608" s="83" t="s">
        <v>242</v>
      </c>
      <c r="D608" s="83">
        <v>88</v>
      </c>
      <c r="E608" s="83" t="s">
        <v>743</v>
      </c>
    </row>
    <row r="609" spans="1:5" ht="12.75">
      <c r="A609" s="82" t="s">
        <v>860</v>
      </c>
      <c r="B609" s="83">
        <v>0.15</v>
      </c>
      <c r="C609" s="83" t="s">
        <v>242</v>
      </c>
      <c r="D609" s="83">
        <v>88</v>
      </c>
      <c r="E609" s="83" t="s">
        <v>743</v>
      </c>
    </row>
    <row r="610" spans="1:5" ht="12.75">
      <c r="A610" s="82" t="s">
        <v>861</v>
      </c>
      <c r="B610" s="83">
        <v>3</v>
      </c>
      <c r="C610" s="83" t="s">
        <v>242</v>
      </c>
      <c r="D610" s="83">
        <v>88</v>
      </c>
      <c r="E610" s="83" t="s">
        <v>743</v>
      </c>
    </row>
    <row r="611" spans="1:5" ht="12.75">
      <c r="A611" s="82" t="s">
        <v>862</v>
      </c>
      <c r="B611" s="83">
        <v>2</v>
      </c>
      <c r="C611" s="83" t="s">
        <v>242</v>
      </c>
      <c r="D611" s="83">
        <v>88</v>
      </c>
      <c r="E611" s="83" t="s">
        <v>743</v>
      </c>
    </row>
    <row r="612" spans="1:5" ht="12.75">
      <c r="A612" s="82" t="s">
        <v>863</v>
      </c>
      <c r="B612" s="83">
        <v>5</v>
      </c>
      <c r="C612" s="83" t="s">
        <v>242</v>
      </c>
      <c r="D612" s="83">
        <v>88</v>
      </c>
      <c r="E612" s="83" t="s">
        <v>743</v>
      </c>
    </row>
    <row r="613" spans="1:5" ht="12.75">
      <c r="A613" s="82" t="s">
        <v>864</v>
      </c>
      <c r="B613" s="83">
        <v>7</v>
      </c>
      <c r="C613" s="83" t="s">
        <v>242</v>
      </c>
      <c r="D613" s="83">
        <v>88</v>
      </c>
      <c r="E613" s="83" t="s">
        <v>743</v>
      </c>
    </row>
    <row r="614" spans="1:5" ht="12.75">
      <c r="A614" s="82" t="s">
        <v>865</v>
      </c>
      <c r="B614" s="83">
        <v>2</v>
      </c>
      <c r="C614" s="83" t="s">
        <v>242</v>
      </c>
      <c r="D614" s="83">
        <v>88</v>
      </c>
      <c r="E614" s="83" t="s">
        <v>743</v>
      </c>
    </row>
    <row r="615" spans="1:5" ht="12.75">
      <c r="A615" s="82" t="s">
        <v>866</v>
      </c>
      <c r="B615" s="83">
        <v>0.15</v>
      </c>
      <c r="C615" s="83" t="s">
        <v>242</v>
      </c>
      <c r="D615" s="83">
        <v>89</v>
      </c>
      <c r="E615" s="83" t="s">
        <v>743</v>
      </c>
    </row>
    <row r="616" spans="1:5" ht="12.75">
      <c r="A616" s="82" t="s">
        <v>867</v>
      </c>
      <c r="B616" s="83">
        <v>35</v>
      </c>
      <c r="C616" s="83" t="s">
        <v>242</v>
      </c>
      <c r="D616" s="83">
        <v>89</v>
      </c>
      <c r="E616" s="83" t="s">
        <v>743</v>
      </c>
    </row>
    <row r="617" spans="1:5" ht="12.75">
      <c r="A617" s="82" t="s">
        <v>868</v>
      </c>
      <c r="B617" s="83">
        <v>0.1</v>
      </c>
      <c r="C617" s="83" t="s">
        <v>242</v>
      </c>
      <c r="D617" s="83">
        <v>89</v>
      </c>
      <c r="E617" s="83" t="s">
        <v>743</v>
      </c>
    </row>
    <row r="618" spans="1:5" ht="12.75">
      <c r="A618" s="82" t="s">
        <v>869</v>
      </c>
      <c r="B618" s="83">
        <v>20</v>
      </c>
      <c r="C618" s="83" t="s">
        <v>242</v>
      </c>
      <c r="D618" s="83">
        <v>89</v>
      </c>
      <c r="E618" s="83" t="s">
        <v>743</v>
      </c>
    </row>
    <row r="619" spans="1:5" ht="12.75">
      <c r="A619" s="82" t="s">
        <v>870</v>
      </c>
      <c r="B619" s="83">
        <v>45</v>
      </c>
      <c r="C619" s="83" t="s">
        <v>242</v>
      </c>
      <c r="D619" s="83">
        <v>89</v>
      </c>
      <c r="E619" s="83" t="s">
        <v>743</v>
      </c>
    </row>
    <row r="620" spans="1:5" ht="12.75">
      <c r="A620" s="82" t="s">
        <v>871</v>
      </c>
      <c r="B620" s="83">
        <v>100</v>
      </c>
      <c r="C620" s="83" t="s">
        <v>242</v>
      </c>
      <c r="D620" s="83">
        <v>89</v>
      </c>
      <c r="E620" s="83" t="s">
        <v>743</v>
      </c>
    </row>
    <row r="621" spans="1:5" ht="12.75">
      <c r="A621" s="82" t="s">
        <v>872</v>
      </c>
      <c r="B621" s="83">
        <v>6</v>
      </c>
      <c r="C621" s="83" t="s">
        <v>242</v>
      </c>
      <c r="D621" s="83">
        <v>90</v>
      </c>
      <c r="E621" s="83" t="s">
        <v>873</v>
      </c>
    </row>
    <row r="622" spans="1:5" ht="12.75">
      <c r="A622" s="82" t="s">
        <v>874</v>
      </c>
      <c r="B622" s="83">
        <v>2</v>
      </c>
      <c r="C622" s="83" t="s">
        <v>242</v>
      </c>
      <c r="D622" s="83">
        <v>90</v>
      </c>
      <c r="E622" s="83" t="s">
        <v>873</v>
      </c>
    </row>
    <row r="623" spans="1:5" ht="12.75">
      <c r="A623" s="82" t="s">
        <v>875</v>
      </c>
      <c r="B623" s="83">
        <v>5</v>
      </c>
      <c r="C623" s="83" t="s">
        <v>242</v>
      </c>
      <c r="D623" s="83">
        <v>90</v>
      </c>
      <c r="E623" s="83" t="s">
        <v>873</v>
      </c>
    </row>
    <row r="624" spans="1:5" ht="12.75">
      <c r="A624" s="82" t="s">
        <v>876</v>
      </c>
      <c r="B624" s="83">
        <v>10</v>
      </c>
      <c r="C624" s="83" t="s">
        <v>242</v>
      </c>
      <c r="D624" s="83">
        <v>90</v>
      </c>
      <c r="E624" s="83" t="s">
        <v>873</v>
      </c>
    </row>
    <row r="625" spans="1:5" ht="12.75">
      <c r="A625" s="82" t="s">
        <v>877</v>
      </c>
      <c r="B625" s="83">
        <v>15</v>
      </c>
      <c r="C625" s="83" t="s">
        <v>242</v>
      </c>
      <c r="D625" s="83">
        <v>90</v>
      </c>
      <c r="E625" s="83" t="s">
        <v>873</v>
      </c>
    </row>
    <row r="626" spans="1:5" ht="12.75">
      <c r="A626" s="82" t="s">
        <v>878</v>
      </c>
      <c r="B626" s="83">
        <v>17</v>
      </c>
      <c r="C626" s="83" t="s">
        <v>242</v>
      </c>
      <c r="D626" s="83">
        <v>90</v>
      </c>
      <c r="E626" s="83" t="s">
        <v>873</v>
      </c>
    </row>
    <row r="627" spans="1:5" ht="12.75">
      <c r="A627" s="82" t="s">
        <v>879</v>
      </c>
      <c r="B627" s="83">
        <v>25</v>
      </c>
      <c r="C627" s="83" t="s">
        <v>242</v>
      </c>
      <c r="D627" s="83">
        <v>90</v>
      </c>
      <c r="E627" s="83" t="s">
        <v>873</v>
      </c>
    </row>
    <row r="628" spans="1:5" ht="12.75">
      <c r="A628" s="82" t="s">
        <v>880</v>
      </c>
      <c r="B628" s="83">
        <v>33</v>
      </c>
      <c r="C628" s="83" t="s">
        <v>242</v>
      </c>
      <c r="D628" s="83">
        <v>90</v>
      </c>
      <c r="E628" s="83" t="s">
        <v>873</v>
      </c>
    </row>
    <row r="629" spans="1:5" ht="12.75">
      <c r="A629" s="82" t="s">
        <v>881</v>
      </c>
      <c r="B629" s="83">
        <v>40</v>
      </c>
      <c r="C629" s="83" t="s">
        <v>242</v>
      </c>
      <c r="D629" s="83">
        <v>90</v>
      </c>
      <c r="E629" s="83" t="s">
        <v>873</v>
      </c>
    </row>
    <row r="630" spans="1:5" ht="12.75">
      <c r="A630" s="82" t="s">
        <v>882</v>
      </c>
      <c r="B630" s="83">
        <v>65</v>
      </c>
      <c r="C630" s="83" t="s">
        <v>242</v>
      </c>
      <c r="D630" s="83">
        <v>90</v>
      </c>
      <c r="E630" s="83" t="s">
        <v>873</v>
      </c>
    </row>
    <row r="631" spans="1:5" ht="12.75">
      <c r="A631" s="82" t="s">
        <v>883</v>
      </c>
      <c r="B631" s="83">
        <v>85</v>
      </c>
      <c r="C631" s="83" t="s">
        <v>242</v>
      </c>
      <c r="D631" s="83">
        <v>90</v>
      </c>
      <c r="E631" s="83" t="s">
        <v>873</v>
      </c>
    </row>
    <row r="632" spans="1:5" ht="12.75">
      <c r="A632" s="82" t="s">
        <v>884</v>
      </c>
      <c r="B632" s="83">
        <v>30</v>
      </c>
      <c r="C632" s="83" t="s">
        <v>242</v>
      </c>
      <c r="D632" s="83">
        <v>90</v>
      </c>
      <c r="E632" s="83" t="s">
        <v>873</v>
      </c>
    </row>
    <row r="633" spans="1:5" ht="12.75">
      <c r="A633" s="82" t="s">
        <v>885</v>
      </c>
      <c r="B633" s="83">
        <v>40</v>
      </c>
      <c r="C633" s="83" t="s">
        <v>242</v>
      </c>
      <c r="D633" s="83">
        <v>90</v>
      </c>
      <c r="E633" s="83" t="s">
        <v>873</v>
      </c>
    </row>
    <row r="634" spans="1:5" ht="12.75">
      <c r="A634" s="82" t="s">
        <v>886</v>
      </c>
      <c r="B634" s="83">
        <v>50</v>
      </c>
      <c r="C634" s="83" t="s">
        <v>242</v>
      </c>
      <c r="D634" s="83">
        <v>90</v>
      </c>
      <c r="E634" s="83" t="s">
        <v>873</v>
      </c>
    </row>
    <row r="635" spans="1:5" ht="12.75">
      <c r="A635" s="82" t="s">
        <v>887</v>
      </c>
      <c r="B635" s="83">
        <v>75</v>
      </c>
      <c r="C635" s="83" t="s">
        <v>242</v>
      </c>
      <c r="D635" s="83">
        <v>90</v>
      </c>
      <c r="E635" s="83" t="s">
        <v>873</v>
      </c>
    </row>
    <row r="636" spans="1:5" ht="12.75">
      <c r="A636" s="82" t="s">
        <v>888</v>
      </c>
      <c r="B636" s="83">
        <v>95</v>
      </c>
      <c r="C636" s="83" t="s">
        <v>242</v>
      </c>
      <c r="D636" s="83">
        <v>90</v>
      </c>
      <c r="E636" s="83" t="s">
        <v>873</v>
      </c>
    </row>
    <row r="637" spans="1:5" ht="12.75">
      <c r="A637" s="82" t="s">
        <v>889</v>
      </c>
      <c r="B637" s="83">
        <v>7</v>
      </c>
      <c r="C637" s="83" t="s">
        <v>242</v>
      </c>
      <c r="D637" s="83">
        <v>91</v>
      </c>
      <c r="E637" s="83" t="s">
        <v>873</v>
      </c>
    </row>
    <row r="638" spans="1:5" ht="12.75">
      <c r="A638" s="82" t="s">
        <v>890</v>
      </c>
      <c r="B638" s="83">
        <v>45</v>
      </c>
      <c r="C638" s="83" t="s">
        <v>242</v>
      </c>
      <c r="D638" s="83">
        <v>91</v>
      </c>
      <c r="E638" s="83" t="s">
        <v>873</v>
      </c>
    </row>
    <row r="639" spans="1:5" ht="12.75">
      <c r="A639" s="82" t="s">
        <v>891</v>
      </c>
      <c r="B639" s="83">
        <v>60</v>
      </c>
      <c r="C639" s="83" t="s">
        <v>242</v>
      </c>
      <c r="D639" s="83">
        <v>91</v>
      </c>
      <c r="E639" s="83" t="s">
        <v>873</v>
      </c>
    </row>
    <row r="640" spans="1:5" ht="12.75">
      <c r="A640" s="82" t="s">
        <v>892</v>
      </c>
      <c r="B640" s="83">
        <v>10</v>
      </c>
      <c r="C640" s="83" t="s">
        <v>242</v>
      </c>
      <c r="D640" s="83">
        <v>91</v>
      </c>
      <c r="E640" s="83" t="s">
        <v>873</v>
      </c>
    </row>
    <row r="641" spans="1:5" ht="12.75">
      <c r="A641" s="82" t="s">
        <v>893</v>
      </c>
      <c r="B641" s="83">
        <v>6</v>
      </c>
      <c r="C641" s="83" t="s">
        <v>242</v>
      </c>
      <c r="D641" s="83">
        <v>91</v>
      </c>
      <c r="E641" s="83" t="s">
        <v>873</v>
      </c>
    </row>
    <row r="642" spans="1:5" ht="12.75">
      <c r="A642" s="82" t="s">
        <v>894</v>
      </c>
      <c r="B642" s="83">
        <v>25</v>
      </c>
      <c r="C642" s="83" t="s">
        <v>242</v>
      </c>
      <c r="D642" s="83">
        <v>91</v>
      </c>
      <c r="E642" s="83" t="s">
        <v>873</v>
      </c>
    </row>
    <row r="643" spans="1:5" ht="12.75">
      <c r="A643" s="82" t="s">
        <v>895</v>
      </c>
      <c r="B643" s="83">
        <v>45</v>
      </c>
      <c r="C643" s="83" t="s">
        <v>242</v>
      </c>
      <c r="D643" s="83">
        <v>91</v>
      </c>
      <c r="E643" s="83" t="s">
        <v>873</v>
      </c>
    </row>
    <row r="644" spans="1:5" ht="12.75">
      <c r="A644" s="82" t="s">
        <v>896</v>
      </c>
      <c r="B644" s="83">
        <v>35</v>
      </c>
      <c r="C644" s="83" t="s">
        <v>242</v>
      </c>
      <c r="D644" s="83">
        <v>92</v>
      </c>
      <c r="E644" s="83" t="s">
        <v>873</v>
      </c>
    </row>
    <row r="645" spans="1:5" ht="12.75">
      <c r="A645" s="82" t="s">
        <v>897</v>
      </c>
      <c r="B645" s="83">
        <v>33</v>
      </c>
      <c r="C645" s="83" t="s">
        <v>242</v>
      </c>
      <c r="D645" s="83">
        <v>92</v>
      </c>
      <c r="E645" s="83" t="s">
        <v>873</v>
      </c>
    </row>
    <row r="646" spans="1:5" ht="12.75">
      <c r="A646" s="82" t="s">
        <v>898</v>
      </c>
      <c r="B646" s="83">
        <v>2</v>
      </c>
      <c r="C646" s="83" t="s">
        <v>242</v>
      </c>
      <c r="D646" s="83">
        <v>92</v>
      </c>
      <c r="E646" s="83" t="s">
        <v>873</v>
      </c>
    </row>
    <row r="647" spans="1:5" ht="12.75">
      <c r="A647" s="82" t="s">
        <v>899</v>
      </c>
      <c r="B647" s="83">
        <v>5</v>
      </c>
      <c r="C647" s="83" t="s">
        <v>242</v>
      </c>
      <c r="D647" s="83">
        <v>92</v>
      </c>
      <c r="E647" s="83" t="s">
        <v>873</v>
      </c>
    </row>
    <row r="648" spans="1:5" ht="12.75">
      <c r="A648" s="82" t="s">
        <v>900</v>
      </c>
      <c r="B648" s="83">
        <v>9</v>
      </c>
      <c r="C648" s="83" t="s">
        <v>242</v>
      </c>
      <c r="D648" s="83">
        <v>92</v>
      </c>
      <c r="E648" s="83" t="s">
        <v>873</v>
      </c>
    </row>
    <row r="649" spans="1:5" ht="12.75">
      <c r="A649" s="82" t="s">
        <v>901</v>
      </c>
      <c r="B649" s="83">
        <v>12</v>
      </c>
      <c r="C649" s="83" t="s">
        <v>242</v>
      </c>
      <c r="D649" s="83">
        <v>92</v>
      </c>
      <c r="E649" s="83" t="s">
        <v>873</v>
      </c>
    </row>
    <row r="650" spans="1:5" ht="12.75">
      <c r="A650" s="82" t="s">
        <v>902</v>
      </c>
      <c r="B650" s="83">
        <v>20</v>
      </c>
      <c r="C650" s="83" t="s">
        <v>242</v>
      </c>
      <c r="D650" s="83">
        <v>92</v>
      </c>
      <c r="E650" s="83" t="s">
        <v>873</v>
      </c>
    </row>
    <row r="651" spans="1:5" ht="12.75">
      <c r="A651" s="82" t="s">
        <v>903</v>
      </c>
      <c r="B651" s="83">
        <v>23</v>
      </c>
      <c r="C651" s="83" t="s">
        <v>242</v>
      </c>
      <c r="D651" s="83">
        <v>92</v>
      </c>
      <c r="E651" s="83" t="s">
        <v>873</v>
      </c>
    </row>
    <row r="652" spans="1:5" ht="12.75">
      <c r="A652" s="82" t="s">
        <v>904</v>
      </c>
      <c r="B652" s="83">
        <v>35</v>
      </c>
      <c r="C652" s="83" t="s">
        <v>242</v>
      </c>
      <c r="D652" s="83">
        <v>92</v>
      </c>
      <c r="E652" s="83" t="s">
        <v>873</v>
      </c>
    </row>
    <row r="653" spans="1:5" ht="12.75">
      <c r="A653" s="82" t="s">
        <v>905</v>
      </c>
      <c r="B653" s="83">
        <v>5</v>
      </c>
      <c r="C653" s="83" t="s">
        <v>242</v>
      </c>
      <c r="D653" s="83">
        <v>92</v>
      </c>
      <c r="E653" s="83" t="s">
        <v>873</v>
      </c>
    </row>
    <row r="654" spans="1:5" ht="12.75">
      <c r="A654" s="82" t="s">
        <v>906</v>
      </c>
      <c r="B654" s="83">
        <v>3</v>
      </c>
      <c r="C654" s="83" t="s">
        <v>242</v>
      </c>
      <c r="D654" s="83">
        <v>92</v>
      </c>
      <c r="E654" s="83" t="s">
        <v>873</v>
      </c>
    </row>
    <row r="655" spans="1:5" ht="12.75">
      <c r="A655" s="82" t="s">
        <v>907</v>
      </c>
      <c r="B655" s="83">
        <v>6</v>
      </c>
      <c r="C655" s="83" t="s">
        <v>242</v>
      </c>
      <c r="D655" s="83">
        <v>92</v>
      </c>
      <c r="E655" s="83" t="s">
        <v>873</v>
      </c>
    </row>
    <row r="656" spans="1:5" ht="12.75">
      <c r="A656" s="82" t="s">
        <v>908</v>
      </c>
      <c r="B656" s="83">
        <v>30</v>
      </c>
      <c r="C656" s="83" t="s">
        <v>242</v>
      </c>
      <c r="D656" s="83">
        <v>92</v>
      </c>
      <c r="E656" s="83" t="s">
        <v>873</v>
      </c>
    </row>
    <row r="657" spans="1:5" ht="12.75">
      <c r="A657" s="82" t="s">
        <v>909</v>
      </c>
      <c r="B657" s="83">
        <v>60</v>
      </c>
      <c r="C657" s="83" t="s">
        <v>242</v>
      </c>
      <c r="D657" s="83">
        <v>92</v>
      </c>
      <c r="E657" s="83" t="s">
        <v>873</v>
      </c>
    </row>
    <row r="658" spans="1:5" ht="12.75">
      <c r="A658" s="82" t="s">
        <v>910</v>
      </c>
      <c r="B658" s="83">
        <v>3</v>
      </c>
      <c r="C658" s="83" t="s">
        <v>242</v>
      </c>
      <c r="D658" s="83">
        <v>92</v>
      </c>
      <c r="E658" s="83" t="s">
        <v>873</v>
      </c>
    </row>
    <row r="659" spans="1:5" ht="12.75">
      <c r="A659" s="82" t="s">
        <v>911</v>
      </c>
      <c r="B659" s="83">
        <v>5</v>
      </c>
      <c r="C659" s="83" t="s">
        <v>242</v>
      </c>
      <c r="D659" s="83">
        <v>92</v>
      </c>
      <c r="E659" s="83" t="s">
        <v>873</v>
      </c>
    </row>
    <row r="660" spans="1:5" ht="12.75">
      <c r="A660" s="82" t="s">
        <v>912</v>
      </c>
      <c r="B660" s="83">
        <v>20</v>
      </c>
      <c r="C660" s="83" t="s">
        <v>242</v>
      </c>
      <c r="D660" s="83">
        <v>92</v>
      </c>
      <c r="E660" s="83" t="s">
        <v>873</v>
      </c>
    </row>
    <row r="661" spans="1:5" ht="12.75">
      <c r="A661" s="82" t="s">
        <v>913</v>
      </c>
      <c r="B661" s="83">
        <v>40</v>
      </c>
      <c r="C661" s="83" t="s">
        <v>242</v>
      </c>
      <c r="D661" s="83">
        <v>92</v>
      </c>
      <c r="E661" s="83" t="s">
        <v>873</v>
      </c>
    </row>
    <row r="662" spans="1:5" ht="12.75">
      <c r="A662" s="82" t="s">
        <v>914</v>
      </c>
      <c r="B662" s="83">
        <v>10</v>
      </c>
      <c r="C662" s="83" t="s">
        <v>242</v>
      </c>
      <c r="D662" s="83">
        <v>93</v>
      </c>
      <c r="E662" s="83" t="s">
        <v>873</v>
      </c>
    </row>
    <row r="663" spans="1:5" ht="12.75">
      <c r="A663" s="82" t="s">
        <v>915</v>
      </c>
      <c r="B663" s="83">
        <v>40</v>
      </c>
      <c r="C663" s="83" t="s">
        <v>242</v>
      </c>
      <c r="D663" s="83">
        <v>93</v>
      </c>
      <c r="E663" s="83" t="s">
        <v>873</v>
      </c>
    </row>
    <row r="664" spans="1:5" ht="12.75">
      <c r="A664" s="82" t="s">
        <v>916</v>
      </c>
      <c r="B664" s="83">
        <v>10</v>
      </c>
      <c r="C664" s="83" t="s">
        <v>242</v>
      </c>
      <c r="D664" s="83">
        <v>93</v>
      </c>
      <c r="E664" s="83" t="s">
        <v>873</v>
      </c>
    </row>
    <row r="665" spans="1:5" ht="12.75">
      <c r="A665" s="82" t="s">
        <v>917</v>
      </c>
      <c r="B665" s="83">
        <v>15</v>
      </c>
      <c r="C665" s="83" t="s">
        <v>242</v>
      </c>
      <c r="D665" s="83">
        <v>93</v>
      </c>
      <c r="E665" s="83" t="s">
        <v>873</v>
      </c>
    </row>
    <row r="666" spans="1:5" ht="12.75">
      <c r="A666" s="82" t="s">
        <v>918</v>
      </c>
      <c r="B666" s="84"/>
      <c r="C666" s="83" t="s">
        <v>242</v>
      </c>
      <c r="D666" s="83">
        <v>93</v>
      </c>
      <c r="E666" s="83" t="s">
        <v>873</v>
      </c>
    </row>
    <row r="667" spans="1:5" ht="12.75">
      <c r="A667" s="82" t="s">
        <v>919</v>
      </c>
      <c r="B667" s="83">
        <v>45</v>
      </c>
      <c r="C667" s="83" t="s">
        <v>242</v>
      </c>
      <c r="D667" s="83">
        <v>94</v>
      </c>
      <c r="E667" s="83" t="s">
        <v>920</v>
      </c>
    </row>
    <row r="668" spans="1:5" ht="12.75">
      <c r="A668" s="82" t="s">
        <v>921</v>
      </c>
      <c r="B668" s="83">
        <v>90</v>
      </c>
      <c r="C668" s="83" t="s">
        <v>242</v>
      </c>
      <c r="D668" s="83">
        <v>94</v>
      </c>
      <c r="E668" s="83" t="s">
        <v>920</v>
      </c>
    </row>
    <row r="669" spans="1:5" ht="12.75">
      <c r="A669" s="82" t="s">
        <v>922</v>
      </c>
      <c r="B669" s="83">
        <v>50</v>
      </c>
      <c r="C669" s="83" t="s">
        <v>242</v>
      </c>
      <c r="D669" s="83">
        <v>94</v>
      </c>
      <c r="E669" s="83" t="s">
        <v>920</v>
      </c>
    </row>
    <row r="670" spans="1:5" ht="12.75">
      <c r="A670" s="82" t="s">
        <v>923</v>
      </c>
      <c r="B670" s="83">
        <v>25</v>
      </c>
      <c r="C670" s="83" t="s">
        <v>242</v>
      </c>
      <c r="D670" s="83">
        <v>94</v>
      </c>
      <c r="E670" s="83" t="s">
        <v>920</v>
      </c>
    </row>
    <row r="671" spans="1:5" ht="12.75">
      <c r="A671" s="82" t="s">
        <v>924</v>
      </c>
      <c r="B671" s="83">
        <v>45</v>
      </c>
      <c r="C671" s="83" t="s">
        <v>242</v>
      </c>
      <c r="D671" s="83">
        <v>94</v>
      </c>
      <c r="E671" s="83" t="s">
        <v>920</v>
      </c>
    </row>
    <row r="672" spans="1:5" ht="12.75">
      <c r="A672" s="82" t="s">
        <v>925</v>
      </c>
      <c r="B672" s="83">
        <v>35</v>
      </c>
      <c r="C672" s="83" t="s">
        <v>242</v>
      </c>
      <c r="D672" s="83">
        <v>94</v>
      </c>
      <c r="E672" s="83" t="s">
        <v>920</v>
      </c>
    </row>
    <row r="673" spans="1:5" ht="12.75">
      <c r="A673" s="82" t="s">
        <v>926</v>
      </c>
      <c r="B673" s="83">
        <v>0.25</v>
      </c>
      <c r="C673" s="83" t="s">
        <v>242</v>
      </c>
      <c r="D673" s="83">
        <v>94</v>
      </c>
      <c r="E673" s="83" t="s">
        <v>920</v>
      </c>
    </row>
    <row r="674" spans="1:5" ht="12.75">
      <c r="A674" s="82" t="s">
        <v>927</v>
      </c>
      <c r="B674" s="83">
        <v>40</v>
      </c>
      <c r="C674" s="83" t="s">
        <v>242</v>
      </c>
      <c r="D674" s="83">
        <v>94</v>
      </c>
      <c r="E674" s="83" t="s">
        <v>920</v>
      </c>
    </row>
    <row r="675" spans="1:5" ht="12.75">
      <c r="A675" s="82" t="s">
        <v>928</v>
      </c>
      <c r="B675" s="83">
        <v>40</v>
      </c>
      <c r="C675" s="83" t="s">
        <v>242</v>
      </c>
      <c r="D675" s="83">
        <v>94</v>
      </c>
      <c r="E675" s="83" t="s">
        <v>920</v>
      </c>
    </row>
    <row r="676" spans="1:5" ht="12.75">
      <c r="A676" s="82" t="s">
        <v>929</v>
      </c>
      <c r="B676" s="83">
        <v>25</v>
      </c>
      <c r="C676" s="83" t="s">
        <v>242</v>
      </c>
      <c r="D676" s="83">
        <v>95</v>
      </c>
      <c r="E676" s="83" t="s">
        <v>920</v>
      </c>
    </row>
    <row r="677" spans="1:5" ht="12.75">
      <c r="A677" s="82" t="s">
        <v>930</v>
      </c>
      <c r="B677" s="83">
        <v>35</v>
      </c>
      <c r="C677" s="83" t="s">
        <v>242</v>
      </c>
      <c r="D677" s="83">
        <v>95</v>
      </c>
      <c r="E677" s="83" t="s">
        <v>920</v>
      </c>
    </row>
    <row r="678" spans="1:5" ht="12.75">
      <c r="A678" s="82" t="s">
        <v>931</v>
      </c>
      <c r="B678" s="83">
        <v>10</v>
      </c>
      <c r="C678" s="83" t="s">
        <v>242</v>
      </c>
      <c r="D678" s="83">
        <v>95</v>
      </c>
      <c r="E678" s="83" t="s">
        <v>920</v>
      </c>
    </row>
    <row r="679" spans="1:5" ht="12.75">
      <c r="A679" s="82" t="s">
        <v>932</v>
      </c>
      <c r="B679" s="83">
        <v>20</v>
      </c>
      <c r="C679" s="83" t="s">
        <v>242</v>
      </c>
      <c r="D679" s="83">
        <v>95</v>
      </c>
      <c r="E679" s="83" t="s">
        <v>920</v>
      </c>
    </row>
    <row r="680" spans="1:5" ht="12.75">
      <c r="A680" s="82" t="s">
        <v>933</v>
      </c>
      <c r="B680" s="83">
        <v>25</v>
      </c>
      <c r="C680" s="83" t="s">
        <v>242</v>
      </c>
      <c r="D680" s="83">
        <v>95</v>
      </c>
      <c r="E680" s="83" t="s">
        <v>920</v>
      </c>
    </row>
    <row r="681" spans="1:5" ht="12.75">
      <c r="A681" s="82" t="s">
        <v>934</v>
      </c>
      <c r="B681" s="83">
        <v>45</v>
      </c>
      <c r="C681" s="83" t="s">
        <v>242</v>
      </c>
      <c r="D681" s="83">
        <v>95</v>
      </c>
      <c r="E681" s="83" t="s">
        <v>920</v>
      </c>
    </row>
    <row r="682" spans="1:5" ht="12.75">
      <c r="A682" s="82" t="s">
        <v>935</v>
      </c>
      <c r="B682" s="83">
        <v>50</v>
      </c>
      <c r="C682" s="83" t="s">
        <v>242</v>
      </c>
      <c r="D682" s="83">
        <v>95</v>
      </c>
      <c r="E682" s="83" t="s">
        <v>920</v>
      </c>
    </row>
    <row r="683" spans="1:5" ht="12.75">
      <c r="A683" s="82" t="s">
        <v>936</v>
      </c>
      <c r="B683" s="83">
        <v>35</v>
      </c>
      <c r="C683" s="83" t="s">
        <v>242</v>
      </c>
      <c r="D683" s="83">
        <v>95</v>
      </c>
      <c r="E683" s="83" t="s">
        <v>920</v>
      </c>
    </row>
    <row r="684" spans="1:5" ht="12.75">
      <c r="A684" s="82" t="s">
        <v>937</v>
      </c>
      <c r="B684" s="83">
        <v>25</v>
      </c>
      <c r="C684" s="83" t="s">
        <v>242</v>
      </c>
      <c r="D684" s="83">
        <v>95</v>
      </c>
      <c r="E684" s="83" t="s">
        <v>920</v>
      </c>
    </row>
    <row r="685" spans="1:5" ht="12.75">
      <c r="A685" s="82" t="s">
        <v>938</v>
      </c>
      <c r="B685" s="83">
        <v>40</v>
      </c>
      <c r="C685" s="83" t="s">
        <v>242</v>
      </c>
      <c r="D685" s="83">
        <v>95</v>
      </c>
      <c r="E685" s="83" t="s">
        <v>920</v>
      </c>
    </row>
    <row r="686" spans="1:5" ht="12.75">
      <c r="A686" s="82" t="s">
        <v>939</v>
      </c>
      <c r="B686" s="83">
        <v>25</v>
      </c>
      <c r="C686" s="83" t="s">
        <v>242</v>
      </c>
      <c r="D686" s="83">
        <v>96</v>
      </c>
      <c r="E686" s="83" t="s">
        <v>920</v>
      </c>
    </row>
    <row r="687" spans="1:5" ht="12.75">
      <c r="A687" s="82" t="s">
        <v>940</v>
      </c>
      <c r="B687" s="83">
        <v>50</v>
      </c>
      <c r="C687" s="83" t="s">
        <v>242</v>
      </c>
      <c r="D687" s="83">
        <v>96</v>
      </c>
      <c r="E687" s="83" t="s">
        <v>920</v>
      </c>
    </row>
    <row r="688" spans="1:5" ht="12.75">
      <c r="A688" s="82" t="s">
        <v>941</v>
      </c>
      <c r="B688" s="83">
        <v>45</v>
      </c>
      <c r="C688" s="83" t="s">
        <v>242</v>
      </c>
      <c r="D688" s="83">
        <v>96</v>
      </c>
      <c r="E688" s="83" t="s">
        <v>920</v>
      </c>
    </row>
    <row r="689" spans="1:5" ht="12.75">
      <c r="A689" s="82" t="s">
        <v>942</v>
      </c>
      <c r="B689" s="83">
        <v>60</v>
      </c>
      <c r="C689" s="83" t="s">
        <v>242</v>
      </c>
      <c r="D689" s="83">
        <v>96</v>
      </c>
      <c r="E689" s="83" t="s">
        <v>920</v>
      </c>
    </row>
    <row r="690" spans="1:5" ht="12.75">
      <c r="A690" s="82" t="s">
        <v>943</v>
      </c>
      <c r="B690" s="83">
        <v>35</v>
      </c>
      <c r="C690" s="83" t="s">
        <v>242</v>
      </c>
      <c r="D690" s="83">
        <v>96</v>
      </c>
      <c r="E690" s="83" t="s">
        <v>920</v>
      </c>
    </row>
    <row r="691" spans="1:5" ht="12.75">
      <c r="A691" s="82" t="s">
        <v>944</v>
      </c>
      <c r="B691" s="83">
        <v>5</v>
      </c>
      <c r="C691" s="83" t="s">
        <v>242</v>
      </c>
      <c r="D691" s="83">
        <v>97</v>
      </c>
      <c r="E691" s="83" t="s">
        <v>945</v>
      </c>
    </row>
    <row r="692" spans="1:5" ht="12.75">
      <c r="A692" s="82" t="s">
        <v>946</v>
      </c>
      <c r="B692" s="83">
        <v>5</v>
      </c>
      <c r="C692" s="83" t="s">
        <v>242</v>
      </c>
      <c r="D692" s="83">
        <v>97</v>
      </c>
      <c r="E692" s="83" t="s">
        <v>945</v>
      </c>
    </row>
    <row r="693" spans="1:5" ht="12.75">
      <c r="A693" s="82" t="s">
        <v>947</v>
      </c>
      <c r="B693" s="83">
        <v>8</v>
      </c>
      <c r="C693" s="83" t="s">
        <v>242</v>
      </c>
      <c r="D693" s="83">
        <v>97</v>
      </c>
      <c r="E693" s="83" t="s">
        <v>945</v>
      </c>
    </row>
    <row r="694" spans="1:5" ht="12.75">
      <c r="A694" s="82" t="s">
        <v>948</v>
      </c>
      <c r="B694" s="83">
        <v>0.2</v>
      </c>
      <c r="C694" s="83" t="s">
        <v>242</v>
      </c>
      <c r="D694" s="83">
        <v>97</v>
      </c>
      <c r="E694" s="83" t="s">
        <v>945</v>
      </c>
    </row>
    <row r="695" spans="1:5" ht="12.75">
      <c r="A695" s="82" t="s">
        <v>949</v>
      </c>
      <c r="B695" s="83">
        <v>0.1</v>
      </c>
      <c r="C695" s="83" t="s">
        <v>242</v>
      </c>
      <c r="D695" s="83">
        <v>97</v>
      </c>
      <c r="E695" s="83" t="s">
        <v>945</v>
      </c>
    </row>
    <row r="696" spans="1:5" ht="12.75">
      <c r="A696" s="82" t="s">
        <v>950</v>
      </c>
      <c r="B696" s="83">
        <v>10</v>
      </c>
      <c r="C696" s="83" t="s">
        <v>242</v>
      </c>
      <c r="D696" s="83">
        <v>97</v>
      </c>
      <c r="E696" s="83" t="s">
        <v>945</v>
      </c>
    </row>
    <row r="697" spans="1:5" ht="12.75">
      <c r="A697" s="82" t="s">
        <v>951</v>
      </c>
      <c r="B697" s="83">
        <v>15</v>
      </c>
      <c r="C697" s="83" t="s">
        <v>242</v>
      </c>
      <c r="D697" s="83">
        <v>98</v>
      </c>
      <c r="E697" s="83" t="s">
        <v>945</v>
      </c>
    </row>
    <row r="698" spans="1:5" ht="12.75">
      <c r="A698" s="82" t="s">
        <v>952</v>
      </c>
      <c r="B698" s="83">
        <v>25</v>
      </c>
      <c r="C698" s="83" t="s">
        <v>242</v>
      </c>
      <c r="D698" s="83">
        <v>98</v>
      </c>
      <c r="E698" s="83" t="s">
        <v>945</v>
      </c>
    </row>
    <row r="699" spans="1:5" ht="12.75">
      <c r="A699" s="82" t="s">
        <v>953</v>
      </c>
      <c r="B699" s="83">
        <v>15</v>
      </c>
      <c r="C699" s="83" t="s">
        <v>242</v>
      </c>
      <c r="D699" s="83">
        <v>98</v>
      </c>
      <c r="E699" s="83" t="s">
        <v>945</v>
      </c>
    </row>
    <row r="700" spans="1:5" ht="12.75">
      <c r="A700" s="82" t="s">
        <v>954</v>
      </c>
      <c r="B700" s="83">
        <v>6</v>
      </c>
      <c r="C700" s="83" t="s">
        <v>242</v>
      </c>
      <c r="D700" s="83">
        <v>98</v>
      </c>
      <c r="E700" s="83" t="s">
        <v>945</v>
      </c>
    </row>
    <row r="701" spans="1:5" ht="12.75">
      <c r="A701" s="82" t="s">
        <v>955</v>
      </c>
      <c r="B701" s="83">
        <v>2</v>
      </c>
      <c r="C701" s="83" t="s">
        <v>242</v>
      </c>
      <c r="D701" s="83">
        <v>98</v>
      </c>
      <c r="E701" s="83" t="s">
        <v>945</v>
      </c>
    </row>
    <row r="702" spans="1:5" ht="12.75">
      <c r="A702" s="82" t="s">
        <v>956</v>
      </c>
      <c r="B702" s="83">
        <v>5</v>
      </c>
      <c r="C702" s="83" t="s">
        <v>242</v>
      </c>
      <c r="D702" s="83">
        <v>98</v>
      </c>
      <c r="E702" s="83" t="s">
        <v>945</v>
      </c>
    </row>
    <row r="703" spans="1:5" ht="12.75">
      <c r="A703" s="82" t="s">
        <v>957</v>
      </c>
      <c r="B703" s="83">
        <v>7</v>
      </c>
      <c r="C703" s="83" t="s">
        <v>242</v>
      </c>
      <c r="D703" s="83">
        <v>98</v>
      </c>
      <c r="E703" s="83" t="s">
        <v>945</v>
      </c>
    </row>
    <row r="704" spans="1:5" ht="12.75">
      <c r="A704" s="82" t="s">
        <v>958</v>
      </c>
      <c r="B704" s="83">
        <v>9</v>
      </c>
      <c r="C704" s="83" t="s">
        <v>242</v>
      </c>
      <c r="D704" s="83">
        <v>98</v>
      </c>
      <c r="E704" s="83" t="s">
        <v>945</v>
      </c>
    </row>
    <row r="705" spans="1:5" ht="12.75">
      <c r="A705" s="82" t="s">
        <v>959</v>
      </c>
      <c r="B705" s="83">
        <v>10</v>
      </c>
      <c r="C705" s="83" t="s">
        <v>242</v>
      </c>
      <c r="D705" s="83">
        <v>98</v>
      </c>
      <c r="E705" s="83" t="s">
        <v>945</v>
      </c>
    </row>
    <row r="706" spans="1:5" ht="12.75">
      <c r="A706" s="82" t="s">
        <v>960</v>
      </c>
      <c r="B706" s="83">
        <v>25</v>
      </c>
      <c r="C706" s="83" t="s">
        <v>242</v>
      </c>
      <c r="D706" s="83">
        <v>98</v>
      </c>
      <c r="E706" s="83" t="s">
        <v>945</v>
      </c>
    </row>
    <row r="707" spans="1:5" ht="12.75">
      <c r="A707" s="82" t="s">
        <v>961</v>
      </c>
      <c r="B707" s="83">
        <v>35</v>
      </c>
      <c r="C707" s="83" t="s">
        <v>242</v>
      </c>
      <c r="D707" s="83">
        <v>98</v>
      </c>
      <c r="E707" s="83" t="s">
        <v>945</v>
      </c>
    </row>
    <row r="708" spans="1:5" ht="12.75">
      <c r="A708" s="82" t="s">
        <v>962</v>
      </c>
      <c r="B708" s="83">
        <v>20</v>
      </c>
      <c r="C708" s="83" t="s">
        <v>242</v>
      </c>
      <c r="D708" s="83">
        <v>99</v>
      </c>
      <c r="E708" s="83" t="s">
        <v>945</v>
      </c>
    </row>
    <row r="709" spans="1:5" ht="12.75">
      <c r="A709" s="82" t="s">
        <v>963</v>
      </c>
      <c r="B709" s="83">
        <v>75</v>
      </c>
      <c r="C709" s="83" t="s">
        <v>242</v>
      </c>
      <c r="D709" s="83">
        <v>99</v>
      </c>
      <c r="E709" s="83" t="s">
        <v>945</v>
      </c>
    </row>
    <row r="710" spans="1:5" ht="12.75">
      <c r="A710" s="82" t="s">
        <v>964</v>
      </c>
      <c r="B710" s="83">
        <v>1</v>
      </c>
      <c r="C710" s="83" t="s">
        <v>242</v>
      </c>
      <c r="D710" s="83">
        <v>100</v>
      </c>
      <c r="E710" s="83" t="s">
        <v>965</v>
      </c>
    </row>
    <row r="711" spans="1:5" ht="12.75">
      <c r="A711" s="82" t="s">
        <v>966</v>
      </c>
      <c r="B711" s="83">
        <v>12</v>
      </c>
      <c r="C711" s="83" t="s">
        <v>242</v>
      </c>
      <c r="D711" s="83">
        <v>100</v>
      </c>
      <c r="E711" s="83" t="s">
        <v>965</v>
      </c>
    </row>
    <row r="712" spans="1:5" ht="12.75">
      <c r="A712" s="82" t="s">
        <v>967</v>
      </c>
      <c r="B712" s="83">
        <v>2</v>
      </c>
      <c r="C712" s="83" t="s">
        <v>242</v>
      </c>
      <c r="D712" s="83">
        <v>100</v>
      </c>
      <c r="E712" s="83" t="s">
        <v>965</v>
      </c>
    </row>
    <row r="713" spans="1:5" ht="12.75">
      <c r="A713" s="82" t="s">
        <v>968</v>
      </c>
      <c r="B713" s="83">
        <v>1</v>
      </c>
      <c r="C713" s="83" t="s">
        <v>242</v>
      </c>
      <c r="D713" s="83">
        <v>100</v>
      </c>
      <c r="E713" s="83" t="s">
        <v>965</v>
      </c>
    </row>
    <row r="714" spans="1:5" ht="12.75">
      <c r="A714" s="82" t="s">
        <v>969</v>
      </c>
      <c r="B714" s="83">
        <v>0.1</v>
      </c>
      <c r="C714" s="83" t="s">
        <v>242</v>
      </c>
      <c r="D714" s="83">
        <v>100</v>
      </c>
      <c r="E714" s="83" t="s">
        <v>965</v>
      </c>
    </row>
    <row r="715" spans="1:5" ht="12.75">
      <c r="A715" s="82" t="s">
        <v>970</v>
      </c>
      <c r="B715" s="83">
        <v>0.5</v>
      </c>
      <c r="C715" s="83" t="s">
        <v>242</v>
      </c>
      <c r="D715" s="83">
        <v>100</v>
      </c>
      <c r="E715" s="83" t="s">
        <v>965</v>
      </c>
    </row>
    <row r="716" spans="1:5" ht="12.75">
      <c r="A716" s="82" t="s">
        <v>971</v>
      </c>
      <c r="B716" s="83">
        <v>0.2</v>
      </c>
      <c r="C716" s="83" t="s">
        <v>242</v>
      </c>
      <c r="D716" s="83">
        <v>100</v>
      </c>
      <c r="E716" s="83" t="s">
        <v>965</v>
      </c>
    </row>
    <row r="717" spans="1:5" ht="12.75">
      <c r="A717" s="82" t="s">
        <v>972</v>
      </c>
      <c r="B717" s="83">
        <v>0.2</v>
      </c>
      <c r="C717" s="83" t="s">
        <v>242</v>
      </c>
      <c r="D717" s="83">
        <v>100</v>
      </c>
      <c r="E717" s="83" t="s">
        <v>965</v>
      </c>
    </row>
    <row r="718" spans="1:5" ht="12.75">
      <c r="A718" s="82" t="s">
        <v>973</v>
      </c>
      <c r="B718" s="83">
        <v>0.1</v>
      </c>
      <c r="C718" s="83" t="s">
        <v>242</v>
      </c>
      <c r="D718" s="83">
        <v>100</v>
      </c>
      <c r="E718" s="83" t="s">
        <v>965</v>
      </c>
    </row>
    <row r="719" spans="1:5" ht="12.75">
      <c r="A719" s="82" t="s">
        <v>974</v>
      </c>
      <c r="B719" s="83">
        <v>1</v>
      </c>
      <c r="C719" s="83" t="s">
        <v>242</v>
      </c>
      <c r="D719" s="83">
        <v>100</v>
      </c>
      <c r="E719" s="83" t="s">
        <v>965</v>
      </c>
    </row>
    <row r="720" spans="1:5" ht="12.75">
      <c r="A720" s="82" t="s">
        <v>975</v>
      </c>
      <c r="B720" s="83">
        <v>3</v>
      </c>
      <c r="C720" s="83" t="s">
        <v>242</v>
      </c>
      <c r="D720" s="83">
        <v>100</v>
      </c>
      <c r="E720" s="83" t="s">
        <v>965</v>
      </c>
    </row>
    <row r="721" spans="1:5" ht="12.75">
      <c r="A721" s="82" t="s">
        <v>976</v>
      </c>
      <c r="B721" s="83">
        <v>5</v>
      </c>
      <c r="C721" s="83" t="s">
        <v>242</v>
      </c>
      <c r="D721" s="83">
        <v>100</v>
      </c>
      <c r="E721" s="83" t="s">
        <v>965</v>
      </c>
    </row>
    <row r="722" spans="1:5" ht="12.75">
      <c r="A722" s="82" t="s">
        <v>977</v>
      </c>
      <c r="B722" s="83">
        <v>10</v>
      </c>
      <c r="C722" s="83" t="s">
        <v>242</v>
      </c>
      <c r="D722" s="83">
        <v>100</v>
      </c>
      <c r="E722" s="83" t="s">
        <v>965</v>
      </c>
    </row>
    <row r="723" spans="1:5" ht="12.75">
      <c r="A723" s="82" t="s">
        <v>978</v>
      </c>
      <c r="B723" s="83">
        <v>0.5</v>
      </c>
      <c r="C723" s="83" t="s">
        <v>242</v>
      </c>
      <c r="D723" s="83">
        <v>100</v>
      </c>
      <c r="E723" s="83" t="s">
        <v>965</v>
      </c>
    </row>
    <row r="724" spans="1:5" ht="12.75">
      <c r="A724" s="82" t="s">
        <v>979</v>
      </c>
      <c r="B724" s="83">
        <v>5</v>
      </c>
      <c r="C724" s="83" t="s">
        <v>242</v>
      </c>
      <c r="D724" s="83">
        <v>100</v>
      </c>
      <c r="E724" s="83" t="s">
        <v>965</v>
      </c>
    </row>
    <row r="725" spans="1:5" ht="12.75">
      <c r="A725" s="82" t="s">
        <v>980</v>
      </c>
      <c r="B725" s="83">
        <v>3</v>
      </c>
      <c r="C725" s="83" t="s">
        <v>242</v>
      </c>
      <c r="D725" s="83">
        <v>101</v>
      </c>
      <c r="E725" s="83" t="s">
        <v>965</v>
      </c>
    </row>
    <row r="726" spans="1:5" ht="12.75">
      <c r="A726" s="82" t="s">
        <v>981</v>
      </c>
      <c r="B726" s="83">
        <v>3</v>
      </c>
      <c r="C726" s="83" t="s">
        <v>242</v>
      </c>
      <c r="D726" s="83">
        <v>101</v>
      </c>
      <c r="E726" s="83" t="s">
        <v>965</v>
      </c>
    </row>
    <row r="727" spans="1:5" ht="12.75">
      <c r="A727" s="82" t="s">
        <v>982</v>
      </c>
      <c r="B727" s="83">
        <v>3</v>
      </c>
      <c r="C727" s="83" t="s">
        <v>242</v>
      </c>
      <c r="D727" s="83">
        <v>101</v>
      </c>
      <c r="E727" s="83" t="s">
        <v>965</v>
      </c>
    </row>
    <row r="728" spans="1:5" ht="12.75">
      <c r="A728" s="82" t="s">
        <v>983</v>
      </c>
      <c r="B728" s="83">
        <v>7</v>
      </c>
      <c r="C728" s="83" t="s">
        <v>242</v>
      </c>
      <c r="D728" s="83">
        <v>101</v>
      </c>
      <c r="E728" s="83" t="s">
        <v>965</v>
      </c>
    </row>
    <row r="729" spans="1:5" ht="12.75">
      <c r="A729" s="82" t="s">
        <v>984</v>
      </c>
      <c r="B729" s="83">
        <v>12</v>
      </c>
      <c r="C729" s="83" t="s">
        <v>242</v>
      </c>
      <c r="D729" s="83">
        <v>101</v>
      </c>
      <c r="E729" s="83" t="s">
        <v>965</v>
      </c>
    </row>
    <row r="730" spans="1:5" ht="12.75">
      <c r="A730" s="82" t="s">
        <v>985</v>
      </c>
      <c r="B730" s="83">
        <v>0.01</v>
      </c>
      <c r="C730" s="83" t="s">
        <v>242</v>
      </c>
      <c r="D730" s="83">
        <v>101</v>
      </c>
      <c r="E730" s="83" t="s">
        <v>965</v>
      </c>
    </row>
    <row r="731" spans="1:5" ht="12.75">
      <c r="A731" s="82" t="s">
        <v>986</v>
      </c>
      <c r="B731" s="83">
        <v>0.1</v>
      </c>
      <c r="C731" s="83" t="s">
        <v>242</v>
      </c>
      <c r="D731" s="83">
        <v>101</v>
      </c>
      <c r="E731" s="83" t="s">
        <v>965</v>
      </c>
    </row>
    <row r="732" spans="1:5" ht="12.75">
      <c r="A732" s="82" t="s">
        <v>987</v>
      </c>
      <c r="B732" s="83">
        <v>1</v>
      </c>
      <c r="C732" s="83" t="s">
        <v>242</v>
      </c>
      <c r="D732" s="83">
        <v>101</v>
      </c>
      <c r="E732" s="83" t="s">
        <v>965</v>
      </c>
    </row>
    <row r="733" spans="1:5" ht="12.75">
      <c r="A733" s="82" t="s">
        <v>988</v>
      </c>
      <c r="B733" s="83">
        <v>4</v>
      </c>
      <c r="C733" s="83" t="s">
        <v>242</v>
      </c>
      <c r="D733" s="83">
        <v>101</v>
      </c>
      <c r="E733" s="83" t="s">
        <v>965</v>
      </c>
    </row>
    <row r="734" spans="1:5" ht="12.75">
      <c r="A734" s="82" t="s">
        <v>989</v>
      </c>
      <c r="B734" s="83">
        <v>0.2</v>
      </c>
      <c r="C734" s="83" t="s">
        <v>242</v>
      </c>
      <c r="D734" s="83">
        <v>101</v>
      </c>
      <c r="E734" s="83" t="s">
        <v>965</v>
      </c>
    </row>
    <row r="735" spans="1:5" ht="12.75">
      <c r="A735" s="82" t="s">
        <v>990</v>
      </c>
      <c r="B735" s="83">
        <v>0.5</v>
      </c>
      <c r="C735" s="83" t="s">
        <v>242</v>
      </c>
      <c r="D735" s="83">
        <v>101</v>
      </c>
      <c r="E735" s="83" t="s">
        <v>965</v>
      </c>
    </row>
    <row r="736" spans="1:5" ht="12.75">
      <c r="A736" s="82" t="s">
        <v>991</v>
      </c>
      <c r="B736" s="83">
        <v>1</v>
      </c>
      <c r="C736" s="83" t="s">
        <v>242</v>
      </c>
      <c r="D736" s="83">
        <v>101</v>
      </c>
      <c r="E736" s="83" t="s">
        <v>965</v>
      </c>
    </row>
    <row r="737" spans="1:5" ht="12.75">
      <c r="A737" s="82" t="s">
        <v>992</v>
      </c>
      <c r="B737" s="83">
        <v>0.1</v>
      </c>
      <c r="C737" s="83" t="s">
        <v>242</v>
      </c>
      <c r="D737" s="83">
        <v>101</v>
      </c>
      <c r="E737" s="83" t="s">
        <v>965</v>
      </c>
    </row>
    <row r="738" spans="1:5" ht="12.75">
      <c r="A738" s="82" t="s">
        <v>993</v>
      </c>
      <c r="B738" s="83">
        <v>1</v>
      </c>
      <c r="C738" s="83" t="s">
        <v>242</v>
      </c>
      <c r="D738" s="83">
        <v>101</v>
      </c>
      <c r="E738" s="83" t="s">
        <v>965</v>
      </c>
    </row>
    <row r="739" spans="1:5" ht="12.75">
      <c r="A739" s="82" t="s">
        <v>994</v>
      </c>
      <c r="B739" s="83">
        <v>1</v>
      </c>
      <c r="C739" s="83" t="s">
        <v>242</v>
      </c>
      <c r="D739" s="83">
        <v>102</v>
      </c>
      <c r="E739" s="83" t="s">
        <v>995</v>
      </c>
    </row>
    <row r="740" spans="1:5" ht="12.75">
      <c r="A740" s="82" t="s">
        <v>996</v>
      </c>
      <c r="B740" s="83">
        <v>5</v>
      </c>
      <c r="C740" s="83" t="s">
        <v>242</v>
      </c>
      <c r="D740" s="83">
        <v>102</v>
      </c>
      <c r="E740" s="83" t="s">
        <v>995</v>
      </c>
    </row>
    <row r="741" spans="1:5" ht="12.75">
      <c r="A741" s="82" t="s">
        <v>997</v>
      </c>
      <c r="B741" s="83">
        <v>15</v>
      </c>
      <c r="C741" s="83" t="s">
        <v>242</v>
      </c>
      <c r="D741" s="83">
        <v>102</v>
      </c>
      <c r="E741" s="83" t="s">
        <v>995</v>
      </c>
    </row>
    <row r="742" spans="1:5" ht="12.75">
      <c r="A742" s="82" t="s">
        <v>998</v>
      </c>
      <c r="B742" s="83">
        <v>50</v>
      </c>
      <c r="C742" s="83" t="s">
        <v>242</v>
      </c>
      <c r="D742" s="83">
        <v>102</v>
      </c>
      <c r="E742" s="83" t="s">
        <v>995</v>
      </c>
    </row>
    <row r="743" spans="1:5" ht="12.75">
      <c r="A743" s="82" t="s">
        <v>999</v>
      </c>
      <c r="B743" s="83">
        <v>20</v>
      </c>
      <c r="C743" s="83" t="s">
        <v>242</v>
      </c>
      <c r="D743" s="83">
        <v>102</v>
      </c>
      <c r="E743" s="83" t="s">
        <v>995</v>
      </c>
    </row>
    <row r="744" spans="1:5" ht="12.75">
      <c r="A744" s="82" t="s">
        <v>1000</v>
      </c>
      <c r="B744" s="83">
        <v>0.9</v>
      </c>
      <c r="C744" s="83" t="s">
        <v>242</v>
      </c>
      <c r="D744" s="83">
        <v>102</v>
      </c>
      <c r="E744" s="83" t="s">
        <v>995</v>
      </c>
    </row>
    <row r="745" spans="1:5" ht="12.75">
      <c r="A745" s="82" t="s">
        <v>1001</v>
      </c>
      <c r="B745" s="83">
        <v>1</v>
      </c>
      <c r="C745" s="83" t="s">
        <v>242</v>
      </c>
      <c r="D745" s="83">
        <v>103</v>
      </c>
      <c r="E745" s="83" t="s">
        <v>995</v>
      </c>
    </row>
    <row r="746" spans="1:5" ht="12.75">
      <c r="A746" s="82" t="s">
        <v>1002</v>
      </c>
      <c r="B746" s="83">
        <v>4</v>
      </c>
      <c r="C746" s="83" t="s">
        <v>242</v>
      </c>
      <c r="D746" s="83">
        <v>103</v>
      </c>
      <c r="E746" s="83" t="s">
        <v>995</v>
      </c>
    </row>
    <row r="747" spans="1:5" ht="12.75">
      <c r="A747" s="82" t="s">
        <v>1003</v>
      </c>
      <c r="B747" s="83">
        <v>12</v>
      </c>
      <c r="C747" s="83" t="s">
        <v>242</v>
      </c>
      <c r="D747" s="83">
        <v>103</v>
      </c>
      <c r="E747" s="83" t="s">
        <v>995</v>
      </c>
    </row>
    <row r="748" spans="1:5" ht="12.75">
      <c r="A748" s="82" t="s">
        <v>1004</v>
      </c>
      <c r="B748" s="83">
        <v>0.9</v>
      </c>
      <c r="C748" s="83" t="s">
        <v>242</v>
      </c>
      <c r="D748" s="83">
        <v>103</v>
      </c>
      <c r="E748" s="83" t="s">
        <v>995</v>
      </c>
    </row>
    <row r="749" spans="1:5" ht="12.75">
      <c r="A749" s="82" t="s">
        <v>1005</v>
      </c>
      <c r="B749" s="83">
        <v>0.5</v>
      </c>
      <c r="C749" s="83" t="s">
        <v>242</v>
      </c>
      <c r="D749" s="83">
        <v>103</v>
      </c>
      <c r="E749" s="83" t="s">
        <v>995</v>
      </c>
    </row>
    <row r="750" spans="1:5" ht="12.75">
      <c r="A750" s="82" t="s">
        <v>1006</v>
      </c>
      <c r="B750" s="83">
        <v>0.1</v>
      </c>
      <c r="C750" s="83" t="s">
        <v>242</v>
      </c>
      <c r="D750" s="83">
        <v>103</v>
      </c>
      <c r="E750" s="83" t="s">
        <v>995</v>
      </c>
    </row>
    <row r="751" spans="1:5" ht="12.75">
      <c r="A751" s="82" t="s">
        <v>1007</v>
      </c>
      <c r="B751" s="83">
        <v>0.8</v>
      </c>
      <c r="C751" s="83" t="s">
        <v>242</v>
      </c>
      <c r="D751" s="83">
        <v>103</v>
      </c>
      <c r="E751" s="83" t="s">
        <v>995</v>
      </c>
    </row>
    <row r="752" spans="1:5" ht="12.75">
      <c r="A752" s="82" t="s">
        <v>1008</v>
      </c>
      <c r="B752" s="83">
        <v>12</v>
      </c>
      <c r="C752" s="83" t="s">
        <v>242</v>
      </c>
      <c r="D752" s="83">
        <v>103</v>
      </c>
      <c r="E752" s="83" t="s">
        <v>995</v>
      </c>
    </row>
    <row r="753" spans="1:5" ht="12.75">
      <c r="A753" s="82" t="s">
        <v>1009</v>
      </c>
      <c r="B753" s="83">
        <v>15</v>
      </c>
      <c r="C753" s="83" t="s">
        <v>242</v>
      </c>
      <c r="D753" s="83">
        <v>104</v>
      </c>
      <c r="E753" s="83" t="s">
        <v>995</v>
      </c>
    </row>
    <row r="754" spans="1:5" ht="12.75">
      <c r="A754" s="82" t="s">
        <v>1010</v>
      </c>
      <c r="B754" s="83">
        <v>7</v>
      </c>
      <c r="C754" s="83" t="s">
        <v>242</v>
      </c>
      <c r="D754" s="83">
        <v>104</v>
      </c>
      <c r="E754" s="83" t="s">
        <v>995</v>
      </c>
    </row>
    <row r="755" spans="1:5" ht="12.75">
      <c r="A755" s="82" t="s">
        <v>1011</v>
      </c>
      <c r="B755" s="83">
        <v>1700</v>
      </c>
      <c r="C755" s="83" t="s">
        <v>242</v>
      </c>
      <c r="D755" s="83">
        <v>104</v>
      </c>
      <c r="E755" s="83" t="s">
        <v>995</v>
      </c>
    </row>
    <row r="756" spans="1:5" ht="12.75">
      <c r="A756" s="82" t="s">
        <v>1012</v>
      </c>
      <c r="B756" s="83">
        <v>0.6</v>
      </c>
      <c r="C756" s="83" t="s">
        <v>242</v>
      </c>
      <c r="D756" s="83">
        <v>105</v>
      </c>
      <c r="E756" s="83" t="s">
        <v>995</v>
      </c>
    </row>
    <row r="757" spans="1:5" ht="12.75">
      <c r="A757" s="82" t="s">
        <v>1013</v>
      </c>
      <c r="B757" s="83">
        <v>20</v>
      </c>
      <c r="C757" s="83" t="s">
        <v>242</v>
      </c>
      <c r="D757" s="83">
        <v>105</v>
      </c>
      <c r="E757" s="83" t="s">
        <v>995</v>
      </c>
    </row>
    <row r="758" spans="1:5" ht="12.75">
      <c r="A758" s="82" t="s">
        <v>1014</v>
      </c>
      <c r="B758" s="83">
        <v>1</v>
      </c>
      <c r="C758" s="83" t="s">
        <v>242</v>
      </c>
      <c r="D758" s="83">
        <v>105</v>
      </c>
      <c r="E758" s="83" t="s">
        <v>995</v>
      </c>
    </row>
    <row r="759" spans="1:5" ht="12.75">
      <c r="A759" s="82" t="s">
        <v>1015</v>
      </c>
      <c r="B759" s="83">
        <v>1.1000000000000001</v>
      </c>
      <c r="C759" s="83" t="s">
        <v>242</v>
      </c>
      <c r="D759" s="83">
        <v>105</v>
      </c>
      <c r="E759" s="83" t="s">
        <v>995</v>
      </c>
    </row>
    <row r="760" spans="1:5" ht="12.75">
      <c r="A760" s="82" t="s">
        <v>1016</v>
      </c>
      <c r="B760" s="83">
        <v>1.4</v>
      </c>
      <c r="C760" s="83" t="s">
        <v>242</v>
      </c>
      <c r="D760" s="83">
        <v>106</v>
      </c>
      <c r="E760" s="83" t="s">
        <v>995</v>
      </c>
    </row>
    <row r="761" spans="1:5" ht="12.75">
      <c r="A761" s="82" t="s">
        <v>1017</v>
      </c>
      <c r="B761" s="83">
        <v>5</v>
      </c>
      <c r="C761" s="83" t="s">
        <v>242</v>
      </c>
      <c r="D761" s="83">
        <v>106</v>
      </c>
      <c r="E761" s="83" t="s">
        <v>995</v>
      </c>
    </row>
    <row r="762" spans="1:5" ht="12.75">
      <c r="A762" s="82" t="s">
        <v>1018</v>
      </c>
      <c r="B762" s="83">
        <v>1.2</v>
      </c>
      <c r="C762" s="83" t="s">
        <v>242</v>
      </c>
      <c r="D762" s="83">
        <v>106</v>
      </c>
      <c r="E762" s="83" t="s">
        <v>995</v>
      </c>
    </row>
    <row r="763" spans="1:5" ht="12.75">
      <c r="A763" s="82" t="s">
        <v>1019</v>
      </c>
      <c r="B763" s="83">
        <v>0.01</v>
      </c>
      <c r="C763" s="83" t="s">
        <v>242</v>
      </c>
      <c r="D763" s="83">
        <v>106</v>
      </c>
      <c r="E763" s="83" t="s">
        <v>995</v>
      </c>
    </row>
    <row r="764" spans="1:5" ht="12.75">
      <c r="A764" s="82" t="s">
        <v>1020</v>
      </c>
      <c r="B764" s="83">
        <v>0.4</v>
      </c>
      <c r="C764" s="83" t="s">
        <v>242</v>
      </c>
      <c r="D764" s="83">
        <v>107</v>
      </c>
      <c r="E764" s="83" t="s">
        <v>995</v>
      </c>
    </row>
    <row r="765" spans="1:5" ht="12.75">
      <c r="A765" s="82" t="s">
        <v>1021</v>
      </c>
      <c r="B765" s="83">
        <v>0.6</v>
      </c>
      <c r="C765" s="83" t="s">
        <v>242</v>
      </c>
      <c r="D765" s="83">
        <v>107</v>
      </c>
      <c r="E765" s="83" t="s">
        <v>995</v>
      </c>
    </row>
    <row r="766" spans="1:5" ht="12.75">
      <c r="A766" s="82" t="s">
        <v>1022</v>
      </c>
      <c r="B766" s="83">
        <v>0.8</v>
      </c>
      <c r="C766" s="83" t="s">
        <v>242</v>
      </c>
      <c r="D766" s="83">
        <v>107</v>
      </c>
      <c r="E766" s="83" t="s">
        <v>995</v>
      </c>
    </row>
    <row r="767" spans="1:5" ht="12.75">
      <c r="A767" s="82" t="s">
        <v>1023</v>
      </c>
      <c r="B767" s="83">
        <v>1</v>
      </c>
      <c r="C767" s="83" t="s">
        <v>242</v>
      </c>
      <c r="D767" s="83">
        <v>107</v>
      </c>
      <c r="E767" s="83" t="s">
        <v>995</v>
      </c>
    </row>
    <row r="768" spans="1:5" ht="12.75">
      <c r="A768" s="82" t="s">
        <v>1024</v>
      </c>
      <c r="B768" s="83">
        <v>0.3</v>
      </c>
      <c r="C768" s="83" t="s">
        <v>242</v>
      </c>
      <c r="D768" s="83">
        <v>107</v>
      </c>
      <c r="E768" s="83" t="s">
        <v>995</v>
      </c>
    </row>
    <row r="769" spans="1:5" ht="12.75">
      <c r="A769" s="82" t="s">
        <v>1025</v>
      </c>
      <c r="B769" s="83">
        <v>3</v>
      </c>
      <c r="C769" s="83" t="s">
        <v>242</v>
      </c>
      <c r="D769" s="83">
        <v>107</v>
      </c>
      <c r="E769" s="83" t="s">
        <v>995</v>
      </c>
    </row>
    <row r="770" spans="1:5" ht="12.75">
      <c r="A770" s="82" t="s">
        <v>1026</v>
      </c>
      <c r="B770" s="83">
        <v>0.06</v>
      </c>
      <c r="C770" s="83" t="s">
        <v>242</v>
      </c>
      <c r="D770" s="83">
        <v>107</v>
      </c>
      <c r="E770" s="83" t="s">
        <v>995</v>
      </c>
    </row>
    <row r="771" spans="1:5" ht="12.75">
      <c r="A771" s="82" t="s">
        <v>1027</v>
      </c>
      <c r="B771" s="83">
        <v>0.4</v>
      </c>
      <c r="C771" s="83" t="s">
        <v>242</v>
      </c>
      <c r="D771" s="83">
        <v>107</v>
      </c>
      <c r="E771" s="83" t="s">
        <v>995</v>
      </c>
    </row>
    <row r="772" spans="1:5" ht="12.75">
      <c r="A772" s="82" t="s">
        <v>1028</v>
      </c>
      <c r="B772" s="83">
        <v>1.5</v>
      </c>
      <c r="C772" s="83" t="s">
        <v>242</v>
      </c>
      <c r="D772" s="83">
        <v>107</v>
      </c>
      <c r="E772" s="83" t="s">
        <v>995</v>
      </c>
    </row>
    <row r="773" spans="1:5" ht="12.75">
      <c r="A773" s="82" t="s">
        <v>1029</v>
      </c>
      <c r="B773" s="83">
        <v>0.5</v>
      </c>
      <c r="C773" s="83" t="s">
        <v>242</v>
      </c>
      <c r="D773" s="83">
        <v>107</v>
      </c>
      <c r="E773" s="83" t="s">
        <v>995</v>
      </c>
    </row>
    <row r="774" spans="1:5" ht="12.75">
      <c r="A774" s="82" t="s">
        <v>1030</v>
      </c>
      <c r="B774" s="83">
        <v>0.01</v>
      </c>
      <c r="C774" s="83" t="s">
        <v>242</v>
      </c>
      <c r="D774" s="83">
        <v>107</v>
      </c>
      <c r="E774" s="83" t="s">
        <v>995</v>
      </c>
    </row>
    <row r="775" spans="1:5" ht="12.75">
      <c r="A775" s="82" t="s">
        <v>1031</v>
      </c>
      <c r="B775" s="83">
        <v>0.01</v>
      </c>
      <c r="C775" s="83" t="s">
        <v>242</v>
      </c>
      <c r="D775" s="83">
        <v>107</v>
      </c>
      <c r="E775" s="83" t="s">
        <v>995</v>
      </c>
    </row>
    <row r="776" spans="1:5" ht="12.75">
      <c r="A776" s="82" t="s">
        <v>1032</v>
      </c>
      <c r="B776" s="83">
        <v>0.01</v>
      </c>
      <c r="C776" s="83" t="s">
        <v>242</v>
      </c>
      <c r="D776" s="83">
        <v>107</v>
      </c>
      <c r="E776" s="83" t="s">
        <v>995</v>
      </c>
    </row>
    <row r="777" spans="1:5" ht="12.75">
      <c r="A777" s="82" t="s">
        <v>1033</v>
      </c>
      <c r="B777" s="83">
        <v>1</v>
      </c>
      <c r="C777" s="83" t="s">
        <v>242</v>
      </c>
      <c r="D777" s="83">
        <v>108</v>
      </c>
      <c r="E777" s="83" t="s">
        <v>1034</v>
      </c>
    </row>
    <row r="778" spans="1:5" ht="12.75">
      <c r="A778" s="82" t="s">
        <v>1035</v>
      </c>
      <c r="B778" s="83">
        <v>0.1</v>
      </c>
      <c r="C778" s="83" t="s">
        <v>242</v>
      </c>
      <c r="D778" s="83">
        <v>108</v>
      </c>
      <c r="E778" s="83" t="s">
        <v>1034</v>
      </c>
    </row>
    <row r="779" spans="1:5" ht="12.75">
      <c r="A779" s="82" t="s">
        <v>1036</v>
      </c>
      <c r="B779" s="83">
        <v>0.2</v>
      </c>
      <c r="C779" s="83" t="s">
        <v>242</v>
      </c>
      <c r="D779" s="83">
        <v>108</v>
      </c>
      <c r="E779" s="83" t="s">
        <v>1034</v>
      </c>
    </row>
    <row r="780" spans="1:5" ht="12.75">
      <c r="A780" s="82" t="s">
        <v>1037</v>
      </c>
      <c r="B780" s="83">
        <v>2</v>
      </c>
      <c r="C780" s="83" t="s">
        <v>242</v>
      </c>
      <c r="D780" s="83">
        <v>108</v>
      </c>
      <c r="E780" s="83" t="s">
        <v>1034</v>
      </c>
    </row>
    <row r="781" spans="1:5" ht="12.75">
      <c r="A781" s="82" t="s">
        <v>1038</v>
      </c>
      <c r="B781" s="83">
        <v>2</v>
      </c>
      <c r="C781" s="83" t="s">
        <v>242</v>
      </c>
      <c r="D781" s="83">
        <v>108</v>
      </c>
      <c r="E781" s="83" t="s">
        <v>1034</v>
      </c>
    </row>
    <row r="782" spans="1:5" ht="12.75">
      <c r="A782" s="82" t="s">
        <v>1039</v>
      </c>
      <c r="B782" s="83">
        <v>2</v>
      </c>
      <c r="C782" s="83" t="s">
        <v>242</v>
      </c>
      <c r="D782" s="83">
        <v>109</v>
      </c>
      <c r="E782" s="83" t="s">
        <v>1034</v>
      </c>
    </row>
    <row r="783" spans="1:5" ht="12.75">
      <c r="A783" s="82" t="s">
        <v>1040</v>
      </c>
      <c r="B783" s="83">
        <v>15</v>
      </c>
      <c r="C783" s="83" t="s">
        <v>242</v>
      </c>
      <c r="D783" s="83">
        <v>109</v>
      </c>
      <c r="E783" s="83" t="s">
        <v>1034</v>
      </c>
    </row>
    <row r="784" spans="1:5" ht="12.75">
      <c r="A784" s="82" t="s">
        <v>1041</v>
      </c>
      <c r="B784" s="83">
        <v>0.3</v>
      </c>
      <c r="C784" s="83" t="s">
        <v>242</v>
      </c>
      <c r="D784" s="83">
        <v>109</v>
      </c>
      <c r="E784" s="83" t="s">
        <v>1034</v>
      </c>
    </row>
    <row r="785" spans="1:5" ht="12.75">
      <c r="A785" s="82" t="s">
        <v>1042</v>
      </c>
      <c r="B785" s="83">
        <v>2</v>
      </c>
      <c r="C785" s="83" t="s">
        <v>242</v>
      </c>
      <c r="D785" s="83">
        <v>110</v>
      </c>
      <c r="E785" s="83" t="s">
        <v>1034</v>
      </c>
    </row>
    <row r="786" spans="1:5" ht="12.75">
      <c r="A786" s="82" t="s">
        <v>1043</v>
      </c>
      <c r="B786" s="83">
        <v>50</v>
      </c>
      <c r="C786" s="83" t="s">
        <v>242</v>
      </c>
      <c r="D786" s="83">
        <v>110</v>
      </c>
      <c r="E786" s="83" t="s">
        <v>1034</v>
      </c>
    </row>
    <row r="787" spans="1:5" ht="12.75">
      <c r="A787" s="82" t="s">
        <v>1044</v>
      </c>
      <c r="B787" s="83">
        <v>2</v>
      </c>
      <c r="C787" s="83" t="s">
        <v>242</v>
      </c>
      <c r="D787" s="83">
        <v>110</v>
      </c>
      <c r="E787" s="83" t="s">
        <v>1034</v>
      </c>
    </row>
    <row r="788" spans="1:5" ht="12.75">
      <c r="A788" s="82" t="s">
        <v>1045</v>
      </c>
      <c r="B788" s="83">
        <v>2</v>
      </c>
      <c r="C788" s="83" t="s">
        <v>242</v>
      </c>
      <c r="D788" s="83">
        <v>110</v>
      </c>
      <c r="E788" s="83" t="s">
        <v>1034</v>
      </c>
    </row>
    <row r="789" spans="1:5" ht="12.75">
      <c r="A789" s="82" t="s">
        <v>1046</v>
      </c>
      <c r="B789" s="83">
        <v>2</v>
      </c>
      <c r="C789" s="83" t="s">
        <v>242</v>
      </c>
      <c r="D789" s="83">
        <v>111</v>
      </c>
      <c r="E789" s="83" t="s">
        <v>1034</v>
      </c>
    </row>
    <row r="790" spans="1:5" ht="12.75">
      <c r="A790" s="82" t="s">
        <v>1047</v>
      </c>
      <c r="B790" s="83">
        <v>5</v>
      </c>
      <c r="C790" s="83" t="s">
        <v>242</v>
      </c>
      <c r="D790" s="83">
        <v>111</v>
      </c>
      <c r="E790" s="83" t="s">
        <v>1034</v>
      </c>
    </row>
    <row r="791" spans="1:5" ht="12.75">
      <c r="A791" s="82" t="s">
        <v>1048</v>
      </c>
      <c r="B791" s="83">
        <v>4</v>
      </c>
      <c r="C791" s="83" t="s">
        <v>242</v>
      </c>
      <c r="D791" s="83">
        <v>111</v>
      </c>
      <c r="E791" s="83" t="s">
        <v>1034</v>
      </c>
    </row>
    <row r="792" spans="1:5" ht="12.75">
      <c r="A792" s="82" t="s">
        <v>1049</v>
      </c>
      <c r="B792" s="83">
        <v>0.5</v>
      </c>
      <c r="C792" s="83" t="s">
        <v>242</v>
      </c>
      <c r="D792" s="83">
        <v>112</v>
      </c>
      <c r="E792" s="83" t="s">
        <v>1034</v>
      </c>
    </row>
    <row r="793" spans="1:5" ht="12.75">
      <c r="A793" s="82" t="s">
        <v>1050</v>
      </c>
      <c r="B793" s="83">
        <v>2</v>
      </c>
      <c r="C793" s="83" t="s">
        <v>242</v>
      </c>
      <c r="D793" s="83">
        <v>112</v>
      </c>
      <c r="E793" s="83" t="s">
        <v>1034</v>
      </c>
    </row>
    <row r="794" spans="1:5" ht="12.75">
      <c r="A794" s="82" t="s">
        <v>1051</v>
      </c>
      <c r="B794" s="83">
        <v>20</v>
      </c>
      <c r="C794" s="83" t="s">
        <v>242</v>
      </c>
      <c r="D794" s="83">
        <v>112</v>
      </c>
      <c r="E794" s="83" t="s">
        <v>1034</v>
      </c>
    </row>
    <row r="795" spans="1:5" ht="12.75">
      <c r="A795" s="82" t="s">
        <v>1052</v>
      </c>
      <c r="B795" s="83">
        <v>15</v>
      </c>
      <c r="C795" s="83" t="s">
        <v>242</v>
      </c>
      <c r="D795" s="83">
        <v>112</v>
      </c>
      <c r="E795" s="83" t="s">
        <v>1034</v>
      </c>
    </row>
    <row r="796" spans="1:5" ht="12.75">
      <c r="A796" s="82" t="s">
        <v>1053</v>
      </c>
      <c r="B796" s="83">
        <v>25</v>
      </c>
      <c r="C796" s="83" t="s">
        <v>242</v>
      </c>
      <c r="D796" s="83">
        <v>112</v>
      </c>
      <c r="E796" s="83" t="s">
        <v>1034</v>
      </c>
    </row>
    <row r="797" spans="1:5" ht="12.75">
      <c r="A797" s="82" t="s">
        <v>1054</v>
      </c>
      <c r="B797" s="83">
        <v>0.3</v>
      </c>
      <c r="C797" s="83" t="s">
        <v>242</v>
      </c>
      <c r="D797" s="83">
        <v>113</v>
      </c>
      <c r="E797" s="83" t="s">
        <v>1034</v>
      </c>
    </row>
    <row r="798" spans="1:5" ht="12.75">
      <c r="A798" s="82" t="s">
        <v>1055</v>
      </c>
      <c r="B798" s="83">
        <v>0.4</v>
      </c>
      <c r="C798" s="83" t="s">
        <v>242</v>
      </c>
      <c r="D798" s="83">
        <v>113</v>
      </c>
      <c r="E798" s="83" t="s">
        <v>1034</v>
      </c>
    </row>
    <row r="799" spans="1:5" ht="12.75">
      <c r="A799" s="82" t="s">
        <v>1056</v>
      </c>
      <c r="B799" s="83">
        <v>5</v>
      </c>
      <c r="C799" s="83" t="s">
        <v>242</v>
      </c>
      <c r="D799" s="83">
        <v>113</v>
      </c>
      <c r="E799" s="83" t="s">
        <v>1034</v>
      </c>
    </row>
    <row r="800" spans="1:5" ht="12.75">
      <c r="A800" s="82" t="s">
        <v>1057</v>
      </c>
      <c r="B800" s="83">
        <v>7</v>
      </c>
      <c r="C800" s="83" t="s">
        <v>242</v>
      </c>
      <c r="D800" s="83">
        <v>113</v>
      </c>
      <c r="E800" s="83" t="s">
        <v>1034</v>
      </c>
    </row>
    <row r="801" spans="1:5" ht="12.75">
      <c r="A801" s="82" t="s">
        <v>1058</v>
      </c>
      <c r="B801" s="83">
        <v>0.2</v>
      </c>
      <c r="C801" s="83" t="s">
        <v>242</v>
      </c>
      <c r="D801" s="83">
        <v>114</v>
      </c>
      <c r="E801" s="83" t="s">
        <v>1034</v>
      </c>
    </row>
    <row r="802" spans="1:5" ht="12.75">
      <c r="A802" s="82" t="s">
        <v>1059</v>
      </c>
      <c r="B802" s="83">
        <v>4</v>
      </c>
      <c r="C802" s="83" t="s">
        <v>242</v>
      </c>
      <c r="D802" s="83">
        <v>114</v>
      </c>
      <c r="E802" s="83" t="s">
        <v>1034</v>
      </c>
    </row>
    <row r="803" spans="1:5" ht="12.75">
      <c r="A803" s="82" t="s">
        <v>1060</v>
      </c>
      <c r="B803" s="83">
        <v>5</v>
      </c>
      <c r="C803" s="83" t="s">
        <v>242</v>
      </c>
      <c r="D803" s="83">
        <v>114</v>
      </c>
      <c r="E803" s="83" t="s">
        <v>1034</v>
      </c>
    </row>
    <row r="804" spans="1:5" ht="12.75">
      <c r="A804" s="82" t="s">
        <v>1061</v>
      </c>
      <c r="B804" s="83">
        <v>0.3</v>
      </c>
      <c r="C804" s="83" t="s">
        <v>242</v>
      </c>
      <c r="D804" s="83">
        <v>114</v>
      </c>
      <c r="E804" s="83" t="s">
        <v>1034</v>
      </c>
    </row>
    <row r="805" spans="1:5" ht="12.75">
      <c r="A805" s="82" t="s">
        <v>1062</v>
      </c>
      <c r="B805" s="83" t="s">
        <v>320</v>
      </c>
      <c r="C805" s="83" t="s">
        <v>242</v>
      </c>
      <c r="D805" s="83">
        <v>115</v>
      </c>
      <c r="E805" s="83" t="s">
        <v>1063</v>
      </c>
    </row>
    <row r="806" spans="1:5" ht="12.75">
      <c r="A806" s="82" t="s">
        <v>1064</v>
      </c>
      <c r="B806" s="83">
        <v>1</v>
      </c>
      <c r="C806" s="83" t="s">
        <v>242</v>
      </c>
      <c r="D806" s="83">
        <v>119</v>
      </c>
      <c r="E806" s="83" t="s">
        <v>1065</v>
      </c>
    </row>
    <row r="807" spans="1:5" ht="12.75">
      <c r="A807" s="82" t="s">
        <v>1066</v>
      </c>
      <c r="B807" s="83">
        <v>0.5</v>
      </c>
      <c r="C807" s="83" t="s">
        <v>242</v>
      </c>
      <c r="D807" s="83">
        <v>119</v>
      </c>
      <c r="E807" s="83" t="s">
        <v>1065</v>
      </c>
    </row>
    <row r="808" spans="1:5" ht="12.75">
      <c r="A808" s="82" t="s">
        <v>1067</v>
      </c>
      <c r="B808" s="83">
        <v>2</v>
      </c>
      <c r="C808" s="83" t="s">
        <v>242</v>
      </c>
      <c r="D808" s="83">
        <v>119</v>
      </c>
      <c r="E808" s="83" t="s">
        <v>1065</v>
      </c>
    </row>
    <row r="809" spans="1:5" ht="12.75">
      <c r="A809" s="82" t="s">
        <v>1068</v>
      </c>
      <c r="B809" s="83">
        <v>10</v>
      </c>
      <c r="C809" s="83" t="s">
        <v>242</v>
      </c>
      <c r="D809" s="83">
        <v>119</v>
      </c>
      <c r="E809" s="83" t="s">
        <v>1065</v>
      </c>
    </row>
    <row r="810" spans="1:5" ht="12.75">
      <c r="A810" s="82" t="s">
        <v>1069</v>
      </c>
      <c r="B810" s="83">
        <v>1</v>
      </c>
      <c r="C810" s="83" t="s">
        <v>242</v>
      </c>
      <c r="D810" s="83">
        <v>120</v>
      </c>
      <c r="E810" s="83" t="s">
        <v>1065</v>
      </c>
    </row>
    <row r="811" spans="1:5" ht="12.75">
      <c r="A811" s="82" t="s">
        <v>1070</v>
      </c>
      <c r="B811" s="83">
        <v>0.1</v>
      </c>
      <c r="C811" s="83" t="s">
        <v>242</v>
      </c>
      <c r="D811" s="83">
        <v>120</v>
      </c>
      <c r="E811" s="83" t="s">
        <v>1065</v>
      </c>
    </row>
    <row r="812" spans="1:5" ht="12.75">
      <c r="A812" s="82" t="s">
        <v>1071</v>
      </c>
      <c r="B812" s="83">
        <v>15</v>
      </c>
      <c r="C812" s="83" t="s">
        <v>242</v>
      </c>
      <c r="D812" s="83">
        <v>120</v>
      </c>
      <c r="E812" s="83" t="s">
        <v>1065</v>
      </c>
    </row>
    <row r="813" spans="1:5" ht="12.75">
      <c r="A813" s="82" t="s">
        <v>1072</v>
      </c>
      <c r="B813" s="83">
        <v>1.5</v>
      </c>
      <c r="C813" s="83" t="s">
        <v>242</v>
      </c>
      <c r="D813" s="83">
        <v>121</v>
      </c>
      <c r="E813" s="83" t="s">
        <v>1065</v>
      </c>
    </row>
    <row r="814" spans="1:5" ht="12.75">
      <c r="A814" s="82" t="s">
        <v>1073</v>
      </c>
      <c r="B814" s="83">
        <v>1.5</v>
      </c>
      <c r="C814" s="83" t="s">
        <v>242</v>
      </c>
      <c r="D814" s="83">
        <v>121</v>
      </c>
      <c r="E814" s="83" t="s">
        <v>1065</v>
      </c>
    </row>
    <row r="815" spans="1:5" ht="12.75">
      <c r="A815" s="82" t="s">
        <v>1074</v>
      </c>
      <c r="B815" s="83">
        <v>25</v>
      </c>
      <c r="C815" s="83" t="s">
        <v>242</v>
      </c>
      <c r="D815" s="83">
        <v>121</v>
      </c>
      <c r="E815" s="83" t="s">
        <v>1065</v>
      </c>
    </row>
    <row r="816" spans="1:5" ht="12.75">
      <c r="A816" s="82" t="s">
        <v>1075</v>
      </c>
      <c r="B816" s="83">
        <v>0.4</v>
      </c>
      <c r="C816" s="83" t="s">
        <v>242</v>
      </c>
      <c r="D816" s="83">
        <v>122</v>
      </c>
      <c r="E816" s="83" t="s">
        <v>1076</v>
      </c>
    </row>
    <row r="817" spans="1:5" ht="12.75">
      <c r="A817" s="82" t="s">
        <v>1077</v>
      </c>
      <c r="B817" s="83">
        <v>35</v>
      </c>
      <c r="C817" s="83" t="s">
        <v>242</v>
      </c>
      <c r="D817" s="83">
        <v>122</v>
      </c>
      <c r="E817" s="83" t="s">
        <v>1076</v>
      </c>
    </row>
    <row r="818" spans="1:5" ht="12.75">
      <c r="A818" s="82" t="s">
        <v>1078</v>
      </c>
      <c r="B818" s="83">
        <v>0.6</v>
      </c>
      <c r="C818" s="83" t="s">
        <v>242</v>
      </c>
      <c r="D818" s="83">
        <v>122</v>
      </c>
      <c r="E818" s="83" t="s">
        <v>1076</v>
      </c>
    </row>
    <row r="819" spans="1:5" ht="12.75">
      <c r="A819" s="82" t="s">
        <v>1079</v>
      </c>
      <c r="B819" s="83">
        <v>55</v>
      </c>
      <c r="C819" s="83" t="s">
        <v>242</v>
      </c>
      <c r="D819" s="83">
        <v>122</v>
      </c>
      <c r="E819" s="83" t="s">
        <v>1076</v>
      </c>
    </row>
    <row r="820" spans="1:5" ht="12.75">
      <c r="A820" s="82" t="s">
        <v>1080</v>
      </c>
      <c r="B820" s="83">
        <v>5</v>
      </c>
      <c r="C820" s="83" t="s">
        <v>242</v>
      </c>
      <c r="D820" s="83">
        <v>122</v>
      </c>
      <c r="E820" s="83" t="s">
        <v>1076</v>
      </c>
    </row>
    <row r="821" spans="1:5" ht="12.75">
      <c r="A821" s="82" t="s">
        <v>1081</v>
      </c>
      <c r="B821" s="83">
        <v>0.5</v>
      </c>
      <c r="C821" s="83" t="s">
        <v>242</v>
      </c>
      <c r="D821" s="83">
        <v>122</v>
      </c>
      <c r="E821" s="83" t="s">
        <v>1076</v>
      </c>
    </row>
    <row r="822" spans="1:5" ht="12.75">
      <c r="A822" s="82" t="s">
        <v>1082</v>
      </c>
      <c r="B822" s="83">
        <v>20</v>
      </c>
      <c r="C822" s="83" t="s">
        <v>242</v>
      </c>
      <c r="D822" s="83">
        <v>123</v>
      </c>
      <c r="E822" s="83" t="s">
        <v>1076</v>
      </c>
    </row>
    <row r="823" spans="1:5" ht="12.75">
      <c r="A823" s="82" t="s">
        <v>1083</v>
      </c>
      <c r="B823" s="83">
        <v>0.6</v>
      </c>
      <c r="C823" s="83" t="s">
        <v>242</v>
      </c>
      <c r="D823" s="83">
        <v>123</v>
      </c>
      <c r="E823" s="83" t="s">
        <v>1076</v>
      </c>
    </row>
    <row r="824" spans="1:5" ht="12.75">
      <c r="A824" s="82" t="s">
        <v>1084</v>
      </c>
      <c r="B824" s="83">
        <v>0.3</v>
      </c>
      <c r="C824" s="83" t="s">
        <v>242</v>
      </c>
      <c r="D824" s="83">
        <v>123</v>
      </c>
      <c r="E824" s="83" t="s">
        <v>1076</v>
      </c>
    </row>
    <row r="825" spans="1:5" ht="12.75">
      <c r="A825" s="82" t="s">
        <v>1085</v>
      </c>
      <c r="B825" s="83">
        <v>0.4</v>
      </c>
      <c r="C825" s="83" t="s">
        <v>242</v>
      </c>
      <c r="D825" s="83">
        <v>123</v>
      </c>
      <c r="E825" s="83" t="s">
        <v>1076</v>
      </c>
    </row>
    <row r="826" spans="1:5" ht="12.75">
      <c r="A826" s="82" t="s">
        <v>1086</v>
      </c>
      <c r="B826" s="83">
        <v>40</v>
      </c>
      <c r="C826" s="83" t="s">
        <v>242</v>
      </c>
      <c r="D826" s="83">
        <v>123</v>
      </c>
      <c r="E826" s="83" t="s">
        <v>1076</v>
      </c>
    </row>
    <row r="827" spans="1:5" ht="12.75">
      <c r="A827" s="82" t="s">
        <v>1087</v>
      </c>
      <c r="B827" s="83">
        <v>2</v>
      </c>
      <c r="C827" s="83" t="s">
        <v>242</v>
      </c>
      <c r="D827" s="83">
        <v>124</v>
      </c>
      <c r="E827" s="83" t="s">
        <v>1076</v>
      </c>
    </row>
    <row r="828" spans="1:5" ht="12.75">
      <c r="A828" s="82" t="s">
        <v>1088</v>
      </c>
      <c r="B828" s="83">
        <v>1</v>
      </c>
      <c r="C828" s="83" t="s">
        <v>242</v>
      </c>
      <c r="D828" s="83">
        <v>124</v>
      </c>
      <c r="E828" s="83" t="s">
        <v>1076</v>
      </c>
    </row>
    <row r="829" spans="1:5" ht="12.75">
      <c r="A829" s="82" t="s">
        <v>1089</v>
      </c>
      <c r="B829" s="83">
        <v>50</v>
      </c>
      <c r="C829" s="83" t="s">
        <v>242</v>
      </c>
      <c r="D829" s="83">
        <v>124</v>
      </c>
      <c r="E829" s="83" t="s">
        <v>1076</v>
      </c>
    </row>
    <row r="830" spans="1:5" ht="12.75">
      <c r="A830" s="82" t="s">
        <v>1090</v>
      </c>
      <c r="B830" s="83">
        <v>0.5</v>
      </c>
      <c r="C830" s="83" t="s">
        <v>242</v>
      </c>
      <c r="D830" s="83">
        <v>124</v>
      </c>
      <c r="E830" s="83" t="s">
        <v>1076</v>
      </c>
    </row>
    <row r="831" spans="1:5" ht="12.75">
      <c r="A831" s="82" t="s">
        <v>1091</v>
      </c>
      <c r="B831" s="83">
        <v>45</v>
      </c>
      <c r="C831" s="83" t="s">
        <v>242</v>
      </c>
      <c r="D831" s="83">
        <v>124</v>
      </c>
      <c r="E831" s="83" t="s">
        <v>1076</v>
      </c>
    </row>
    <row r="832" spans="1:5" ht="12.75">
      <c r="A832" s="82" t="s">
        <v>1092</v>
      </c>
      <c r="B832" s="83">
        <v>0.4</v>
      </c>
      <c r="C832" s="83" t="s">
        <v>242</v>
      </c>
      <c r="D832" s="83">
        <v>125</v>
      </c>
      <c r="E832" s="83" t="s">
        <v>1076</v>
      </c>
    </row>
    <row r="833" spans="1:5" ht="12.75">
      <c r="A833" s="82" t="s">
        <v>1093</v>
      </c>
      <c r="B833" s="83">
        <v>35</v>
      </c>
      <c r="C833" s="83" t="s">
        <v>242</v>
      </c>
      <c r="D833" s="83">
        <v>125</v>
      </c>
      <c r="E833" s="83" t="s">
        <v>1076</v>
      </c>
    </row>
    <row r="834" spans="1:5" ht="12.75">
      <c r="A834" s="82" t="s">
        <v>1094</v>
      </c>
      <c r="B834" s="83">
        <v>0.6</v>
      </c>
      <c r="C834" s="83" t="s">
        <v>242</v>
      </c>
      <c r="D834" s="83">
        <v>125</v>
      </c>
      <c r="E834" s="83" t="s">
        <v>1076</v>
      </c>
    </row>
    <row r="835" spans="1:5" ht="12.75">
      <c r="A835" s="82" t="s">
        <v>1095</v>
      </c>
      <c r="B835" s="83">
        <v>0.4</v>
      </c>
      <c r="C835" s="83" t="s">
        <v>242</v>
      </c>
      <c r="D835" s="83">
        <v>125</v>
      </c>
      <c r="E835" s="83" t="s">
        <v>1076</v>
      </c>
    </row>
    <row r="836" spans="1:5" ht="12.75">
      <c r="A836" s="82" t="s">
        <v>1096</v>
      </c>
      <c r="B836" s="83">
        <v>35</v>
      </c>
      <c r="C836" s="83" t="s">
        <v>242</v>
      </c>
      <c r="D836" s="83">
        <v>125</v>
      </c>
      <c r="E836" s="83" t="s">
        <v>1076</v>
      </c>
    </row>
    <row r="837" spans="1:5" ht="12.75">
      <c r="A837" s="82" t="s">
        <v>1097</v>
      </c>
      <c r="B837" s="83">
        <v>0.4</v>
      </c>
      <c r="C837" s="83" t="s">
        <v>242</v>
      </c>
      <c r="D837" s="83">
        <v>125</v>
      </c>
      <c r="E837" s="83" t="s">
        <v>1076</v>
      </c>
    </row>
    <row r="838" spans="1:5" ht="12.75">
      <c r="A838" s="82" t="s">
        <v>1098</v>
      </c>
      <c r="B838" s="83">
        <v>35</v>
      </c>
      <c r="C838" s="83" t="s">
        <v>242</v>
      </c>
      <c r="D838" s="83">
        <v>125</v>
      </c>
      <c r="E838" s="83" t="s">
        <v>1076</v>
      </c>
    </row>
    <row r="839" spans="1:5" ht="12.75">
      <c r="A839" s="82" t="s">
        <v>1099</v>
      </c>
      <c r="B839" s="83">
        <v>5</v>
      </c>
      <c r="C839" s="83" t="s">
        <v>242</v>
      </c>
      <c r="D839" s="83">
        <v>127</v>
      </c>
      <c r="E839" s="83" t="s">
        <v>1100</v>
      </c>
    </row>
    <row r="840" spans="1:5" ht="12.75">
      <c r="A840" s="82" t="s">
        <v>1101</v>
      </c>
      <c r="B840" s="83">
        <v>2</v>
      </c>
      <c r="C840" s="83" t="s">
        <v>242</v>
      </c>
      <c r="D840" s="83">
        <v>127</v>
      </c>
      <c r="E840" s="83" t="s">
        <v>1100</v>
      </c>
    </row>
    <row r="841" spans="1:5" ht="12.75">
      <c r="A841" s="82" t="s">
        <v>1102</v>
      </c>
      <c r="B841" s="83">
        <v>2</v>
      </c>
      <c r="C841" s="83" t="s">
        <v>242</v>
      </c>
      <c r="D841" s="83">
        <v>127</v>
      </c>
      <c r="E841" s="83" t="s">
        <v>1100</v>
      </c>
    </row>
    <row r="842" spans="1:5" ht="12.75">
      <c r="A842" s="82" t="s">
        <v>1103</v>
      </c>
      <c r="B842" s="83">
        <v>2.5</v>
      </c>
      <c r="C842" s="83" t="s">
        <v>242</v>
      </c>
      <c r="D842" s="83">
        <v>127</v>
      </c>
      <c r="E842" s="83" t="s">
        <v>1100</v>
      </c>
    </row>
    <row r="843" spans="1:5" ht="12.75">
      <c r="A843" s="82" t="s">
        <v>1104</v>
      </c>
      <c r="B843" s="83">
        <v>1.2</v>
      </c>
      <c r="C843" s="83" t="s">
        <v>242</v>
      </c>
      <c r="D843" s="83">
        <v>128</v>
      </c>
      <c r="E843" s="83" t="s">
        <v>1100</v>
      </c>
    </row>
    <row r="844" spans="1:5" ht="12.75">
      <c r="A844" s="82" t="s">
        <v>1105</v>
      </c>
      <c r="B844" s="83">
        <v>5</v>
      </c>
      <c r="C844" s="83" t="s">
        <v>242</v>
      </c>
      <c r="D844" s="83">
        <v>128</v>
      </c>
      <c r="E844" s="83" t="s">
        <v>1100</v>
      </c>
    </row>
    <row r="845" spans="1:5" ht="12.75">
      <c r="A845" s="82" t="s">
        <v>1106</v>
      </c>
      <c r="B845" s="83">
        <v>3</v>
      </c>
      <c r="C845" s="83" t="s">
        <v>242</v>
      </c>
      <c r="D845" s="83">
        <v>128</v>
      </c>
      <c r="E845" s="83" t="s">
        <v>1100</v>
      </c>
    </row>
    <row r="846" spans="1:5" ht="12.75">
      <c r="A846" s="82" t="s">
        <v>1107</v>
      </c>
      <c r="B846" s="83">
        <v>3.5</v>
      </c>
      <c r="C846" s="83" t="s">
        <v>242</v>
      </c>
      <c r="D846" s="83">
        <v>128</v>
      </c>
      <c r="E846" s="83" t="s">
        <v>1100</v>
      </c>
    </row>
    <row r="847" spans="1:5" ht="12.75">
      <c r="A847" s="82" t="s">
        <v>1108</v>
      </c>
      <c r="B847" s="83">
        <v>5</v>
      </c>
      <c r="C847" s="83" t="s">
        <v>242</v>
      </c>
      <c r="D847" s="83">
        <v>128</v>
      </c>
      <c r="E847" s="83" t="s">
        <v>1100</v>
      </c>
    </row>
    <row r="848" spans="1:5" ht="12.75">
      <c r="A848" s="82" t="s">
        <v>1109</v>
      </c>
      <c r="B848" s="83">
        <v>6</v>
      </c>
      <c r="C848" s="83" t="s">
        <v>242</v>
      </c>
      <c r="D848" s="83">
        <v>129</v>
      </c>
      <c r="E848" s="83" t="s">
        <v>1100</v>
      </c>
    </row>
    <row r="849" spans="1:5" ht="12.75">
      <c r="A849" s="82" t="s">
        <v>1110</v>
      </c>
      <c r="B849" s="83">
        <v>1</v>
      </c>
      <c r="C849" s="83" t="s">
        <v>242</v>
      </c>
      <c r="D849" s="83">
        <v>129</v>
      </c>
      <c r="E849" s="83" t="s">
        <v>1100</v>
      </c>
    </row>
    <row r="850" spans="1:5" ht="12.75">
      <c r="A850" s="82" t="s">
        <v>1111</v>
      </c>
      <c r="B850" s="83">
        <v>5</v>
      </c>
      <c r="C850" s="83" t="s">
        <v>242</v>
      </c>
      <c r="D850" s="83">
        <v>129</v>
      </c>
      <c r="E850" s="83" t="s">
        <v>1100</v>
      </c>
    </row>
    <row r="851" spans="1:5" ht="12.75">
      <c r="A851" s="82" t="s">
        <v>1112</v>
      </c>
      <c r="B851" s="83">
        <v>7</v>
      </c>
      <c r="C851" s="83" t="s">
        <v>242</v>
      </c>
      <c r="D851" s="83">
        <v>129</v>
      </c>
      <c r="E851" s="83" t="s">
        <v>1100</v>
      </c>
    </row>
    <row r="852" spans="1:5" ht="12.75">
      <c r="A852" s="82" t="s">
        <v>1113</v>
      </c>
      <c r="B852" s="83">
        <v>6</v>
      </c>
      <c r="C852" s="83" t="s">
        <v>242</v>
      </c>
      <c r="D852" s="83">
        <v>129</v>
      </c>
      <c r="E852" s="83" t="s">
        <v>1100</v>
      </c>
    </row>
    <row r="853" spans="1:5" ht="12.75">
      <c r="A853" s="82" t="s">
        <v>1114</v>
      </c>
      <c r="B853" s="83">
        <v>60</v>
      </c>
      <c r="C853" s="83" t="s">
        <v>242</v>
      </c>
      <c r="D853" s="83">
        <v>129</v>
      </c>
      <c r="E853" s="83" t="s">
        <v>1100</v>
      </c>
    </row>
    <row r="854" spans="1:5" ht="12.75">
      <c r="A854" s="82" t="s">
        <v>1115</v>
      </c>
      <c r="B854" s="83">
        <v>10</v>
      </c>
      <c r="C854" s="83" t="s">
        <v>242</v>
      </c>
      <c r="D854" s="83">
        <v>129</v>
      </c>
      <c r="E854" s="83" t="s">
        <v>1100</v>
      </c>
    </row>
    <row r="855" spans="1:5" ht="12.75">
      <c r="A855" s="82" t="s">
        <v>1116</v>
      </c>
      <c r="B855" s="83">
        <v>5</v>
      </c>
      <c r="C855" s="83" t="s">
        <v>242</v>
      </c>
      <c r="D855" s="83">
        <v>130</v>
      </c>
      <c r="E855" s="83" t="s">
        <v>1100</v>
      </c>
    </row>
    <row r="856" spans="1:5" ht="12.75">
      <c r="A856" s="82" t="s">
        <v>1117</v>
      </c>
      <c r="B856" s="83">
        <v>30</v>
      </c>
      <c r="C856" s="83" t="s">
        <v>242</v>
      </c>
      <c r="D856" s="83">
        <v>130</v>
      </c>
      <c r="E856" s="83" t="s">
        <v>1100</v>
      </c>
    </row>
    <row r="857" spans="1:5" ht="12.75">
      <c r="A857" s="82" t="s">
        <v>1118</v>
      </c>
      <c r="B857" s="83">
        <v>4.5999999999999996</v>
      </c>
      <c r="C857" s="83" t="s">
        <v>242</v>
      </c>
      <c r="D857" s="83">
        <v>130</v>
      </c>
      <c r="E857" s="83" t="s">
        <v>1100</v>
      </c>
    </row>
    <row r="858" spans="1:5" ht="12.75">
      <c r="A858" s="82" t="s">
        <v>1119</v>
      </c>
      <c r="B858" s="83">
        <v>20</v>
      </c>
      <c r="C858" s="83" t="s">
        <v>242</v>
      </c>
      <c r="D858" s="83">
        <v>130</v>
      </c>
      <c r="E858" s="83" t="s">
        <v>1100</v>
      </c>
    </row>
    <row r="859" spans="1:5" ht="12.75">
      <c r="A859" s="82" t="s">
        <v>1120</v>
      </c>
      <c r="B859" s="83">
        <v>8</v>
      </c>
      <c r="C859" s="83" t="s">
        <v>242</v>
      </c>
      <c r="D859" s="83">
        <v>130</v>
      </c>
      <c r="E859" s="83" t="s">
        <v>1100</v>
      </c>
    </row>
    <row r="860" spans="1:5" ht="12.75">
      <c r="A860" s="82" t="s">
        <v>1121</v>
      </c>
      <c r="B860" s="83">
        <v>7</v>
      </c>
      <c r="C860" s="83" t="s">
        <v>242</v>
      </c>
      <c r="D860" s="83">
        <v>130</v>
      </c>
      <c r="E860" s="83" t="s">
        <v>1100</v>
      </c>
    </row>
    <row r="861" spans="1:5" ht="12.75">
      <c r="A861" s="82" t="s">
        <v>1122</v>
      </c>
      <c r="B861" s="83">
        <v>5</v>
      </c>
      <c r="C861" s="83" t="s">
        <v>242</v>
      </c>
      <c r="D861" s="83">
        <v>130</v>
      </c>
      <c r="E861" s="83" t="s">
        <v>1100</v>
      </c>
    </row>
    <row r="862" spans="1:5" ht="12.75">
      <c r="A862" s="82" t="s">
        <v>1123</v>
      </c>
      <c r="B862" s="83">
        <v>8</v>
      </c>
      <c r="C862" s="83" t="s">
        <v>242</v>
      </c>
      <c r="D862" s="83">
        <v>130</v>
      </c>
      <c r="E862" s="83" t="s">
        <v>1100</v>
      </c>
    </row>
    <row r="863" spans="1:5" ht="12.75">
      <c r="A863" s="82" t="s">
        <v>1124</v>
      </c>
      <c r="B863" s="83">
        <v>3</v>
      </c>
      <c r="C863" s="83" t="s">
        <v>242</v>
      </c>
      <c r="D863" s="83">
        <v>131</v>
      </c>
      <c r="E863" s="83" t="s">
        <v>1100</v>
      </c>
    </row>
    <row r="864" spans="1:5" ht="12.75">
      <c r="A864" s="82" t="s">
        <v>1125</v>
      </c>
      <c r="B864" s="85">
        <v>43227</v>
      </c>
      <c r="C864" s="83" t="s">
        <v>242</v>
      </c>
      <c r="D864" s="83">
        <v>131</v>
      </c>
      <c r="E864" s="83" t="s">
        <v>1100</v>
      </c>
    </row>
    <row r="865" spans="1:5" ht="12.75">
      <c r="A865" s="82" t="s">
        <v>1126</v>
      </c>
      <c r="B865" s="83">
        <v>2.5</v>
      </c>
      <c r="C865" s="83" t="s">
        <v>242</v>
      </c>
      <c r="D865" s="83">
        <v>131</v>
      </c>
      <c r="E865" s="83" t="s">
        <v>1100</v>
      </c>
    </row>
    <row r="866" spans="1:5" ht="12.75">
      <c r="A866" s="82" t="s">
        <v>1127</v>
      </c>
      <c r="B866" s="83">
        <v>8</v>
      </c>
      <c r="C866" s="83" t="s">
        <v>242</v>
      </c>
      <c r="D866" s="83">
        <v>131</v>
      </c>
      <c r="E866" s="83" t="s">
        <v>1100</v>
      </c>
    </row>
    <row r="867" spans="1:5" ht="12.75">
      <c r="A867" s="82" t="s">
        <v>1128</v>
      </c>
      <c r="B867" s="83">
        <v>100</v>
      </c>
      <c r="C867" s="83" t="s">
        <v>242</v>
      </c>
      <c r="D867" s="83">
        <v>132</v>
      </c>
      <c r="E867" s="83" t="s">
        <v>1129</v>
      </c>
    </row>
    <row r="868" spans="1:5" ht="12.75">
      <c r="A868" s="82" t="s">
        <v>1130</v>
      </c>
      <c r="B868" s="83">
        <v>20</v>
      </c>
      <c r="C868" s="83" t="s">
        <v>242</v>
      </c>
      <c r="D868" s="83">
        <v>132</v>
      </c>
      <c r="E868" s="83" t="s">
        <v>1129</v>
      </c>
    </row>
    <row r="869" spans="1:5" ht="12.75">
      <c r="A869" s="82" t="s">
        <v>1131</v>
      </c>
      <c r="B869" s="83">
        <v>10</v>
      </c>
      <c r="C869" s="83" t="s">
        <v>242</v>
      </c>
      <c r="D869" s="83">
        <v>132</v>
      </c>
      <c r="E869" s="83" t="s">
        <v>1129</v>
      </c>
    </row>
    <row r="870" spans="1:5" ht="12.75">
      <c r="A870" s="82" t="s">
        <v>1132</v>
      </c>
      <c r="B870" s="83">
        <v>100</v>
      </c>
      <c r="C870" s="83" t="s">
        <v>242</v>
      </c>
      <c r="D870" s="83">
        <v>132</v>
      </c>
      <c r="E870" s="83" t="s">
        <v>1129</v>
      </c>
    </row>
    <row r="871" spans="1:5" ht="12.75">
      <c r="A871" s="82" t="s">
        <v>1133</v>
      </c>
      <c r="B871" s="83">
        <v>50</v>
      </c>
      <c r="C871" s="83" t="s">
        <v>242</v>
      </c>
      <c r="D871" s="83">
        <v>132</v>
      </c>
      <c r="E871" s="83" t="s">
        <v>1129</v>
      </c>
    </row>
    <row r="872" spans="1:5" ht="12.75">
      <c r="A872" s="82" t="s">
        <v>1134</v>
      </c>
      <c r="B872" s="83">
        <v>100</v>
      </c>
      <c r="C872" s="83" t="s">
        <v>242</v>
      </c>
      <c r="D872" s="83">
        <v>132</v>
      </c>
      <c r="E872" s="83" t="s">
        <v>1129</v>
      </c>
    </row>
    <row r="873" spans="1:5" ht="12.75">
      <c r="A873" s="82" t="s">
        <v>1135</v>
      </c>
      <c r="B873" s="83">
        <v>10</v>
      </c>
      <c r="C873" s="83" t="s">
        <v>242</v>
      </c>
      <c r="D873" s="83">
        <v>132</v>
      </c>
      <c r="E873" s="83" t="s">
        <v>1129</v>
      </c>
    </row>
    <row r="874" spans="1:5" ht="12.75">
      <c r="A874" s="82" t="s">
        <v>1136</v>
      </c>
      <c r="B874" s="83">
        <v>20</v>
      </c>
      <c r="C874" s="83" t="s">
        <v>242</v>
      </c>
      <c r="D874" s="83">
        <v>133</v>
      </c>
      <c r="E874" s="83" t="s">
        <v>1129</v>
      </c>
    </row>
    <row r="875" spans="1:5" ht="12.75">
      <c r="A875" s="82" t="s">
        <v>1137</v>
      </c>
      <c r="B875" s="83">
        <v>50</v>
      </c>
      <c r="C875" s="83" t="s">
        <v>242</v>
      </c>
      <c r="D875" s="83">
        <v>133</v>
      </c>
      <c r="E875" s="83" t="s">
        <v>1129</v>
      </c>
    </row>
    <row r="876" spans="1:5" ht="12.75">
      <c r="A876" s="82" t="s">
        <v>1138</v>
      </c>
      <c r="B876" s="83">
        <v>10</v>
      </c>
      <c r="C876" s="83" t="s">
        <v>242</v>
      </c>
      <c r="D876" s="83">
        <v>133</v>
      </c>
      <c r="E876" s="83" t="s">
        <v>1129</v>
      </c>
    </row>
    <row r="877" spans="1:5" ht="12.75">
      <c r="A877" s="82" t="s">
        <v>1139</v>
      </c>
      <c r="B877" s="83">
        <v>100</v>
      </c>
      <c r="C877" s="83" t="s">
        <v>242</v>
      </c>
      <c r="D877" s="83">
        <v>133</v>
      </c>
      <c r="E877" s="83" t="s">
        <v>1129</v>
      </c>
    </row>
    <row r="878" spans="1:5" ht="12.75">
      <c r="A878" s="82" t="s">
        <v>1140</v>
      </c>
      <c r="B878" s="83">
        <v>10</v>
      </c>
      <c r="C878" s="83" t="s">
        <v>242</v>
      </c>
      <c r="D878" s="83">
        <v>133</v>
      </c>
      <c r="E878" s="83" t="s">
        <v>1129</v>
      </c>
    </row>
    <row r="879" spans="1:5" ht="12.75">
      <c r="A879" s="82" t="s">
        <v>1141</v>
      </c>
      <c r="B879" s="83">
        <v>20</v>
      </c>
      <c r="C879" s="83" t="s">
        <v>242</v>
      </c>
      <c r="D879" s="83">
        <v>133</v>
      </c>
      <c r="E879" s="83" t="s">
        <v>1129</v>
      </c>
    </row>
    <row r="880" spans="1:5" ht="12.75">
      <c r="A880" s="82" t="s">
        <v>1142</v>
      </c>
      <c r="B880" s="83">
        <v>100</v>
      </c>
      <c r="C880" s="83" t="s">
        <v>242</v>
      </c>
      <c r="D880" s="83">
        <v>133</v>
      </c>
      <c r="E880" s="83" t="s">
        <v>1129</v>
      </c>
    </row>
    <row r="881" spans="1:5" ht="12.75">
      <c r="A881" s="82" t="s">
        <v>1143</v>
      </c>
      <c r="B881" s="83">
        <v>15</v>
      </c>
      <c r="C881" s="83" t="s">
        <v>242</v>
      </c>
      <c r="D881" s="83">
        <v>133</v>
      </c>
      <c r="E881" s="83" t="s">
        <v>1129</v>
      </c>
    </row>
    <row r="882" spans="1:5" ht="12.75">
      <c r="A882" s="82" t="s">
        <v>1144</v>
      </c>
      <c r="B882" s="83">
        <v>100</v>
      </c>
      <c r="C882" s="83" t="s">
        <v>242</v>
      </c>
      <c r="D882" s="83">
        <v>133</v>
      </c>
      <c r="E882" s="83" t="s">
        <v>1129</v>
      </c>
    </row>
    <row r="883" spans="1:5" ht="12.75">
      <c r="A883" s="82" t="s">
        <v>1145</v>
      </c>
      <c r="B883" s="83">
        <v>20</v>
      </c>
      <c r="C883" s="83" t="s">
        <v>242</v>
      </c>
      <c r="D883" s="83">
        <v>134</v>
      </c>
      <c r="E883" s="83" t="s">
        <v>1129</v>
      </c>
    </row>
    <row r="884" spans="1:5" ht="12.75">
      <c r="A884" s="82" t="s">
        <v>1146</v>
      </c>
      <c r="B884" s="83">
        <v>50</v>
      </c>
      <c r="C884" s="83" t="s">
        <v>242</v>
      </c>
      <c r="D884" s="83">
        <v>134</v>
      </c>
      <c r="E884" s="83" t="s">
        <v>1129</v>
      </c>
    </row>
    <row r="885" spans="1:5" ht="12.75">
      <c r="A885" s="82" t="s">
        <v>1147</v>
      </c>
      <c r="B885" s="83">
        <v>10</v>
      </c>
      <c r="C885" s="83" t="s">
        <v>242</v>
      </c>
      <c r="D885" s="83">
        <v>134</v>
      </c>
      <c r="E885" s="83" t="s">
        <v>1129</v>
      </c>
    </row>
    <row r="886" spans="1:5" ht="12.75">
      <c r="A886" s="82" t="s">
        <v>1148</v>
      </c>
      <c r="B886" s="83" t="s">
        <v>320</v>
      </c>
      <c r="C886" s="83" t="s">
        <v>242</v>
      </c>
      <c r="D886" s="83">
        <v>134</v>
      </c>
      <c r="E886" s="83" t="s">
        <v>1129</v>
      </c>
    </row>
    <row r="887" spans="1:5" ht="12.75">
      <c r="A887" s="82" t="s">
        <v>1149</v>
      </c>
      <c r="B887" s="83">
        <v>20</v>
      </c>
      <c r="C887" s="83" t="s">
        <v>242</v>
      </c>
      <c r="D887" s="83">
        <v>135</v>
      </c>
      <c r="E887" s="83" t="s">
        <v>1150</v>
      </c>
    </row>
    <row r="888" spans="1:5" ht="12.75">
      <c r="A888" s="82" t="s">
        <v>1151</v>
      </c>
      <c r="B888" s="83">
        <v>17</v>
      </c>
      <c r="C888" s="83" t="s">
        <v>242</v>
      </c>
      <c r="D888" s="83">
        <v>135</v>
      </c>
      <c r="E888" s="83" t="s">
        <v>1150</v>
      </c>
    </row>
    <row r="889" spans="1:5" ht="12.75">
      <c r="A889" s="82" t="s">
        <v>1152</v>
      </c>
      <c r="B889" s="83">
        <v>0.8</v>
      </c>
      <c r="C889" s="83" t="s">
        <v>242</v>
      </c>
      <c r="D889" s="83">
        <v>135</v>
      </c>
      <c r="E889" s="83" t="s">
        <v>1150</v>
      </c>
    </row>
    <row r="890" spans="1:5" ht="12.75">
      <c r="A890" s="82" t="s">
        <v>1153</v>
      </c>
      <c r="B890" s="83">
        <v>2</v>
      </c>
      <c r="C890" s="83" t="s">
        <v>242</v>
      </c>
      <c r="D890" s="83">
        <v>135</v>
      </c>
      <c r="E890" s="83" t="s">
        <v>1150</v>
      </c>
    </row>
    <row r="891" spans="1:5" ht="12.75">
      <c r="A891" s="82" t="s">
        <v>1154</v>
      </c>
      <c r="B891" s="83">
        <v>5</v>
      </c>
      <c r="C891" s="83" t="s">
        <v>242</v>
      </c>
      <c r="D891" s="83">
        <v>135</v>
      </c>
      <c r="E891" s="83" t="s">
        <v>1150</v>
      </c>
    </row>
    <row r="892" spans="1:5" ht="12.75">
      <c r="A892" s="82" t="s">
        <v>1155</v>
      </c>
      <c r="B892" s="83">
        <v>15</v>
      </c>
      <c r="C892" s="83" t="s">
        <v>242</v>
      </c>
      <c r="D892" s="83">
        <v>135</v>
      </c>
      <c r="E892" s="83" t="s">
        <v>1150</v>
      </c>
    </row>
    <row r="893" spans="1:5" ht="12.75">
      <c r="A893" s="82" t="s">
        <v>1156</v>
      </c>
      <c r="B893" s="83">
        <v>10</v>
      </c>
      <c r="C893" s="83" t="s">
        <v>242</v>
      </c>
      <c r="D893" s="83">
        <v>136</v>
      </c>
      <c r="E893" s="83" t="s">
        <v>1150</v>
      </c>
    </row>
    <row r="894" spans="1:5" ht="12.75">
      <c r="A894" s="82" t="s">
        <v>1157</v>
      </c>
      <c r="B894" s="83">
        <v>15</v>
      </c>
      <c r="C894" s="83" t="s">
        <v>242</v>
      </c>
      <c r="D894" s="83">
        <v>136</v>
      </c>
      <c r="E894" s="83" t="s">
        <v>1150</v>
      </c>
    </row>
    <row r="895" spans="1:5" ht="12.75">
      <c r="A895" s="82" t="s">
        <v>1158</v>
      </c>
      <c r="B895" s="83">
        <v>20</v>
      </c>
      <c r="C895" s="83" t="s">
        <v>242</v>
      </c>
      <c r="D895" s="83">
        <v>136</v>
      </c>
      <c r="E895" s="83" t="s">
        <v>1150</v>
      </c>
    </row>
    <row r="896" spans="1:5" ht="12.75">
      <c r="A896" s="82" t="s">
        <v>1159</v>
      </c>
      <c r="B896" s="83">
        <v>10</v>
      </c>
      <c r="C896" s="83" t="s">
        <v>242</v>
      </c>
      <c r="D896" s="83">
        <v>136</v>
      </c>
      <c r="E896" s="83" t="s">
        <v>1150</v>
      </c>
    </row>
    <row r="897" spans="1:5" ht="12.75">
      <c r="A897" s="82" t="s">
        <v>1160</v>
      </c>
      <c r="B897" s="83">
        <v>15</v>
      </c>
      <c r="C897" s="83" t="s">
        <v>242</v>
      </c>
      <c r="D897" s="83">
        <v>136</v>
      </c>
      <c r="E897" s="83" t="s">
        <v>1150</v>
      </c>
    </row>
    <row r="898" spans="1:5" ht="12.75">
      <c r="A898" s="82" t="s">
        <v>1161</v>
      </c>
      <c r="B898" s="83">
        <v>3</v>
      </c>
      <c r="C898" s="83" t="s">
        <v>242</v>
      </c>
      <c r="D898" s="83">
        <v>136</v>
      </c>
      <c r="E898" s="83" t="s">
        <v>1150</v>
      </c>
    </row>
    <row r="899" spans="1:5" ht="12.75">
      <c r="A899" s="82" t="s">
        <v>1162</v>
      </c>
      <c r="B899" s="83">
        <v>5</v>
      </c>
      <c r="C899" s="83" t="s">
        <v>242</v>
      </c>
      <c r="D899" s="83">
        <v>136</v>
      </c>
      <c r="E899" s="83" t="s">
        <v>1150</v>
      </c>
    </row>
    <row r="900" spans="1:5" ht="12.75">
      <c r="A900" s="82" t="s">
        <v>1163</v>
      </c>
      <c r="B900" s="83">
        <v>4</v>
      </c>
      <c r="C900" s="83" t="s">
        <v>242</v>
      </c>
      <c r="D900" s="83">
        <v>137</v>
      </c>
      <c r="E900" s="83" t="s">
        <v>1150</v>
      </c>
    </row>
    <row r="901" spans="1:5" ht="12.75">
      <c r="A901" s="82" t="s">
        <v>1164</v>
      </c>
      <c r="B901" s="83">
        <v>300</v>
      </c>
      <c r="C901" s="83" t="s">
        <v>242</v>
      </c>
      <c r="D901" s="83">
        <v>137</v>
      </c>
      <c r="E901" s="83" t="s">
        <v>1150</v>
      </c>
    </row>
    <row r="902" spans="1:5" ht="12.75">
      <c r="A902" s="82" t="s">
        <v>1165</v>
      </c>
      <c r="B902" s="83">
        <v>8</v>
      </c>
      <c r="C902" s="83" t="s">
        <v>242</v>
      </c>
      <c r="D902" s="83">
        <v>137</v>
      </c>
      <c r="E902" s="83" t="s">
        <v>1150</v>
      </c>
    </row>
    <row r="903" spans="1:5" ht="12.75">
      <c r="A903" s="82" t="s">
        <v>1166</v>
      </c>
      <c r="B903" s="83">
        <v>20</v>
      </c>
      <c r="C903" s="83" t="s">
        <v>242</v>
      </c>
      <c r="D903" s="83">
        <v>137</v>
      </c>
      <c r="E903" s="83" t="s">
        <v>1150</v>
      </c>
    </row>
    <row r="904" spans="1:5" ht="12.75">
      <c r="A904" s="82" t="s">
        <v>1167</v>
      </c>
      <c r="B904" s="83">
        <v>10</v>
      </c>
      <c r="C904" s="83" t="s">
        <v>242</v>
      </c>
      <c r="D904" s="83">
        <v>137</v>
      </c>
      <c r="E904" s="83" t="s">
        <v>1150</v>
      </c>
    </row>
    <row r="905" spans="1:5" ht="12.75">
      <c r="A905" s="82" t="s">
        <v>1168</v>
      </c>
      <c r="B905" s="83">
        <v>3</v>
      </c>
      <c r="C905" s="83" t="s">
        <v>242</v>
      </c>
      <c r="D905" s="83">
        <v>137</v>
      </c>
      <c r="E905" s="83" t="s">
        <v>1150</v>
      </c>
    </row>
    <row r="906" spans="1:5" ht="12.75">
      <c r="A906" s="82" t="s">
        <v>1169</v>
      </c>
      <c r="B906" s="83">
        <v>5</v>
      </c>
      <c r="C906" s="83" t="s">
        <v>242</v>
      </c>
      <c r="D906" s="83">
        <v>137</v>
      </c>
      <c r="E906" s="83" t="s">
        <v>1150</v>
      </c>
    </row>
    <row r="907" spans="1:5" ht="12.75">
      <c r="A907" s="82" t="s">
        <v>1170</v>
      </c>
      <c r="B907" s="83">
        <v>1</v>
      </c>
      <c r="C907" s="83" t="s">
        <v>242</v>
      </c>
      <c r="D907" s="83">
        <v>138</v>
      </c>
      <c r="E907" s="83" t="s">
        <v>1150</v>
      </c>
    </row>
    <row r="908" spans="1:5" ht="12.75">
      <c r="A908" s="82" t="s">
        <v>1171</v>
      </c>
      <c r="B908" s="83">
        <v>30</v>
      </c>
      <c r="C908" s="83" t="s">
        <v>242</v>
      </c>
      <c r="D908" s="83">
        <v>138</v>
      </c>
      <c r="E908" s="83" t="s">
        <v>1150</v>
      </c>
    </row>
    <row r="909" spans="1:5" ht="12.75">
      <c r="A909" s="82" t="s">
        <v>1172</v>
      </c>
      <c r="B909" s="83">
        <v>0.7</v>
      </c>
      <c r="C909" s="83" t="s">
        <v>242</v>
      </c>
      <c r="D909" s="83">
        <v>138</v>
      </c>
      <c r="E909" s="83" t="s">
        <v>1150</v>
      </c>
    </row>
    <row r="910" spans="1:5" ht="12.75">
      <c r="A910" s="82" t="s">
        <v>1173</v>
      </c>
      <c r="B910" s="83">
        <v>1.2</v>
      </c>
      <c r="C910" s="83" t="s">
        <v>242</v>
      </c>
      <c r="D910" s="83">
        <v>138</v>
      </c>
      <c r="E910" s="83" t="s">
        <v>1150</v>
      </c>
    </row>
    <row r="911" spans="1:5" ht="12.75">
      <c r="A911" s="82" t="s">
        <v>1174</v>
      </c>
      <c r="B911" s="83">
        <v>1</v>
      </c>
      <c r="C911" s="83" t="s">
        <v>242</v>
      </c>
      <c r="D911" s="83">
        <v>138</v>
      </c>
      <c r="E911" s="83" t="s">
        <v>1150</v>
      </c>
    </row>
    <row r="912" spans="1:5" ht="12.75">
      <c r="A912" s="82" t="s">
        <v>1175</v>
      </c>
      <c r="B912" s="83">
        <v>2</v>
      </c>
      <c r="C912" s="83" t="s">
        <v>242</v>
      </c>
      <c r="D912" s="83">
        <v>138</v>
      </c>
      <c r="E912" s="83" t="s">
        <v>1150</v>
      </c>
    </row>
    <row r="913" spans="1:5" ht="12.75">
      <c r="A913" s="82" t="s">
        <v>1176</v>
      </c>
      <c r="B913" s="83">
        <v>8</v>
      </c>
      <c r="C913" s="83" t="s">
        <v>242</v>
      </c>
      <c r="D913" s="83">
        <v>138</v>
      </c>
      <c r="E913" s="83" t="s">
        <v>1150</v>
      </c>
    </row>
    <row r="914" spans="1:5" ht="12.75">
      <c r="A914" s="82" t="s">
        <v>1177</v>
      </c>
      <c r="B914" s="83">
        <v>20</v>
      </c>
      <c r="C914" s="83" t="s">
        <v>242</v>
      </c>
      <c r="D914" s="83">
        <v>138</v>
      </c>
      <c r="E914" s="83" t="s">
        <v>1150</v>
      </c>
    </row>
    <row r="915" spans="1:5" ht="12.75">
      <c r="A915" s="82" t="s">
        <v>1178</v>
      </c>
      <c r="B915" s="83">
        <v>3</v>
      </c>
      <c r="C915" s="83" t="s">
        <v>242</v>
      </c>
      <c r="D915" s="83">
        <v>138</v>
      </c>
      <c r="E915" s="83" t="s">
        <v>1150</v>
      </c>
    </row>
    <row r="916" spans="1:5" ht="12.75">
      <c r="A916" s="82" t="s">
        <v>1179</v>
      </c>
      <c r="B916" s="83">
        <v>0.3</v>
      </c>
      <c r="C916" s="83" t="s">
        <v>242</v>
      </c>
      <c r="D916" s="83">
        <v>138</v>
      </c>
      <c r="E916" s="83" t="s">
        <v>1150</v>
      </c>
    </row>
    <row r="917" spans="1:5" ht="12.75">
      <c r="A917" s="82" t="s">
        <v>1180</v>
      </c>
      <c r="B917" s="83">
        <v>8</v>
      </c>
      <c r="C917" s="83" t="s">
        <v>242</v>
      </c>
      <c r="D917" s="83">
        <v>138</v>
      </c>
      <c r="E917" s="83" t="s">
        <v>1150</v>
      </c>
    </row>
    <row r="918" spans="1:5" ht="12.75">
      <c r="A918" s="82" t="s">
        <v>1181</v>
      </c>
      <c r="B918" s="83" t="s">
        <v>320</v>
      </c>
      <c r="C918" s="83" t="s">
        <v>242</v>
      </c>
      <c r="D918" s="83">
        <v>138</v>
      </c>
      <c r="E918" s="83" t="s">
        <v>1150</v>
      </c>
    </row>
    <row r="919" spans="1:5" ht="12.75">
      <c r="A919" s="82" t="s">
        <v>1182</v>
      </c>
      <c r="B919" s="83">
        <v>1.3</v>
      </c>
      <c r="C919" s="83" t="s">
        <v>242</v>
      </c>
      <c r="D919" s="83">
        <v>139</v>
      </c>
      <c r="E919" s="83" t="s">
        <v>1150</v>
      </c>
    </row>
    <row r="920" spans="1:5" ht="12.75">
      <c r="A920" s="82" t="s">
        <v>1183</v>
      </c>
      <c r="B920" s="83">
        <v>1.5</v>
      </c>
      <c r="C920" s="83" t="s">
        <v>242</v>
      </c>
      <c r="D920" s="83">
        <v>139</v>
      </c>
      <c r="E920" s="83" t="s">
        <v>1150</v>
      </c>
    </row>
    <row r="921" spans="1:5" ht="12.75">
      <c r="A921" s="82" t="s">
        <v>1184</v>
      </c>
      <c r="B921" s="83">
        <v>2</v>
      </c>
      <c r="C921" s="83" t="s">
        <v>242</v>
      </c>
      <c r="D921" s="83">
        <v>139</v>
      </c>
      <c r="E921" s="83" t="s">
        <v>1150</v>
      </c>
    </row>
    <row r="922" spans="1:5" ht="12.75">
      <c r="A922" s="82" t="s">
        <v>1185</v>
      </c>
      <c r="B922" s="83">
        <v>3</v>
      </c>
      <c r="C922" s="83" t="s">
        <v>242</v>
      </c>
      <c r="D922" s="83">
        <v>139</v>
      </c>
      <c r="E922" s="83" t="s">
        <v>1150</v>
      </c>
    </row>
    <row r="923" spans="1:5" ht="12.75">
      <c r="A923" s="82" t="s">
        <v>1186</v>
      </c>
      <c r="B923" s="83">
        <v>5</v>
      </c>
      <c r="C923" s="83" t="s">
        <v>242</v>
      </c>
      <c r="D923" s="83">
        <v>139</v>
      </c>
      <c r="E923" s="83" t="s">
        <v>1150</v>
      </c>
    </row>
    <row r="924" spans="1:5" ht="12.75">
      <c r="A924" s="82" t="s">
        <v>1187</v>
      </c>
      <c r="B924" s="83">
        <v>9</v>
      </c>
      <c r="C924" s="83" t="s">
        <v>242</v>
      </c>
      <c r="D924" s="83">
        <v>139</v>
      </c>
      <c r="E924" s="83" t="s">
        <v>1150</v>
      </c>
    </row>
    <row r="925" spans="1:5" ht="12.75">
      <c r="A925" s="82" t="s">
        <v>1188</v>
      </c>
      <c r="B925" s="83">
        <v>15</v>
      </c>
      <c r="C925" s="83" t="s">
        <v>242</v>
      </c>
      <c r="D925" s="83">
        <v>139</v>
      </c>
      <c r="E925" s="83" t="s">
        <v>1150</v>
      </c>
    </row>
    <row r="926" spans="1:5" ht="12.75">
      <c r="A926" s="82" t="s">
        <v>1189</v>
      </c>
      <c r="B926" s="83">
        <v>22</v>
      </c>
      <c r="C926" s="83" t="s">
        <v>242</v>
      </c>
      <c r="D926" s="83">
        <v>139</v>
      </c>
      <c r="E926" s="83" t="s">
        <v>1150</v>
      </c>
    </row>
    <row r="927" spans="1:5" ht="12.75">
      <c r="A927" s="82" t="s">
        <v>1190</v>
      </c>
      <c r="B927" s="83">
        <v>3</v>
      </c>
      <c r="C927" s="83" t="s">
        <v>242</v>
      </c>
      <c r="D927" s="83">
        <v>139</v>
      </c>
      <c r="E927" s="83" t="s">
        <v>1150</v>
      </c>
    </row>
    <row r="928" spans="1:5" ht="12.75">
      <c r="A928" s="82" t="s">
        <v>1191</v>
      </c>
      <c r="B928" s="83">
        <v>2</v>
      </c>
      <c r="C928" s="83" t="s">
        <v>242</v>
      </c>
      <c r="D928" s="83">
        <v>139</v>
      </c>
      <c r="E928" s="83" t="s">
        <v>1150</v>
      </c>
    </row>
    <row r="929" spans="1:5" ht="12.75">
      <c r="A929" s="82" t="s">
        <v>1192</v>
      </c>
      <c r="B929" s="83">
        <v>1</v>
      </c>
      <c r="C929" s="83" t="s">
        <v>242</v>
      </c>
      <c r="D929" s="83">
        <v>139</v>
      </c>
      <c r="E929" s="83" t="s">
        <v>1150</v>
      </c>
    </row>
    <row r="930" spans="1:5" ht="12.75">
      <c r="A930" s="82" t="s">
        <v>1193</v>
      </c>
      <c r="B930" s="83">
        <v>1</v>
      </c>
      <c r="C930" s="83" t="s">
        <v>242</v>
      </c>
      <c r="D930" s="83">
        <v>139</v>
      </c>
      <c r="E930" s="83" t="s">
        <v>1150</v>
      </c>
    </row>
    <row r="931" spans="1:5" ht="12.75">
      <c r="A931" s="82" t="s">
        <v>1194</v>
      </c>
      <c r="B931" s="83">
        <v>10</v>
      </c>
      <c r="C931" s="83" t="s">
        <v>242</v>
      </c>
      <c r="D931" s="83">
        <v>140</v>
      </c>
      <c r="E931" s="83" t="s">
        <v>1150</v>
      </c>
    </row>
    <row r="932" spans="1:5" ht="12.75">
      <c r="A932" s="82" t="s">
        <v>1195</v>
      </c>
      <c r="B932" s="83">
        <v>0.2</v>
      </c>
      <c r="C932" s="83" t="s">
        <v>242</v>
      </c>
      <c r="D932" s="83">
        <v>140</v>
      </c>
      <c r="E932" s="83" t="s">
        <v>1150</v>
      </c>
    </row>
    <row r="933" spans="1:5" ht="12.75">
      <c r="A933" s="82" t="s">
        <v>1196</v>
      </c>
      <c r="B933" s="83">
        <v>2</v>
      </c>
      <c r="C933" s="83" t="s">
        <v>242</v>
      </c>
      <c r="D933" s="83">
        <v>140</v>
      </c>
      <c r="E933" s="83" t="s">
        <v>1150</v>
      </c>
    </row>
    <row r="934" spans="1:5" ht="12.75">
      <c r="A934" s="82" t="s">
        <v>1197</v>
      </c>
      <c r="B934" s="83">
        <v>200</v>
      </c>
      <c r="C934" s="83" t="s">
        <v>242</v>
      </c>
      <c r="D934" s="83">
        <v>140</v>
      </c>
      <c r="E934" s="83" t="s">
        <v>1150</v>
      </c>
    </row>
    <row r="935" spans="1:5" ht="12.75">
      <c r="A935" s="82" t="s">
        <v>1198</v>
      </c>
      <c r="B935" s="83">
        <v>300</v>
      </c>
      <c r="C935" s="83" t="s">
        <v>242</v>
      </c>
      <c r="D935" s="83">
        <v>140</v>
      </c>
      <c r="E935" s="83" t="s">
        <v>1150</v>
      </c>
    </row>
    <row r="936" spans="1:5" ht="12.75">
      <c r="A936" s="82" t="s">
        <v>1199</v>
      </c>
      <c r="B936" s="83">
        <v>3</v>
      </c>
      <c r="C936" s="83" t="s">
        <v>242</v>
      </c>
      <c r="D936" s="83">
        <v>140</v>
      </c>
      <c r="E936" s="83" t="s">
        <v>1150</v>
      </c>
    </row>
    <row r="937" spans="1:5" ht="12.75">
      <c r="A937" s="82" t="s">
        <v>1200</v>
      </c>
      <c r="B937" s="83">
        <v>7</v>
      </c>
      <c r="C937" s="83" t="s">
        <v>242</v>
      </c>
      <c r="D937" s="83">
        <v>140</v>
      </c>
      <c r="E937" s="83" t="s">
        <v>1150</v>
      </c>
    </row>
    <row r="938" spans="1:5" ht="12.75">
      <c r="A938" s="82" t="s">
        <v>1201</v>
      </c>
      <c r="B938" s="83">
        <v>8</v>
      </c>
      <c r="C938" s="83" t="s">
        <v>242</v>
      </c>
      <c r="D938" s="83">
        <v>140</v>
      </c>
      <c r="E938" s="83" t="s">
        <v>1150</v>
      </c>
    </row>
    <row r="939" spans="1:5" ht="12.75">
      <c r="A939" s="82" t="s">
        <v>1202</v>
      </c>
      <c r="B939" s="83">
        <v>9</v>
      </c>
      <c r="C939" s="83" t="s">
        <v>242</v>
      </c>
      <c r="D939" s="83">
        <v>140</v>
      </c>
      <c r="E939" s="83" t="s">
        <v>1150</v>
      </c>
    </row>
    <row r="940" spans="1:5" ht="12.75">
      <c r="A940" s="82" t="s">
        <v>1203</v>
      </c>
      <c r="B940" s="83">
        <v>10</v>
      </c>
      <c r="C940" s="83" t="s">
        <v>242</v>
      </c>
      <c r="D940" s="83">
        <v>140</v>
      </c>
      <c r="E940" s="83" t="s">
        <v>1150</v>
      </c>
    </row>
    <row r="941" spans="1:5" ht="12.75">
      <c r="A941" s="82" t="s">
        <v>1204</v>
      </c>
      <c r="B941" s="83">
        <v>15</v>
      </c>
      <c r="C941" s="83" t="s">
        <v>242</v>
      </c>
      <c r="D941" s="83">
        <v>141</v>
      </c>
      <c r="E941" s="83" t="s">
        <v>1150</v>
      </c>
    </row>
    <row r="942" spans="1:5" ht="12.75">
      <c r="A942" s="82" t="s">
        <v>1205</v>
      </c>
      <c r="B942" s="83">
        <v>30</v>
      </c>
      <c r="C942" s="83" t="s">
        <v>242</v>
      </c>
      <c r="D942" s="83">
        <v>141</v>
      </c>
      <c r="E942" s="83" t="s">
        <v>1150</v>
      </c>
    </row>
    <row r="943" spans="1:5" ht="12.75">
      <c r="A943" s="82" t="s">
        <v>1206</v>
      </c>
      <c r="B943" s="83">
        <v>80</v>
      </c>
      <c r="C943" s="83" t="s">
        <v>242</v>
      </c>
      <c r="D943" s="83">
        <v>141</v>
      </c>
      <c r="E943" s="83" t="s">
        <v>1150</v>
      </c>
    </row>
    <row r="944" spans="1:5" ht="12.75">
      <c r="A944" s="82" t="s">
        <v>1207</v>
      </c>
      <c r="B944" s="84"/>
      <c r="C944" s="83" t="s">
        <v>242</v>
      </c>
      <c r="D944" s="83">
        <v>141</v>
      </c>
      <c r="E944" s="83" t="s">
        <v>1150</v>
      </c>
    </row>
    <row r="945" spans="1:5" ht="12.75">
      <c r="A945" s="82" t="s">
        <v>1208</v>
      </c>
      <c r="B945" s="83">
        <v>0.2</v>
      </c>
      <c r="C945" s="83" t="s">
        <v>242</v>
      </c>
      <c r="D945" s="83">
        <v>142</v>
      </c>
      <c r="E945" s="83" t="s">
        <v>1209</v>
      </c>
    </row>
    <row r="946" spans="1:5" ht="12.75">
      <c r="A946" s="82" t="s">
        <v>1210</v>
      </c>
      <c r="B946" s="83">
        <v>1</v>
      </c>
      <c r="C946" s="83" t="s">
        <v>242</v>
      </c>
      <c r="D946" s="83">
        <v>142</v>
      </c>
      <c r="E946" s="83" t="s">
        <v>1209</v>
      </c>
    </row>
    <row r="947" spans="1:5" ht="12.75">
      <c r="A947" s="82" t="s">
        <v>1211</v>
      </c>
      <c r="B947" s="83" t="s">
        <v>320</v>
      </c>
      <c r="C947" s="83" t="s">
        <v>242</v>
      </c>
      <c r="D947" s="83">
        <v>142</v>
      </c>
      <c r="E947" s="83" t="s">
        <v>1209</v>
      </c>
    </row>
    <row r="948" spans="1:5" ht="12.75">
      <c r="A948" s="82" t="s">
        <v>1212</v>
      </c>
      <c r="B948" s="83">
        <v>4</v>
      </c>
      <c r="C948" s="83" t="s">
        <v>242</v>
      </c>
      <c r="D948" s="83">
        <v>142</v>
      </c>
      <c r="E948" s="83" t="s">
        <v>1209</v>
      </c>
    </row>
    <row r="949" spans="1:5" ht="12.75">
      <c r="A949" s="82" t="s">
        <v>1213</v>
      </c>
      <c r="B949" s="83">
        <v>6</v>
      </c>
      <c r="C949" s="83" t="s">
        <v>242</v>
      </c>
      <c r="D949" s="83">
        <v>142</v>
      </c>
      <c r="E949" s="83" t="s">
        <v>1209</v>
      </c>
    </row>
    <row r="950" spans="1:5" ht="12.75">
      <c r="A950" s="82" t="s">
        <v>1214</v>
      </c>
      <c r="B950" s="83">
        <v>1</v>
      </c>
      <c r="C950" s="83" t="s">
        <v>242</v>
      </c>
      <c r="D950" s="83">
        <v>142</v>
      </c>
      <c r="E950" s="83" t="s">
        <v>1209</v>
      </c>
    </row>
    <row r="951" spans="1:5" ht="12.75">
      <c r="A951" s="82" t="s">
        <v>1215</v>
      </c>
      <c r="B951" s="83">
        <v>10</v>
      </c>
      <c r="C951" s="83" t="s">
        <v>242</v>
      </c>
      <c r="D951" s="83">
        <v>143</v>
      </c>
      <c r="E951" s="83" t="s">
        <v>1209</v>
      </c>
    </row>
    <row r="952" spans="1:5" ht="12.75">
      <c r="A952" s="82" t="s">
        <v>1216</v>
      </c>
      <c r="B952" s="83" t="s">
        <v>320</v>
      </c>
      <c r="C952" s="83" t="s">
        <v>242</v>
      </c>
      <c r="D952" s="83">
        <v>143</v>
      </c>
      <c r="E952" s="83" t="s">
        <v>1209</v>
      </c>
    </row>
    <row r="953" spans="1:5" ht="12.75">
      <c r="A953" s="82" t="s">
        <v>1217</v>
      </c>
      <c r="B953" s="83">
        <v>0.3</v>
      </c>
      <c r="C953" s="83" t="s">
        <v>242</v>
      </c>
      <c r="D953" s="83">
        <v>143</v>
      </c>
      <c r="E953" s="83" t="s">
        <v>1209</v>
      </c>
    </row>
    <row r="954" spans="1:5" ht="12.75">
      <c r="A954" s="82" t="s">
        <v>1218</v>
      </c>
      <c r="B954" s="83">
        <v>0.9</v>
      </c>
      <c r="C954" s="83" t="s">
        <v>242</v>
      </c>
      <c r="D954" s="83">
        <v>143</v>
      </c>
      <c r="E954" s="83" t="s">
        <v>1209</v>
      </c>
    </row>
    <row r="955" spans="1:5" ht="12.75">
      <c r="A955" s="82" t="s">
        <v>1219</v>
      </c>
      <c r="B955" s="83">
        <v>9</v>
      </c>
      <c r="C955" s="83" t="s">
        <v>242</v>
      </c>
      <c r="D955" s="83">
        <v>143</v>
      </c>
      <c r="E955" s="83" t="s">
        <v>1209</v>
      </c>
    </row>
    <row r="956" spans="1:5" ht="12.75">
      <c r="A956" s="82" t="s">
        <v>1220</v>
      </c>
      <c r="B956" s="83">
        <v>95</v>
      </c>
      <c r="C956" s="83" t="s">
        <v>242</v>
      </c>
      <c r="D956" s="83">
        <v>143</v>
      </c>
      <c r="E956" s="83" t="s">
        <v>1209</v>
      </c>
    </row>
    <row r="957" spans="1:5" ht="12.75">
      <c r="A957" s="82" t="s">
        <v>1221</v>
      </c>
      <c r="B957" s="83">
        <v>7.0000000000000007E-2</v>
      </c>
      <c r="C957" s="83" t="s">
        <v>242</v>
      </c>
      <c r="D957" s="83">
        <v>143</v>
      </c>
      <c r="E957" s="83" t="s">
        <v>1209</v>
      </c>
    </row>
    <row r="958" spans="1:5" ht="12.75">
      <c r="A958" s="82" t="s">
        <v>1222</v>
      </c>
      <c r="B958" s="83">
        <v>0.7</v>
      </c>
      <c r="C958" s="83" t="s">
        <v>242</v>
      </c>
      <c r="D958" s="83">
        <v>143</v>
      </c>
      <c r="E958" s="83" t="s">
        <v>1209</v>
      </c>
    </row>
    <row r="959" spans="1:5" ht="12.75">
      <c r="A959" s="82" t="s">
        <v>1223</v>
      </c>
      <c r="B959" s="83">
        <v>2</v>
      </c>
      <c r="C959" s="83" t="s">
        <v>242</v>
      </c>
      <c r="D959" s="83">
        <v>143</v>
      </c>
      <c r="E959" s="83" t="s">
        <v>1209</v>
      </c>
    </row>
    <row r="960" spans="1:5" ht="12.75">
      <c r="A960" s="82" t="s">
        <v>1224</v>
      </c>
      <c r="B960" s="83">
        <v>1.8</v>
      </c>
      <c r="C960" s="83" t="s">
        <v>242</v>
      </c>
      <c r="D960" s="83">
        <v>143</v>
      </c>
      <c r="E960" s="83" t="s">
        <v>1209</v>
      </c>
    </row>
    <row r="961" spans="1:5" ht="12.75">
      <c r="A961" s="82" t="s">
        <v>1225</v>
      </c>
      <c r="B961" s="83">
        <v>1.8</v>
      </c>
      <c r="C961" s="83" t="s">
        <v>242</v>
      </c>
      <c r="D961" s="83">
        <v>143</v>
      </c>
      <c r="E961" s="83" t="s">
        <v>1209</v>
      </c>
    </row>
    <row r="962" spans="1:5" ht="12.75">
      <c r="A962" s="82" t="s">
        <v>1226</v>
      </c>
      <c r="B962" s="83">
        <v>170</v>
      </c>
      <c r="C962" s="83" t="s">
        <v>242</v>
      </c>
      <c r="D962" s="83">
        <v>143</v>
      </c>
      <c r="E962" s="83" t="s">
        <v>1209</v>
      </c>
    </row>
    <row r="963" spans="1:5" ht="12.75">
      <c r="A963" s="82" t="s">
        <v>1227</v>
      </c>
      <c r="B963" s="83">
        <v>10</v>
      </c>
      <c r="C963" s="83" t="s">
        <v>242</v>
      </c>
      <c r="D963" s="83">
        <v>143</v>
      </c>
      <c r="E963" s="83" t="s">
        <v>1209</v>
      </c>
    </row>
    <row r="964" spans="1:5" ht="12.75">
      <c r="A964" s="82" t="s">
        <v>1228</v>
      </c>
      <c r="B964" s="83">
        <v>10</v>
      </c>
      <c r="C964" s="83" t="s">
        <v>242</v>
      </c>
      <c r="D964" s="83">
        <v>144</v>
      </c>
      <c r="E964" s="83" t="s">
        <v>1209</v>
      </c>
    </row>
    <row r="965" spans="1:5" ht="12.75">
      <c r="A965" s="82" t="s">
        <v>1229</v>
      </c>
      <c r="B965" s="83">
        <v>8</v>
      </c>
      <c r="C965" s="83" t="s">
        <v>242</v>
      </c>
      <c r="D965" s="83">
        <v>144</v>
      </c>
      <c r="E965" s="83" t="s">
        <v>1209</v>
      </c>
    </row>
    <row r="966" spans="1:5" ht="12.75">
      <c r="A966" s="82" t="s">
        <v>1230</v>
      </c>
      <c r="B966" s="83">
        <v>3</v>
      </c>
      <c r="C966" s="83" t="s">
        <v>242</v>
      </c>
      <c r="D966" s="83">
        <v>144</v>
      </c>
      <c r="E966" s="83" t="s">
        <v>1209</v>
      </c>
    </row>
    <row r="967" spans="1:5" ht="12.75">
      <c r="A967" s="82" t="s">
        <v>1231</v>
      </c>
      <c r="B967" s="83">
        <v>5</v>
      </c>
      <c r="C967" s="83" t="s">
        <v>242</v>
      </c>
      <c r="D967" s="83">
        <v>144</v>
      </c>
      <c r="E967" s="83" t="s">
        <v>1209</v>
      </c>
    </row>
    <row r="968" spans="1:5" ht="12.75">
      <c r="A968" s="82" t="s">
        <v>1232</v>
      </c>
      <c r="B968" s="83">
        <v>10</v>
      </c>
      <c r="C968" s="83" t="s">
        <v>242</v>
      </c>
      <c r="D968" s="83">
        <v>144</v>
      </c>
      <c r="E968" s="83" t="s">
        <v>1209</v>
      </c>
    </row>
    <row r="969" spans="1:5" ht="12.75">
      <c r="A969" s="82" t="s">
        <v>1233</v>
      </c>
      <c r="B969" s="83">
        <v>13</v>
      </c>
      <c r="C969" s="83" t="s">
        <v>242</v>
      </c>
      <c r="D969" s="83">
        <v>144</v>
      </c>
      <c r="E969" s="83" t="s">
        <v>1209</v>
      </c>
    </row>
    <row r="970" spans="1:5" ht="12.75">
      <c r="A970" s="82" t="s">
        <v>1234</v>
      </c>
      <c r="B970" s="83">
        <v>7</v>
      </c>
      <c r="C970" s="83" t="s">
        <v>242</v>
      </c>
      <c r="D970" s="83">
        <v>144</v>
      </c>
      <c r="E970" s="83" t="s">
        <v>1209</v>
      </c>
    </row>
    <row r="971" spans="1:5" ht="12.75">
      <c r="A971" s="82" t="s">
        <v>1235</v>
      </c>
      <c r="B971" s="83">
        <v>5</v>
      </c>
      <c r="C971" s="83" t="s">
        <v>242</v>
      </c>
      <c r="D971" s="83">
        <v>144</v>
      </c>
      <c r="E971" s="83" t="s">
        <v>1209</v>
      </c>
    </row>
    <row r="972" spans="1:5" ht="12.75">
      <c r="A972" s="82" t="s">
        <v>1236</v>
      </c>
      <c r="B972" s="83">
        <v>4</v>
      </c>
      <c r="C972" s="83" t="s">
        <v>242</v>
      </c>
      <c r="D972" s="83">
        <v>145</v>
      </c>
      <c r="E972" s="83" t="s">
        <v>1209</v>
      </c>
    </row>
    <row r="973" spans="1:5" ht="12.75">
      <c r="A973" s="82" t="s">
        <v>1237</v>
      </c>
      <c r="B973" s="83">
        <v>5</v>
      </c>
      <c r="C973" s="83" t="s">
        <v>242</v>
      </c>
      <c r="D973" s="83">
        <v>145</v>
      </c>
      <c r="E973" s="83" t="s">
        <v>1209</v>
      </c>
    </row>
    <row r="974" spans="1:5" ht="12.75">
      <c r="A974" s="82" t="s">
        <v>1238</v>
      </c>
      <c r="B974" s="83">
        <v>5</v>
      </c>
      <c r="C974" s="83" t="s">
        <v>242</v>
      </c>
      <c r="D974" s="83">
        <v>145</v>
      </c>
      <c r="E974" s="83" t="s">
        <v>1209</v>
      </c>
    </row>
    <row r="975" spans="1:5" ht="12.75">
      <c r="A975" s="82" t="s">
        <v>1239</v>
      </c>
      <c r="B975" s="83">
        <v>0.1</v>
      </c>
      <c r="C975" s="83" t="s">
        <v>242</v>
      </c>
      <c r="D975" s="83">
        <v>146</v>
      </c>
      <c r="E975" s="83" t="s">
        <v>1209</v>
      </c>
    </row>
    <row r="976" spans="1:5" ht="12.75">
      <c r="A976" s="82" t="s">
        <v>1240</v>
      </c>
      <c r="B976" s="83">
        <v>5</v>
      </c>
      <c r="C976" s="83" t="s">
        <v>242</v>
      </c>
      <c r="D976" s="83">
        <v>146</v>
      </c>
      <c r="E976" s="83" t="s">
        <v>1209</v>
      </c>
    </row>
    <row r="977" spans="1:5" ht="12.75">
      <c r="A977" s="82" t="s">
        <v>1241</v>
      </c>
      <c r="B977" s="83">
        <v>0.1</v>
      </c>
      <c r="C977" s="83" t="s">
        <v>242</v>
      </c>
      <c r="D977" s="83">
        <v>146</v>
      </c>
      <c r="E977" s="83" t="s">
        <v>1209</v>
      </c>
    </row>
    <row r="978" spans="1:5" ht="12.75">
      <c r="A978" s="82" t="s">
        <v>1242</v>
      </c>
      <c r="B978" s="83" t="s">
        <v>1243</v>
      </c>
      <c r="C978" s="83" t="s">
        <v>242</v>
      </c>
      <c r="D978" s="83">
        <v>147</v>
      </c>
      <c r="E978" s="83" t="s">
        <v>1244</v>
      </c>
    </row>
    <row r="979" spans="1:5" ht="12.75">
      <c r="A979" s="82" t="s">
        <v>1245</v>
      </c>
      <c r="B979" s="83">
        <v>150</v>
      </c>
      <c r="C979" s="83" t="s">
        <v>242</v>
      </c>
      <c r="D979" s="83">
        <v>148</v>
      </c>
      <c r="E979" s="83" t="s">
        <v>1244</v>
      </c>
    </row>
    <row r="980" spans="1:5" ht="12.75">
      <c r="A980" s="82" t="s">
        <v>1246</v>
      </c>
      <c r="B980" s="83" t="s">
        <v>1247</v>
      </c>
      <c r="C980" s="83" t="s">
        <v>242</v>
      </c>
      <c r="D980" s="83">
        <v>149</v>
      </c>
      <c r="E980" s="83" t="s">
        <v>1244</v>
      </c>
    </row>
    <row r="981" spans="1:5" ht="12.75">
      <c r="A981" s="82" t="s">
        <v>1248</v>
      </c>
      <c r="B981" s="83">
        <v>70</v>
      </c>
      <c r="C981" s="83" t="s">
        <v>242</v>
      </c>
      <c r="D981" s="83">
        <v>150</v>
      </c>
      <c r="E981" s="83" t="s">
        <v>1244</v>
      </c>
    </row>
    <row r="982" spans="1:5" ht="12.75">
      <c r="A982" s="82" t="s">
        <v>1249</v>
      </c>
      <c r="B982" s="83">
        <v>25</v>
      </c>
      <c r="C982" s="83" t="s">
        <v>242</v>
      </c>
      <c r="D982" s="83">
        <v>150</v>
      </c>
      <c r="E982" s="83" t="s">
        <v>1244</v>
      </c>
    </row>
    <row r="983" spans="1:5" ht="12.75">
      <c r="A983" s="82" t="s">
        <v>1250</v>
      </c>
      <c r="B983" s="83">
        <v>75</v>
      </c>
      <c r="C983" s="83" t="s">
        <v>242</v>
      </c>
      <c r="D983" s="83">
        <v>151</v>
      </c>
      <c r="E983" s="83" t="s">
        <v>1244</v>
      </c>
    </row>
    <row r="984" spans="1:5" ht="12.75">
      <c r="A984" s="82" t="s">
        <v>1251</v>
      </c>
      <c r="B984" s="83">
        <v>95</v>
      </c>
      <c r="C984" s="83" t="s">
        <v>242</v>
      </c>
      <c r="D984" s="83">
        <v>152</v>
      </c>
      <c r="E984" s="83" t="s">
        <v>1244</v>
      </c>
    </row>
    <row r="985" spans="1:5" ht="12.75">
      <c r="A985" s="82" t="s">
        <v>1252</v>
      </c>
      <c r="B985" s="83">
        <v>45</v>
      </c>
      <c r="C985" s="83" t="s">
        <v>242</v>
      </c>
      <c r="D985" s="83">
        <v>153</v>
      </c>
      <c r="E985" s="83" t="s">
        <v>1244</v>
      </c>
    </row>
    <row r="986" spans="1:5" ht="12.75">
      <c r="A986" s="82" t="s">
        <v>1253</v>
      </c>
      <c r="B986" s="84"/>
      <c r="C986" s="83" t="s">
        <v>242</v>
      </c>
      <c r="D986" s="83">
        <v>153</v>
      </c>
      <c r="E986" s="83" t="s">
        <v>1244</v>
      </c>
    </row>
    <row r="987" spans="1:5" ht="12.75">
      <c r="A987" s="82" t="s">
        <v>1254</v>
      </c>
      <c r="B987" s="83">
        <v>1</v>
      </c>
      <c r="C987" s="83" t="s">
        <v>242</v>
      </c>
      <c r="D987" s="83">
        <v>154</v>
      </c>
      <c r="E987" s="83" t="s">
        <v>1244</v>
      </c>
    </row>
    <row r="988" spans="1:5" ht="12.75">
      <c r="A988" s="82" t="s">
        <v>1255</v>
      </c>
      <c r="B988" s="84"/>
      <c r="C988" s="83" t="s">
        <v>242</v>
      </c>
      <c r="D988" s="83">
        <v>154</v>
      </c>
      <c r="E988" s="83" t="s">
        <v>1244</v>
      </c>
    </row>
    <row r="989" spans="1:5" ht="12.75">
      <c r="A989" s="82" t="s">
        <v>1256</v>
      </c>
      <c r="B989" s="83">
        <v>4</v>
      </c>
      <c r="C989" s="83" t="s">
        <v>242</v>
      </c>
      <c r="D989" s="83">
        <v>154</v>
      </c>
      <c r="E989" s="83" t="s">
        <v>1244</v>
      </c>
    </row>
    <row r="990" spans="1:5" ht="12.75">
      <c r="A990" s="82" t="s">
        <v>1257</v>
      </c>
      <c r="B990" s="83">
        <v>1250</v>
      </c>
      <c r="C990" s="83" t="s">
        <v>242</v>
      </c>
      <c r="D990" s="83">
        <v>155</v>
      </c>
      <c r="E990" s="83" t="s">
        <v>1244</v>
      </c>
    </row>
    <row r="991" spans="1:5" ht="12.75">
      <c r="A991" s="82" t="s">
        <v>1258</v>
      </c>
      <c r="B991" s="83">
        <v>300</v>
      </c>
      <c r="C991" s="83" t="s">
        <v>242</v>
      </c>
      <c r="D991" s="83">
        <v>156</v>
      </c>
      <c r="E991" s="83" t="s">
        <v>1244</v>
      </c>
    </row>
    <row r="992" spans="1:5" ht="12.75">
      <c r="A992" s="82" t="s">
        <v>1259</v>
      </c>
      <c r="B992" s="83">
        <v>250</v>
      </c>
      <c r="C992" s="83" t="s">
        <v>242</v>
      </c>
      <c r="D992" s="83">
        <v>156</v>
      </c>
      <c r="E992" s="83" t="s">
        <v>1244</v>
      </c>
    </row>
    <row r="993" spans="1:5" ht="12.75">
      <c r="A993" s="82" t="s">
        <v>1260</v>
      </c>
      <c r="B993" s="83">
        <v>15</v>
      </c>
      <c r="C993" s="83" t="s">
        <v>242</v>
      </c>
      <c r="D993" s="83">
        <v>156</v>
      </c>
      <c r="E993" s="83" t="s">
        <v>1244</v>
      </c>
    </row>
    <row r="994" spans="1:5" ht="12.75">
      <c r="A994" s="82" t="s">
        <v>1261</v>
      </c>
      <c r="B994" s="83">
        <v>180</v>
      </c>
      <c r="C994" s="83" t="s">
        <v>242</v>
      </c>
      <c r="D994" s="83">
        <v>156</v>
      </c>
      <c r="E994" s="83" t="s">
        <v>1244</v>
      </c>
    </row>
    <row r="995" spans="1:5" ht="12.75">
      <c r="A995" s="82" t="s">
        <v>1262</v>
      </c>
      <c r="B995" s="83">
        <v>75</v>
      </c>
      <c r="C995" s="83" t="s">
        <v>242</v>
      </c>
      <c r="D995" s="83">
        <v>157</v>
      </c>
      <c r="E995" s="83" t="s">
        <v>1244</v>
      </c>
    </row>
    <row r="996" spans="1:5" ht="12.75">
      <c r="A996" s="82" t="s">
        <v>1263</v>
      </c>
      <c r="B996" s="83">
        <v>60</v>
      </c>
      <c r="C996" s="83" t="s">
        <v>242</v>
      </c>
      <c r="D996" s="83">
        <v>157</v>
      </c>
      <c r="E996" s="83" t="s">
        <v>1244</v>
      </c>
    </row>
    <row r="997" spans="1:5" ht="12.75">
      <c r="A997" s="82" t="s">
        <v>1264</v>
      </c>
      <c r="B997" s="83">
        <v>250</v>
      </c>
      <c r="C997" s="83" t="s">
        <v>242</v>
      </c>
      <c r="D997" s="83">
        <v>158</v>
      </c>
      <c r="E997" s="83" t="s">
        <v>1244</v>
      </c>
    </row>
    <row r="998" spans="1:5" ht="12.75">
      <c r="A998" s="82" t="s">
        <v>1265</v>
      </c>
      <c r="B998" s="83">
        <v>90</v>
      </c>
      <c r="C998" s="83" t="s">
        <v>242</v>
      </c>
      <c r="D998" s="83">
        <v>158</v>
      </c>
      <c r="E998" s="83" t="s">
        <v>1244</v>
      </c>
    </row>
    <row r="999" spans="1:5" ht="12.75">
      <c r="A999" s="82" t="s">
        <v>1266</v>
      </c>
      <c r="B999" s="83">
        <v>8</v>
      </c>
      <c r="C999" s="83" t="s">
        <v>242</v>
      </c>
      <c r="D999" s="83">
        <v>159</v>
      </c>
      <c r="E999" s="83" t="s">
        <v>1244</v>
      </c>
    </row>
    <row r="1000" spans="1:5" ht="12.75">
      <c r="A1000" s="82" t="s">
        <v>1267</v>
      </c>
      <c r="B1000" s="83">
        <v>25</v>
      </c>
      <c r="C1000" s="83" t="s">
        <v>242</v>
      </c>
      <c r="D1000" s="83">
        <v>159</v>
      </c>
      <c r="E1000" s="83" t="s">
        <v>1244</v>
      </c>
    </row>
    <row r="1001" spans="1:5" ht="12.75">
      <c r="A1001" s="82" t="s">
        <v>1268</v>
      </c>
      <c r="B1001" s="84"/>
      <c r="C1001" s="83" t="s">
        <v>242</v>
      </c>
      <c r="D1001" s="83">
        <v>159</v>
      </c>
      <c r="E1001" s="83" t="s">
        <v>1244</v>
      </c>
    </row>
    <row r="1002" spans="1:5" ht="12.75">
      <c r="A1002" s="82" t="s">
        <v>1269</v>
      </c>
      <c r="B1002" s="83">
        <v>75</v>
      </c>
      <c r="C1002" s="83" t="s">
        <v>242</v>
      </c>
      <c r="D1002" s="83">
        <v>159</v>
      </c>
      <c r="E1002" s="83" t="s">
        <v>1244</v>
      </c>
    </row>
  </sheetData>
  <hyperlinks>
    <hyperlink ref="G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8"/>
  <sheetViews>
    <sheetView workbookViewId="0"/>
  </sheetViews>
  <sheetFormatPr defaultColWidth="14.42578125" defaultRowHeight="15.75" customHeight="1"/>
  <sheetData>
    <row r="1" spans="1:4" ht="15.75" customHeight="1">
      <c r="A1" s="64" t="s">
        <v>5</v>
      </c>
      <c r="B1" s="64" t="s">
        <v>1270</v>
      </c>
      <c r="C1" s="64" t="s">
        <v>1271</v>
      </c>
      <c r="D1" s="64" t="s">
        <v>1272</v>
      </c>
    </row>
    <row r="2" spans="1:4" ht="15.75" customHeight="1">
      <c r="A2" s="65" t="s">
        <v>35</v>
      </c>
      <c r="B2" s="65" t="s">
        <v>1273</v>
      </c>
      <c r="C2" s="65" t="s">
        <v>1274</v>
      </c>
      <c r="D2" s="65">
        <v>1</v>
      </c>
    </row>
    <row r="3" spans="1:4" ht="15.75" customHeight="1">
      <c r="A3" s="65" t="s">
        <v>19</v>
      </c>
      <c r="B3" s="65" t="s">
        <v>1275</v>
      </c>
      <c r="C3" s="65" t="s">
        <v>1276</v>
      </c>
      <c r="D3" s="65">
        <v>1</v>
      </c>
    </row>
    <row r="4" spans="1:4" ht="15.75" customHeight="1">
      <c r="A4" s="65" t="s">
        <v>16</v>
      </c>
      <c r="B4" s="65" t="s">
        <v>1277</v>
      </c>
      <c r="C4" s="65" t="s">
        <v>1278</v>
      </c>
      <c r="D4" s="65">
        <v>5</v>
      </c>
    </row>
    <row r="5" spans="1:4" ht="15.75" customHeight="1">
      <c r="A5" s="65" t="s">
        <v>10</v>
      </c>
      <c r="B5" s="65" t="s">
        <v>1279</v>
      </c>
      <c r="C5" s="65" t="s">
        <v>1280</v>
      </c>
      <c r="D5" s="65">
        <v>11</v>
      </c>
    </row>
    <row r="6" spans="1:4" ht="15.75" customHeight="1">
      <c r="A6" s="65" t="s">
        <v>31</v>
      </c>
      <c r="B6" s="65" t="s">
        <v>1281</v>
      </c>
      <c r="C6" s="65" t="s">
        <v>1282</v>
      </c>
      <c r="D6" s="65">
        <v>17</v>
      </c>
    </row>
    <row r="7" spans="1:4" ht="15.75" customHeight="1">
      <c r="A7" s="65" t="s">
        <v>22</v>
      </c>
      <c r="B7" s="65" t="s">
        <v>1283</v>
      </c>
      <c r="C7" s="86" t="s">
        <v>1283</v>
      </c>
      <c r="D7" s="87" t="s">
        <v>1284</v>
      </c>
    </row>
    <row r="8" spans="1:4" ht="15.75" customHeight="1">
      <c r="A8" s="65" t="s">
        <v>24</v>
      </c>
      <c r="B8" s="65" t="s">
        <v>24</v>
      </c>
      <c r="C8" s="86" t="s">
        <v>24</v>
      </c>
      <c r="D8" s="87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"/>
  <sheetViews>
    <sheetView workbookViewId="0"/>
  </sheetViews>
  <sheetFormatPr defaultColWidth="14.42578125" defaultRowHeight="15.75" customHeight="1"/>
  <sheetData>
    <row r="1" spans="1:2" ht="15.75" customHeight="1">
      <c r="A1" s="88" t="s">
        <v>1285</v>
      </c>
    </row>
    <row r="2" spans="1:2" ht="15.75" customHeight="1">
      <c r="A2" s="64" t="s">
        <v>1286</v>
      </c>
      <c r="B2" s="64" t="s">
        <v>1287</v>
      </c>
    </row>
    <row r="3" spans="1:2" ht="15.75" customHeight="1">
      <c r="A3" s="89">
        <v>44126</v>
      </c>
      <c r="B3" s="65" t="s">
        <v>1288</v>
      </c>
    </row>
    <row r="4" spans="1:2" ht="15.75" customHeight="1">
      <c r="A4" s="89">
        <v>44126</v>
      </c>
      <c r="B4" s="65" t="s">
        <v>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Magic Items</vt:lpstr>
      <vt:lpstr>Sheet5</vt:lpstr>
      <vt:lpstr>Notes</vt:lpstr>
      <vt:lpstr>Mundane Items</vt:lpstr>
      <vt:lpstr>Auroras</vt:lpstr>
      <vt:lpstr>Price Ranges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thanos sakelliou</cp:lastModifiedBy>
  <dcterms:modified xsi:type="dcterms:W3CDTF">2021-04-03T17:32:55Z</dcterms:modified>
</cp:coreProperties>
</file>